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workbookPr filterPrivacy="1" codeName="ThisWorkbook"/>
  <bookViews>
    <workbookView xWindow="255" yWindow="105" windowWidth="15180" windowHeight="7830"/>
  </bookViews>
  <sheets>
    <sheet name="Contents" sheetId="33" r:id="rId1"/>
    <sheet name="Introduction" sheetId="34" r:id="rId2"/>
    <sheet name="Statements" sheetId="31" r:id="rId3"/>
    <sheet name="GA2017_Consolidated" sheetId="30" r:id="rId4"/>
    <sheet name="GA2017_Entity" sheetId="32" r:id="rId5"/>
    <sheet name="Unit Cost Sources &amp; notes" sheetId="38" r:id="rId6"/>
    <sheet name="Unit Cost Summary" sheetId="40" r:id="rId7"/>
    <sheet name="2017_Unit_Cost_Consolidated" sheetId="35" r:id="rId8"/>
    <sheet name="2017_Unit_Cost_Entity" sheetId="3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_123Graph_A" hidden="1">'[1]Model inputs'!#REF!</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EFF" hidden="1">'[5]T3 Page 1'!#REF!</definedName>
    <definedName name="__123Graph_AGR14PBF1" hidden="1">'[6]HIS19FIN(A)'!$AF$70:$AF$81</definedName>
    <definedName name="__123Graph_AHOMEVAT" hidden="1">'[2]Forecast data'!#REF!</definedName>
    <definedName name="__123Graph_AIMPORT" hidden="1">'[2]Forecast data'!#REF!</definedName>
    <definedName name="__123Graph_ALBFFIN" hidden="1">'[5]FC Page 1'!#REF!</definedName>
    <definedName name="__123Graph_ALBFFIN2" hidden="1">'[6]HIS19FIN(A)'!$K$59:$Q$59</definedName>
    <definedName name="__123Graph_ALBFHIC2" hidden="1">'[6]HIS19FIN(A)'!$D$59:$J$59</definedName>
    <definedName name="__123Graph_ALCB" hidden="1">'[6]HIS19FIN(A)'!$D$83:$I$83</definedName>
    <definedName name="__123Graph_ANACFIN" hidden="1">'[6]HIS19FIN(A)'!$K$97:$Q$97</definedName>
    <definedName name="__123Graph_ANACHIC" hidden="1">'[6]HIS19FIN(A)'!$D$97:$J$97</definedName>
    <definedName name="__123Graph_APDNUMBERS" hidden="1">'[7]SUMMARY TABLE'!$U$6:$U$49</definedName>
    <definedName name="__123Graph_APDTRENDS" hidden="1">'[7]SUMMARY TABLE'!$S$23:$S$46</definedName>
    <definedName name="__123Graph_APIC" hidden="1">'[5]T3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EFF" hidden="1">'[5]T3 Page 1'!#REF!</definedName>
    <definedName name="__123Graph_BHOMEVAT" hidden="1">'[2]Forecast data'!#REF!</definedName>
    <definedName name="__123Graph_BIMPORT" hidden="1">'[2]Forecast data'!#REF!</definedName>
    <definedName name="__123Graph_BLBF" hidden="1">'[5]T3 Page 1'!#REF!</definedName>
    <definedName name="__123Graph_BLBFFIN" hidden="1">'[5]FC Page 1'!#REF!</definedName>
    <definedName name="__123Graph_BLCB" hidden="1">'[6]HIS19FIN(A)'!$D$79:$I$79</definedName>
    <definedName name="__123Graph_BPDTRENDS" hidden="1">'[7]SUMMARY TABLE'!$T$23:$T$46</definedName>
    <definedName name="__123Graph_BPIC" hidden="1">'[5]T3 Page 1'!#REF!</definedName>
    <definedName name="__123Graph_BTOTAL" hidden="1">'[2]Forecast data'!#REF!</definedName>
    <definedName name="__123Graph_CACT13BUD" hidden="1">'[5]FC Page 1'!#REF!</definedName>
    <definedName name="__123Graph_CCFSINDIV" hidden="1">[3]Data!#REF!</definedName>
    <definedName name="__123Graph_CCFSUK" hidden="1">[3]Data!#REF!</definedName>
    <definedName name="__123Graph_CEFF" hidden="1">'[5]T3 Page 1'!#REF!</definedName>
    <definedName name="__123Graph_CGR14PBF1" hidden="1">'[6]HIS19FIN(A)'!$AK$70:$AK$81</definedName>
    <definedName name="__123Graph_CLBF" hidden="1">'[5]T3 Page 1'!#REF!</definedName>
    <definedName name="__123Graph_CPIC" hidden="1">'[5]T3 Page 1'!#REF!</definedName>
    <definedName name="__123Graph_DACT13BUD" hidden="1">'[5]FC Page 1'!#REF!</definedName>
    <definedName name="__123Graph_DCFSINDIV" hidden="1">[3]Data!#REF!</definedName>
    <definedName name="__123Graph_DCFSUK" hidden="1">[3]Data!#REF!</definedName>
    <definedName name="__123Graph_DEFF" hidden="1">'[5]T3 Page 1'!#REF!</definedName>
    <definedName name="__123Graph_DGR14PBF1" hidden="1">'[6]HIS19FIN(A)'!$AH$70:$AH$81</definedName>
    <definedName name="__123Graph_DLBF" hidden="1">'[5]T3 Page 1'!#REF!</definedName>
    <definedName name="__123Graph_DPIC" hidden="1">'[5]T3 Page 1'!#REF!</definedName>
    <definedName name="__123Graph_EACT13BUD" hidden="1">'[5]FC Page 1'!#REF!</definedName>
    <definedName name="__123Graph_ECFSINDIV" hidden="1">[3]Data!#REF!</definedName>
    <definedName name="__123Graph_ECFSUK" hidden="1">[3]Data!#REF!</definedName>
    <definedName name="__123Graph_EEFF" hidden="1">'[5]T3 Page 1'!#REF!</definedName>
    <definedName name="__123Graph_EEFFHIC" hidden="1">'[5]FC Page 1'!#REF!</definedName>
    <definedName name="__123Graph_EGR14PBF1" hidden="1">'[6]HIS19FIN(A)'!$AG$67:$AG$67</definedName>
    <definedName name="__123Graph_ELBF" hidden="1">'[5]T3 Page 1'!#REF!</definedName>
    <definedName name="__123Graph_EPIC" hidden="1">'[5]T3 Page 1'!#REF!</definedName>
    <definedName name="__123Graph_FACT13BUD" hidden="1">'[5]FC Page 1'!#REF!</definedName>
    <definedName name="__123Graph_FCFSUK" hidden="1">[3]Data!#REF!</definedName>
    <definedName name="__123Graph_FEFF" hidden="1">'[5]T3 Page 1'!#REF!</definedName>
    <definedName name="__123Graph_FEFFHIC" hidden="1">'[5]FC Page 1'!#REF!</definedName>
    <definedName name="__123Graph_FGR14PBF1" hidden="1">'[6]HIS19FIN(A)'!$AH$67:$AH$67</definedName>
    <definedName name="__123Graph_FLBF" hidden="1">'[5]T3 Page 1'!#REF!</definedName>
    <definedName name="__123Graph_FPIC" hidden="1">'[5]T3 Page 1'!#REF!</definedName>
    <definedName name="__123Graph_LBL_ARESID" hidden="1">'[6]HIS19FIN(A)'!$R$3:$W$3</definedName>
    <definedName name="__123Graph_LBL_BRESID" hidden="1">'[6]HIS19FIN(A)'!$R$3:$W$3</definedName>
    <definedName name="__123Graph_X" hidden="1">'[2]Forecast data'!#REF!</definedName>
    <definedName name="__123Graph_XACTHIC" hidden="1">'[5]FC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'[5]T3 Page 1'!#REF!</definedName>
    <definedName name="__123Graph_XGR14PBF1" hidden="1">'[6]HIS19FIN(A)'!$AL$70:$AL$81</definedName>
    <definedName name="__123Graph_XHOMEVAT" hidden="1">'[2]Forecast data'!#REF!</definedName>
    <definedName name="__123Graph_XIMPORT" hidden="1">'[2]Forecast data'!#REF!</definedName>
    <definedName name="__123Graph_XLBF" hidden="1">'[5]T3 Page 1'!#REF!</definedName>
    <definedName name="__123Graph_XLBFFIN2" hidden="1">'[6]HIS19FIN(A)'!$K$61:$Q$61</definedName>
    <definedName name="__123Graph_XLBFHIC" hidden="1">'[6]HIS19FIN(A)'!$D$61:$J$61</definedName>
    <definedName name="__123Graph_XLBFHIC2" hidden="1">'[6]HIS19FIN(A)'!$D$61:$J$61</definedName>
    <definedName name="__123Graph_XLCB" hidden="1">'[6]HIS19FIN(A)'!$D$79:$I$79</definedName>
    <definedName name="__123Graph_XNACFIN" hidden="1">'[6]HIS19FIN(A)'!$K$95:$Q$95</definedName>
    <definedName name="__123Graph_XNACHIC" hidden="1">'[6]HIS19FIN(A)'!$D$95:$J$95</definedName>
    <definedName name="__123Graph_XPDNUMBERS" hidden="1">'[7]SUMMARY TABLE'!$Q$6:$Q$49</definedName>
    <definedName name="__123Graph_XPDTRENDS" hidden="1">'[7]SUMMARY TABLE'!$P$23:$P$46</definedName>
    <definedName name="__123Graph_XPIC" hidden="1">'[5]T3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1__123Graph_ACHART_15" hidden="1">[8]USGC!$B$34:$B$53</definedName>
    <definedName name="_10__123Graph_XCHART_15" hidden="1">[8]USGC!$A$34:$A$53</definedName>
    <definedName name="_2__123Graph_BCHART_10" hidden="1">[8]USGC!$L$34:$L$53</definedName>
    <definedName name="_3__123Graph_BCHART_13" hidden="1">[8]USGC!$R$34:$R$53</definedName>
    <definedName name="_4__123Graph_BCHART_15" hidden="1">[8]USGC!$C$34:$C$53</definedName>
    <definedName name="_5__123Graph_CCHART_10" hidden="1">[8]USGC!$F$34:$F$53</definedName>
    <definedName name="_6__123Graph_CCHART_13" hidden="1">[8]USGC!$O$34:$O$53</definedName>
    <definedName name="_7__123Graph_CCHART_15" hidden="1">[8]USGC!$D$34:$D$53</definedName>
    <definedName name="_8__123Graph_XCHART_10" hidden="1">[8]USGC!$A$34:$A$53</definedName>
    <definedName name="_9__123Graph_XCHART_13" hidden="1">[8]USGC!$A$34:$A$53</definedName>
    <definedName name="_Fill" hidden="1">'[2]Forecast data'!#REF!</definedName>
    <definedName name="_xlnm._FilterDatabase" localSheetId="8" hidden="1">'2017_Unit_Cost_Entity'!$AG$3:$AK$322</definedName>
    <definedName name="_Key1" hidden="1">#REF!</definedName>
    <definedName name="_Order1" hidden="1">255</definedName>
    <definedName name="_Order2" hidden="1">255</definedName>
    <definedName name="_Regression_Out" hidden="1">#REF!</definedName>
    <definedName name="_Regression_X" hidden="1">#REF!</definedName>
    <definedName name="_Regression_Y" hidden="1">#REF!</definedName>
    <definedName name="asdas" localSheetId="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1"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LPH1" hidden="1">'[9]4.6 ten year bonds'!$A$4</definedName>
    <definedName name="BLPH2" hidden="1">'[9]4.6 ten year bonds'!$D$4</definedName>
    <definedName name="BLPH3" hidden="1">'[9]4.6 ten year bonds'!$G$4</definedName>
    <definedName name="BLPH4" hidden="1">'[9]4.6 ten year bonds'!$J$4</definedName>
    <definedName name="BLPH5" hidden="1">'[9]4.6 ten year bonds'!$M$4</definedName>
    <definedName name="dgsgf" localSheetId="1"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hidden="1">#REF!</definedName>
    <definedName name="EFO" hidden="1">'[2]Forecast data'!#REF!</definedName>
    <definedName name="Entity_Total_2016" localSheetId="4">#REF!</definedName>
    <definedName name="Entity_Total_2016">#REF!</definedName>
    <definedName name="Entity_Total_2017">#REF!</definedName>
    <definedName name="ExtraProfiles" hidden="1">#REF!</definedName>
    <definedName name="FDDD" localSheetId="1"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yu" hidden="1">'[2]Forecast data'!#REF!</definedName>
    <definedName name="ghj" localSheetId="1"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oup_Total_2016" localSheetId="4">#REF!</definedName>
    <definedName name="Group_Total_2016">#REF!</definedName>
    <definedName name="Group_Total_2017">#REF!</definedName>
    <definedName name="HTML_CodePage" hidden="1">1</definedName>
    <definedName name="HTML_Control" localSheetId="1"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jhkgh" localSheetId="1"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n" localSheetId="1"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OCONFLICT" localSheetId="1"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hidden="1">[10]Population!#REF!</definedName>
    <definedName name="Population" hidden="1">#REF!</definedName>
    <definedName name="_xlnm.Print_Area" localSheetId="2">Statements!$A$1:$F$149</definedName>
    <definedName name="_xlnm.Print_Titles" localSheetId="7">'2017_Unit_Cost_Consolidated'!$A:$B,'2017_Unit_Cost_Consolidated'!$3:$3</definedName>
    <definedName name="_xlnm.Print_Titles" localSheetId="8">'2017_Unit_Cost_Entity'!$A:$B,'2017_Unit_Cost_Entity'!$3:$3</definedName>
    <definedName name="_xlnm.Print_Titles" localSheetId="3">GA2017_Consolidated!$A:$B,GA2017_Consolidated!$5:$5</definedName>
    <definedName name="_xlnm.Print_Titles" localSheetId="4">GA2017_Entity!$A:$B,GA2017_Entity!$5:$5</definedName>
    <definedName name="Profiles" hidden="1">#REF!</definedName>
    <definedName name="Projections" hidden="1">#REF!</definedName>
    <definedName name="Results" hidden="1">[11]UK99!$A$1:$A$1</definedName>
    <definedName name="sdf" localSheetId="1"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tatus">#REF!</definedName>
    <definedName name="T4.9i" localSheetId="1"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1" hidden="1">{#N/A,#N/A,FALSE,"CGBR95C"}</definedName>
    <definedName name="wrn.table1." hidden="1">{#N/A,#N/A,FALSE,"CGBR95C"}</definedName>
    <definedName name="wrn.table2." localSheetId="1" hidden="1">{#N/A,#N/A,FALSE,"CGBR95C"}</definedName>
    <definedName name="wrn.table2." hidden="1">{#N/A,#N/A,FALSE,"CGBR95C"}</definedName>
    <definedName name="wrn.tablea." localSheetId="1" hidden="1">{#N/A,#N/A,FALSE,"CGBR95C"}</definedName>
    <definedName name="wrn.tablea." hidden="1">{#N/A,#N/A,FALSE,"CGBR95C"}</definedName>
    <definedName name="wrn.tableb." localSheetId="1" hidden="1">{#N/A,#N/A,FALSE,"CGBR95C"}</definedName>
    <definedName name="wrn.tableb." hidden="1">{#N/A,#N/A,FALSE,"CGBR95C"}</definedName>
    <definedName name="wrn.tableq." localSheetId="1" hidden="1">{#N/A,#N/A,FALSE,"CGBR95C"}</definedName>
    <definedName name="wrn.tableq." hidden="1">{#N/A,#N/A,FALSE,"CGBR95C"}</definedName>
    <definedName name="wrn.TMCOMP." localSheetId="1"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45621"/>
</workbook>
</file>

<file path=xl/calcChain.xml><?xml version="1.0" encoding="utf-8"?>
<calcChain xmlns="http://schemas.openxmlformats.org/spreadsheetml/2006/main">
  <c r="C62" i="31" l="1"/>
  <c r="C64" i="31"/>
  <c r="E62" i="31"/>
  <c r="E64" i="31"/>
  <c r="F43" i="36" l="1"/>
  <c r="F114" i="36"/>
  <c r="F231" i="36"/>
  <c r="F249" i="36"/>
  <c r="Q4" i="36" l="1"/>
  <c r="Q5" i="36"/>
  <c r="Q6" i="36"/>
  <c r="Q7" i="36"/>
  <c r="Q8" i="36"/>
  <c r="Q9" i="36"/>
  <c r="Q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48" i="36"/>
  <c r="Q49" i="36"/>
  <c r="Q50" i="36"/>
  <c r="Q51" i="36"/>
  <c r="Q52" i="36"/>
  <c r="Q53" i="36"/>
  <c r="Q54" i="36"/>
  <c r="Q55" i="36"/>
  <c r="Q56" i="36"/>
  <c r="Q57" i="36"/>
  <c r="Q58" i="36"/>
  <c r="Q59" i="36"/>
  <c r="Q60" i="36"/>
  <c r="Q61" i="36"/>
  <c r="Q62" i="36"/>
  <c r="Q63" i="36"/>
  <c r="Q64" i="36"/>
  <c r="Q65" i="36"/>
  <c r="Q66" i="36"/>
  <c r="Q67" i="36"/>
  <c r="Q68" i="36"/>
  <c r="Q69" i="36"/>
  <c r="Q70" i="36"/>
  <c r="Q71" i="36"/>
  <c r="Q72" i="36"/>
  <c r="Q73" i="36"/>
  <c r="Q74" i="36"/>
  <c r="Q75" i="36"/>
  <c r="Q76" i="36"/>
  <c r="Q77" i="36"/>
  <c r="Q78" i="36"/>
  <c r="Q79" i="36"/>
  <c r="Q80" i="36"/>
  <c r="Q81" i="36"/>
  <c r="Q82" i="36"/>
  <c r="Q83" i="36"/>
  <c r="Q84" i="36"/>
  <c r="Q85" i="36"/>
  <c r="Q86" i="36"/>
  <c r="Q87" i="36"/>
  <c r="Q88" i="36"/>
  <c r="Q89" i="36"/>
  <c r="Q90" i="36"/>
  <c r="Q91" i="36"/>
  <c r="Q92" i="36"/>
  <c r="Q93" i="36"/>
  <c r="Q94" i="36"/>
  <c r="Q95" i="36"/>
  <c r="Q96" i="36"/>
  <c r="Q97" i="36"/>
  <c r="Q98" i="36"/>
  <c r="Q99" i="36"/>
  <c r="Q100" i="36"/>
  <c r="Q101" i="36"/>
  <c r="Q102" i="36"/>
  <c r="Q103" i="36"/>
  <c r="Q104" i="36"/>
  <c r="Q105" i="36"/>
  <c r="Q106" i="36"/>
  <c r="Q107" i="36"/>
  <c r="Q108" i="36"/>
  <c r="Q109" i="36"/>
  <c r="Q110" i="36"/>
  <c r="Q111" i="36"/>
  <c r="Q112" i="36"/>
  <c r="Q113" i="36"/>
  <c r="Q114" i="36"/>
  <c r="Q115" i="36"/>
  <c r="Q116" i="36"/>
  <c r="Q117" i="36"/>
  <c r="Q118" i="36"/>
  <c r="Q119" i="36"/>
  <c r="Q120" i="36"/>
  <c r="Q121" i="36"/>
  <c r="Q122" i="36"/>
  <c r="Q123" i="36"/>
  <c r="Q124" i="36"/>
  <c r="Q125" i="36"/>
  <c r="Q126" i="36"/>
  <c r="Q127" i="36"/>
  <c r="Q128" i="36"/>
  <c r="Q129" i="36"/>
  <c r="Q130" i="36"/>
  <c r="Q131" i="36"/>
  <c r="Q132" i="36"/>
  <c r="Q133" i="36"/>
  <c r="Q134" i="36"/>
  <c r="Q135" i="36"/>
  <c r="Q136" i="36"/>
  <c r="Q137" i="36"/>
  <c r="Q138" i="36"/>
  <c r="Q139" i="36"/>
  <c r="Q140" i="36"/>
  <c r="Q141" i="36"/>
  <c r="Q142" i="36"/>
  <c r="Q143" i="36"/>
  <c r="Q144" i="36"/>
  <c r="Q145" i="36"/>
  <c r="Q146" i="36"/>
  <c r="Q147" i="36"/>
  <c r="Q148" i="36"/>
  <c r="Q149" i="36"/>
  <c r="Q150" i="36"/>
  <c r="Q151" i="36"/>
  <c r="Q152" i="36"/>
  <c r="Q153" i="36"/>
  <c r="Q154" i="36"/>
  <c r="Q155" i="36"/>
  <c r="Q156" i="36"/>
  <c r="Q157" i="36"/>
  <c r="Q158" i="36"/>
  <c r="Q159" i="36"/>
  <c r="Q160" i="36"/>
  <c r="Q161" i="36"/>
  <c r="Q162" i="36"/>
  <c r="Q163" i="36"/>
  <c r="Q164" i="36"/>
  <c r="Q165" i="36"/>
  <c r="Q166" i="36"/>
  <c r="Q167" i="36"/>
  <c r="Q168" i="36"/>
  <c r="Q169" i="36"/>
  <c r="Q170" i="36"/>
  <c r="Q171" i="36"/>
  <c r="Q172" i="36"/>
  <c r="Q173" i="36"/>
  <c r="Q174" i="36"/>
  <c r="Q175" i="36"/>
  <c r="Q176" i="36"/>
  <c r="Q177" i="36"/>
  <c r="Q178" i="36"/>
  <c r="Q179" i="36"/>
  <c r="Q180" i="36"/>
  <c r="Q181" i="36"/>
  <c r="Q182" i="36"/>
  <c r="Q183" i="36"/>
  <c r="Q184" i="36"/>
  <c r="Q185" i="36"/>
  <c r="Q186" i="36"/>
  <c r="Q187" i="36"/>
  <c r="Q188" i="36"/>
  <c r="Q189" i="36"/>
  <c r="Q190" i="36"/>
  <c r="Q191" i="36"/>
  <c r="Q192" i="36"/>
  <c r="Q193" i="36"/>
  <c r="Q194" i="36"/>
  <c r="Q195" i="36"/>
  <c r="Q196" i="36"/>
  <c r="Q197" i="36"/>
  <c r="Q198" i="36"/>
  <c r="Q199" i="36"/>
  <c r="Q200" i="36"/>
  <c r="Q201" i="36"/>
  <c r="Q202" i="36"/>
  <c r="Q203" i="36"/>
  <c r="Q204" i="36"/>
  <c r="Q205" i="36"/>
  <c r="Q206" i="36"/>
  <c r="Q207" i="36"/>
  <c r="Q208" i="36"/>
  <c r="Q209" i="36"/>
  <c r="Q210" i="36"/>
  <c r="Q211" i="36"/>
  <c r="Q212" i="36"/>
  <c r="Q213" i="36"/>
  <c r="Q214" i="36"/>
  <c r="Q215" i="36"/>
  <c r="Q216" i="36"/>
  <c r="Q217" i="36"/>
  <c r="Q218" i="36"/>
  <c r="Q219" i="36"/>
  <c r="Q220" i="36"/>
  <c r="Q221" i="36"/>
  <c r="Q222" i="36"/>
  <c r="Q223" i="36"/>
  <c r="Q224" i="36"/>
  <c r="Q225" i="36"/>
  <c r="Q226" i="36"/>
  <c r="Q227" i="36"/>
  <c r="Q228" i="36"/>
  <c r="Q229" i="36"/>
  <c r="Q230" i="36"/>
  <c r="Q231" i="36"/>
  <c r="Q232" i="36"/>
  <c r="Q233" i="36"/>
  <c r="Q234" i="36"/>
  <c r="Q235" i="36"/>
  <c r="Q236" i="36"/>
  <c r="Q237" i="36"/>
  <c r="Q238" i="36"/>
  <c r="Q239" i="36"/>
  <c r="Q240" i="36"/>
  <c r="Q241" i="36"/>
  <c r="Q242" i="36"/>
  <c r="Q243" i="36"/>
  <c r="Q244" i="36"/>
  <c r="Q245" i="36"/>
  <c r="Q246" i="36"/>
  <c r="Q247" i="36"/>
  <c r="Q248" i="36"/>
  <c r="Q249" i="36"/>
  <c r="Q250" i="36"/>
  <c r="Q251" i="36"/>
  <c r="Q252" i="36"/>
  <c r="Q253" i="36"/>
  <c r="Q254" i="36"/>
  <c r="Q255" i="36"/>
  <c r="Q256" i="36"/>
  <c r="Q257" i="36"/>
  <c r="Q258" i="36"/>
  <c r="Q259" i="36"/>
  <c r="Q260" i="36"/>
  <c r="Q261" i="36"/>
  <c r="Q262" i="36"/>
  <c r="Q263" i="36"/>
  <c r="Q264" i="36"/>
  <c r="Q265" i="36"/>
  <c r="Q266" i="36"/>
  <c r="Q267" i="36"/>
  <c r="Q268" i="36"/>
  <c r="Q269" i="36"/>
  <c r="Q270" i="36"/>
  <c r="Q271" i="36"/>
  <c r="Q272" i="36"/>
  <c r="Q273" i="36"/>
  <c r="Q274" i="36"/>
  <c r="Q275" i="36"/>
  <c r="Q276" i="36"/>
  <c r="Q277" i="36"/>
  <c r="Q278" i="36"/>
  <c r="Q279" i="36"/>
  <c r="Q280" i="36"/>
  <c r="Q281" i="36"/>
  <c r="Q282" i="36"/>
  <c r="Q283" i="36"/>
  <c r="Q284" i="36"/>
  <c r="Q285" i="36"/>
  <c r="Q286" i="36"/>
  <c r="Q287" i="36"/>
  <c r="Q288" i="36"/>
  <c r="Q289" i="36"/>
  <c r="Q290" i="36"/>
  <c r="Q291" i="36"/>
  <c r="Q292" i="36"/>
  <c r="Q293" i="36"/>
  <c r="Q294" i="36"/>
  <c r="Q295" i="36"/>
  <c r="Q296" i="36"/>
  <c r="Q297" i="36"/>
  <c r="Q298" i="36"/>
  <c r="Q299" i="36"/>
  <c r="Q300" i="36"/>
  <c r="Q301" i="36"/>
  <c r="Q302" i="36"/>
  <c r="Q303" i="36"/>
  <c r="Q304" i="36"/>
  <c r="Q305" i="36"/>
  <c r="Q306" i="36"/>
  <c r="Q307" i="36"/>
  <c r="Q308" i="36"/>
  <c r="Q309" i="36"/>
  <c r="Q310" i="36"/>
  <c r="Q311" i="36"/>
  <c r="Q312" i="36"/>
  <c r="Q313" i="36"/>
  <c r="Q314" i="36"/>
  <c r="Q315" i="36"/>
  <c r="Q316" i="36"/>
  <c r="Q317" i="36"/>
  <c r="Q318" i="36"/>
  <c r="Q319" i="36"/>
  <c r="Q320" i="36"/>
  <c r="Q321" i="36"/>
  <c r="Q322" i="36"/>
  <c r="N4" i="36"/>
  <c r="N5" i="36"/>
  <c r="N6" i="36"/>
  <c r="N7" i="36"/>
  <c r="N8" i="36"/>
  <c r="N9" i="36"/>
  <c r="N10" i="36"/>
  <c r="N11" i="36"/>
  <c r="N12" i="36"/>
  <c r="N13" i="36"/>
  <c r="N14" i="36"/>
  <c r="N15" i="36"/>
  <c r="N16" i="36"/>
  <c r="N17" i="36"/>
  <c r="N18" i="36"/>
  <c r="N19" i="36"/>
  <c r="N20" i="36"/>
  <c r="N21" i="36"/>
  <c r="N22" i="36"/>
  <c r="N23" i="36"/>
  <c r="N24" i="36"/>
  <c r="N25" i="36"/>
  <c r="N26" i="36"/>
  <c r="N27" i="36"/>
  <c r="N28" i="36"/>
  <c r="N29" i="36"/>
  <c r="N30" i="36"/>
  <c r="N31" i="36"/>
  <c r="N32" i="36"/>
  <c r="N33" i="36"/>
  <c r="N34" i="36"/>
  <c r="N35" i="36"/>
  <c r="N36" i="36"/>
  <c r="N37" i="36"/>
  <c r="N38" i="36"/>
  <c r="N39" i="36"/>
  <c r="N40" i="36"/>
  <c r="N41" i="36"/>
  <c r="N42" i="36"/>
  <c r="N43" i="36"/>
  <c r="N44" i="36"/>
  <c r="N45" i="36"/>
  <c r="N46" i="36"/>
  <c r="N47" i="36"/>
  <c r="N48" i="36"/>
  <c r="N49" i="36"/>
  <c r="N50" i="36"/>
  <c r="N51" i="36"/>
  <c r="N52" i="36"/>
  <c r="N53" i="36"/>
  <c r="N54" i="36"/>
  <c r="N55" i="36"/>
  <c r="N56" i="36"/>
  <c r="N57" i="36"/>
  <c r="N58" i="36"/>
  <c r="N59" i="36"/>
  <c r="N60" i="36"/>
  <c r="N61" i="36"/>
  <c r="N62" i="36"/>
  <c r="N63" i="36"/>
  <c r="N64" i="36"/>
  <c r="N65" i="36"/>
  <c r="N66" i="36"/>
  <c r="N67" i="36"/>
  <c r="N68" i="36"/>
  <c r="N69" i="36"/>
  <c r="N70" i="36"/>
  <c r="N71" i="36"/>
  <c r="N72" i="36"/>
  <c r="N73" i="36"/>
  <c r="N74" i="36"/>
  <c r="N75" i="36"/>
  <c r="N76" i="36"/>
  <c r="N77" i="36"/>
  <c r="N78" i="36"/>
  <c r="N79" i="36"/>
  <c r="N80" i="36"/>
  <c r="N81" i="36"/>
  <c r="N82" i="36"/>
  <c r="N83" i="36"/>
  <c r="N84" i="36"/>
  <c r="N85" i="36"/>
  <c r="N86" i="36"/>
  <c r="N87" i="36"/>
  <c r="N88" i="36"/>
  <c r="N89" i="36"/>
  <c r="N90" i="36"/>
  <c r="N91" i="36"/>
  <c r="N92" i="36"/>
  <c r="N93" i="36"/>
  <c r="N94" i="36"/>
  <c r="N95" i="36"/>
  <c r="N96" i="36"/>
  <c r="N97" i="36"/>
  <c r="N98" i="36"/>
  <c r="N99" i="36"/>
  <c r="N100" i="36"/>
  <c r="N101" i="36"/>
  <c r="N102" i="36"/>
  <c r="N103" i="36"/>
  <c r="N104" i="36"/>
  <c r="N105" i="36"/>
  <c r="N106" i="36"/>
  <c r="N107" i="36"/>
  <c r="N108" i="36"/>
  <c r="N109" i="36"/>
  <c r="N110" i="36"/>
  <c r="N111" i="36"/>
  <c r="N112" i="36"/>
  <c r="N113" i="36"/>
  <c r="N114" i="36"/>
  <c r="N115" i="36"/>
  <c r="N116" i="36"/>
  <c r="N117" i="36"/>
  <c r="N118" i="36"/>
  <c r="N119" i="36"/>
  <c r="N120" i="36"/>
  <c r="N121" i="36"/>
  <c r="N122" i="36"/>
  <c r="N123" i="36"/>
  <c r="N124" i="36"/>
  <c r="N125" i="36"/>
  <c r="N126" i="36"/>
  <c r="N127" i="36"/>
  <c r="N128" i="36"/>
  <c r="N129" i="36"/>
  <c r="N130" i="36"/>
  <c r="N131" i="36"/>
  <c r="N132" i="36"/>
  <c r="N133" i="36"/>
  <c r="N134" i="36"/>
  <c r="N135" i="36"/>
  <c r="N136" i="36"/>
  <c r="N137" i="36"/>
  <c r="N138" i="36"/>
  <c r="N139" i="36"/>
  <c r="N140" i="36"/>
  <c r="N141" i="36"/>
  <c r="N142" i="36"/>
  <c r="N143" i="36"/>
  <c r="N144" i="36"/>
  <c r="N145" i="36"/>
  <c r="N146" i="36"/>
  <c r="N147" i="36"/>
  <c r="N148" i="36"/>
  <c r="N149" i="36"/>
  <c r="N150" i="36"/>
  <c r="N151" i="36"/>
  <c r="N152" i="36"/>
  <c r="N153" i="36"/>
  <c r="N154" i="36"/>
  <c r="N155" i="36"/>
  <c r="N156" i="36"/>
  <c r="N157" i="36"/>
  <c r="N158" i="36"/>
  <c r="N159" i="36"/>
  <c r="N160" i="36"/>
  <c r="N161" i="36"/>
  <c r="N162" i="36"/>
  <c r="N163" i="36"/>
  <c r="N164" i="36"/>
  <c r="N165" i="36"/>
  <c r="N166" i="36"/>
  <c r="N167" i="36"/>
  <c r="N168" i="36"/>
  <c r="N169" i="36"/>
  <c r="N170" i="36"/>
  <c r="N171" i="36"/>
  <c r="N172" i="36"/>
  <c r="N173" i="36"/>
  <c r="N174" i="36"/>
  <c r="N175" i="36"/>
  <c r="N176" i="36"/>
  <c r="N177" i="36"/>
  <c r="N178" i="36"/>
  <c r="N179" i="36"/>
  <c r="N180" i="36"/>
  <c r="N181" i="36"/>
  <c r="N182" i="36"/>
  <c r="N183" i="36"/>
  <c r="N184" i="36"/>
  <c r="N185" i="36"/>
  <c r="N186" i="36"/>
  <c r="N187" i="36"/>
  <c r="N188" i="36"/>
  <c r="N189" i="36"/>
  <c r="N190" i="36"/>
  <c r="N191" i="36"/>
  <c r="N192" i="36"/>
  <c r="N193" i="36"/>
  <c r="N194" i="36"/>
  <c r="N195" i="36"/>
  <c r="N196" i="36"/>
  <c r="N197" i="36"/>
  <c r="N198" i="36"/>
  <c r="N199" i="36"/>
  <c r="N200" i="36"/>
  <c r="N201" i="36"/>
  <c r="N202" i="36"/>
  <c r="N203" i="36"/>
  <c r="N204" i="36"/>
  <c r="N205" i="36"/>
  <c r="N206" i="36"/>
  <c r="N207" i="36"/>
  <c r="N208" i="36"/>
  <c r="N209" i="36"/>
  <c r="N210" i="36"/>
  <c r="N211" i="36"/>
  <c r="N212" i="36"/>
  <c r="N213" i="36"/>
  <c r="N214" i="36"/>
  <c r="N215" i="36"/>
  <c r="N216" i="36"/>
  <c r="N217" i="36"/>
  <c r="N218" i="36"/>
  <c r="N219" i="36"/>
  <c r="N220" i="36"/>
  <c r="N221" i="36"/>
  <c r="N222" i="36"/>
  <c r="N223" i="36"/>
  <c r="N224" i="36"/>
  <c r="N225" i="36"/>
  <c r="N226" i="36"/>
  <c r="N227" i="36"/>
  <c r="N228" i="36"/>
  <c r="N229" i="36"/>
  <c r="N230" i="36"/>
  <c r="N231" i="36"/>
  <c r="N232" i="36"/>
  <c r="N233" i="36"/>
  <c r="N234" i="36"/>
  <c r="N235" i="36"/>
  <c r="N236" i="36"/>
  <c r="N237" i="36"/>
  <c r="N238" i="36"/>
  <c r="N239" i="36"/>
  <c r="N240" i="36"/>
  <c r="N241" i="36"/>
  <c r="N242" i="36"/>
  <c r="N243" i="36"/>
  <c r="N244" i="36"/>
  <c r="N245" i="36"/>
  <c r="N246" i="36"/>
  <c r="N247" i="36"/>
  <c r="N248" i="36"/>
  <c r="N249" i="36"/>
  <c r="N250" i="36"/>
  <c r="N251" i="36"/>
  <c r="N252" i="36"/>
  <c r="N253" i="36"/>
  <c r="N254" i="36"/>
  <c r="N255" i="36"/>
  <c r="N256" i="36"/>
  <c r="N257" i="36"/>
  <c r="N258" i="36"/>
  <c r="N259" i="36"/>
  <c r="N260" i="36"/>
  <c r="N261" i="36"/>
  <c r="N262" i="36"/>
  <c r="N263" i="36"/>
  <c r="N264" i="36"/>
  <c r="N265" i="36"/>
  <c r="N266" i="36"/>
  <c r="N267" i="36"/>
  <c r="N268" i="36"/>
  <c r="N269" i="36"/>
  <c r="N270" i="36"/>
  <c r="N271" i="36"/>
  <c r="N272" i="36"/>
  <c r="N273" i="36"/>
  <c r="N274" i="36"/>
  <c r="N275" i="36"/>
  <c r="N276" i="36"/>
  <c r="N277" i="36"/>
  <c r="N278" i="36"/>
  <c r="N279" i="36"/>
  <c r="N280" i="36"/>
  <c r="N281" i="36"/>
  <c r="N282" i="36"/>
  <c r="N283" i="36"/>
  <c r="N284" i="36"/>
  <c r="N285" i="36"/>
  <c r="N286" i="36"/>
  <c r="N287" i="36"/>
  <c r="N288" i="36"/>
  <c r="N289" i="36"/>
  <c r="N290" i="36"/>
  <c r="N291" i="36"/>
  <c r="N292" i="36"/>
  <c r="N293" i="36"/>
  <c r="N294" i="36"/>
  <c r="N295" i="36"/>
  <c r="N296" i="36"/>
  <c r="N297" i="36"/>
  <c r="N298" i="36"/>
  <c r="N299" i="36"/>
  <c r="N300" i="36"/>
  <c r="N301" i="36"/>
  <c r="N302" i="36"/>
  <c r="N303" i="36"/>
  <c r="N304" i="36"/>
  <c r="N305" i="36"/>
  <c r="N306" i="36"/>
  <c r="N307" i="36"/>
  <c r="N308" i="36"/>
  <c r="N309" i="36"/>
  <c r="N310" i="36"/>
  <c r="N311" i="36"/>
  <c r="N312" i="36"/>
  <c r="N313" i="36"/>
  <c r="N314" i="36"/>
  <c r="N315" i="36"/>
  <c r="N316" i="36"/>
  <c r="N317" i="36"/>
  <c r="N318" i="36"/>
  <c r="N319" i="36"/>
  <c r="N320" i="36"/>
  <c r="N321" i="36"/>
  <c r="N322" i="36"/>
  <c r="K4" i="36"/>
  <c r="K5" i="36"/>
  <c r="K6" i="36"/>
  <c r="K7" i="36"/>
  <c r="K8" i="36"/>
  <c r="K9" i="36"/>
  <c r="K10" i="36"/>
  <c r="K11" i="36"/>
  <c r="K12" i="36"/>
  <c r="K13" i="36"/>
  <c r="K14" i="36"/>
  <c r="K15" i="36"/>
  <c r="K16" i="36"/>
  <c r="K17"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52" i="36"/>
  <c r="K53" i="36"/>
  <c r="K54" i="36"/>
  <c r="K55" i="36"/>
  <c r="K56" i="36"/>
  <c r="K57" i="36"/>
  <c r="K58" i="36"/>
  <c r="K59" i="36"/>
  <c r="K60" i="36"/>
  <c r="K61" i="36"/>
  <c r="K62" i="36"/>
  <c r="K63" i="36"/>
  <c r="K64" i="36"/>
  <c r="K65" i="36"/>
  <c r="K66" i="36"/>
  <c r="K67" i="36"/>
  <c r="K68" i="36"/>
  <c r="K69" i="36"/>
  <c r="K70" i="36"/>
  <c r="K71" i="36"/>
  <c r="K72" i="36"/>
  <c r="K73" i="36"/>
  <c r="K74" i="36"/>
  <c r="K75" i="36"/>
  <c r="K76" i="36"/>
  <c r="K77" i="36"/>
  <c r="K78" i="36"/>
  <c r="K79" i="36"/>
  <c r="K80" i="36"/>
  <c r="K81" i="36"/>
  <c r="K82" i="36"/>
  <c r="K83" i="36"/>
  <c r="K84" i="36"/>
  <c r="K85" i="36"/>
  <c r="K86" i="36"/>
  <c r="K87" i="36"/>
  <c r="K88" i="36"/>
  <c r="K89" i="36"/>
  <c r="K90" i="36"/>
  <c r="K91" i="36"/>
  <c r="K92" i="36"/>
  <c r="K93" i="36"/>
  <c r="K94" i="36"/>
  <c r="K95" i="36"/>
  <c r="K96" i="36"/>
  <c r="K97" i="36"/>
  <c r="K98" i="36"/>
  <c r="K99" i="36"/>
  <c r="K100" i="36"/>
  <c r="K101" i="36"/>
  <c r="K102" i="36"/>
  <c r="K103" i="36"/>
  <c r="K104" i="36"/>
  <c r="K105" i="36"/>
  <c r="K106" i="36"/>
  <c r="K107" i="36"/>
  <c r="K108" i="36"/>
  <c r="K109" i="36"/>
  <c r="K110" i="36"/>
  <c r="K111" i="36"/>
  <c r="K112" i="36"/>
  <c r="K113" i="36"/>
  <c r="K114" i="36"/>
  <c r="K115" i="36"/>
  <c r="K116" i="36"/>
  <c r="K117" i="36"/>
  <c r="K118" i="36"/>
  <c r="K119" i="36"/>
  <c r="K120" i="36"/>
  <c r="K121" i="36"/>
  <c r="K122" i="36"/>
  <c r="K123" i="36"/>
  <c r="K124" i="36"/>
  <c r="K125" i="36"/>
  <c r="K126" i="36"/>
  <c r="K127" i="36"/>
  <c r="K128" i="36"/>
  <c r="K129" i="36"/>
  <c r="K130" i="36"/>
  <c r="K131" i="36"/>
  <c r="K132" i="36"/>
  <c r="K133" i="36"/>
  <c r="K134" i="36"/>
  <c r="K135" i="36"/>
  <c r="K136" i="36"/>
  <c r="K137" i="36"/>
  <c r="K138" i="36"/>
  <c r="K139" i="36"/>
  <c r="K140" i="36"/>
  <c r="K141" i="36"/>
  <c r="K142" i="36"/>
  <c r="K143" i="36"/>
  <c r="K144" i="36"/>
  <c r="K145" i="36"/>
  <c r="K146" i="36"/>
  <c r="K147" i="36"/>
  <c r="K148" i="36"/>
  <c r="K149" i="36"/>
  <c r="K150" i="36"/>
  <c r="K151" i="36"/>
  <c r="K152" i="36"/>
  <c r="K153" i="36"/>
  <c r="K154" i="36"/>
  <c r="K155" i="36"/>
  <c r="K156" i="36"/>
  <c r="K157" i="36"/>
  <c r="K158" i="36"/>
  <c r="K159" i="36"/>
  <c r="K160" i="36"/>
  <c r="K161" i="36"/>
  <c r="K162" i="36"/>
  <c r="K163" i="36"/>
  <c r="K164" i="36"/>
  <c r="K165" i="36"/>
  <c r="K166" i="36"/>
  <c r="K167" i="36"/>
  <c r="K168" i="36"/>
  <c r="K169" i="36"/>
  <c r="K170" i="36"/>
  <c r="K171" i="36"/>
  <c r="K172" i="36"/>
  <c r="K173" i="36"/>
  <c r="K174" i="36"/>
  <c r="K175" i="36"/>
  <c r="K176" i="36"/>
  <c r="K177" i="36"/>
  <c r="K178" i="36"/>
  <c r="K179" i="36"/>
  <c r="K180" i="36"/>
  <c r="K181" i="36"/>
  <c r="K182" i="36"/>
  <c r="K183" i="36"/>
  <c r="K184" i="36"/>
  <c r="K185" i="36"/>
  <c r="K186" i="36"/>
  <c r="K187" i="36"/>
  <c r="K188" i="36"/>
  <c r="K189" i="36"/>
  <c r="K190" i="36"/>
  <c r="K191" i="36"/>
  <c r="K192" i="36"/>
  <c r="K193" i="36"/>
  <c r="K194" i="36"/>
  <c r="K195" i="36"/>
  <c r="K196" i="36"/>
  <c r="K197" i="36"/>
  <c r="K198" i="36"/>
  <c r="K199" i="36"/>
  <c r="K200" i="36"/>
  <c r="K201" i="36"/>
  <c r="K202" i="36"/>
  <c r="K203" i="36"/>
  <c r="K204" i="36"/>
  <c r="K205" i="36"/>
  <c r="K206" i="36"/>
  <c r="K207" i="36"/>
  <c r="K208" i="36"/>
  <c r="K209" i="36"/>
  <c r="K210" i="36"/>
  <c r="K211" i="36"/>
  <c r="K212" i="36"/>
  <c r="K213" i="36"/>
  <c r="K214" i="36"/>
  <c r="K215" i="36"/>
  <c r="K216" i="36"/>
  <c r="K217" i="36"/>
  <c r="K218" i="36"/>
  <c r="K219" i="36"/>
  <c r="K220" i="36"/>
  <c r="K221" i="36"/>
  <c r="K222" i="36"/>
  <c r="K223" i="36"/>
  <c r="K224" i="36"/>
  <c r="K225" i="36"/>
  <c r="K226" i="36"/>
  <c r="K227" i="36"/>
  <c r="K228" i="36"/>
  <c r="K229" i="36"/>
  <c r="K230" i="36"/>
  <c r="K231" i="36"/>
  <c r="K232" i="36"/>
  <c r="K233" i="36"/>
  <c r="K234" i="36"/>
  <c r="K235" i="36"/>
  <c r="K236" i="36"/>
  <c r="K237" i="36"/>
  <c r="K238" i="36"/>
  <c r="K239" i="36"/>
  <c r="K240" i="36"/>
  <c r="K241" i="36"/>
  <c r="K242" i="36"/>
  <c r="K243" i="36"/>
  <c r="K244" i="36"/>
  <c r="K245" i="36"/>
  <c r="K246" i="36"/>
  <c r="K247" i="36"/>
  <c r="K248" i="36"/>
  <c r="K249" i="36"/>
  <c r="K250" i="36"/>
  <c r="K251" i="36"/>
  <c r="K252" i="36"/>
  <c r="K253" i="36"/>
  <c r="K254" i="36"/>
  <c r="K255" i="36"/>
  <c r="K256" i="36"/>
  <c r="K257" i="36"/>
  <c r="K258" i="36"/>
  <c r="K259" i="36"/>
  <c r="K260" i="36"/>
  <c r="K261" i="36"/>
  <c r="K262" i="36"/>
  <c r="K263" i="36"/>
  <c r="K264" i="36"/>
  <c r="K265" i="36"/>
  <c r="K266" i="36"/>
  <c r="K267" i="36"/>
  <c r="K268" i="36"/>
  <c r="K269" i="36"/>
  <c r="K270" i="36"/>
  <c r="K271" i="36"/>
  <c r="K272" i="36"/>
  <c r="K273" i="36"/>
  <c r="K274" i="36"/>
  <c r="K275" i="36"/>
  <c r="K276" i="36"/>
  <c r="K277" i="36"/>
  <c r="K278" i="36"/>
  <c r="K279" i="36"/>
  <c r="K280" i="36"/>
  <c r="K281" i="36"/>
  <c r="K282" i="36"/>
  <c r="K283" i="36"/>
  <c r="K284" i="36"/>
  <c r="K285" i="36"/>
  <c r="K286" i="36"/>
  <c r="K287" i="36"/>
  <c r="K288" i="36"/>
  <c r="K289" i="36"/>
  <c r="K290" i="36"/>
  <c r="K291" i="36"/>
  <c r="K292" i="36"/>
  <c r="K293" i="36"/>
  <c r="K294" i="36"/>
  <c r="K295" i="36"/>
  <c r="K296" i="36"/>
  <c r="K297" i="36"/>
  <c r="K298" i="36"/>
  <c r="K299" i="36"/>
  <c r="K300" i="36"/>
  <c r="K301" i="36"/>
  <c r="K302" i="36"/>
  <c r="K303" i="36"/>
  <c r="K304" i="36"/>
  <c r="K305" i="36"/>
  <c r="K306" i="36"/>
  <c r="K307" i="36"/>
  <c r="K308" i="36"/>
  <c r="K309" i="36"/>
  <c r="K310" i="36"/>
  <c r="K311" i="36"/>
  <c r="K312" i="36"/>
  <c r="K313" i="36"/>
  <c r="K314" i="36"/>
  <c r="K315" i="36"/>
  <c r="K316" i="36"/>
  <c r="K317" i="36"/>
  <c r="K318" i="36"/>
  <c r="K319" i="36"/>
  <c r="K320" i="36"/>
  <c r="K321" i="36"/>
  <c r="K322" i="36"/>
  <c r="I4" i="36"/>
  <c r="I5" i="36"/>
  <c r="I6" i="36"/>
  <c r="I7" i="36"/>
  <c r="I8" i="36"/>
  <c r="I9" i="36"/>
  <c r="I10"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1" i="36"/>
  <c r="I52" i="36"/>
  <c r="I53" i="36"/>
  <c r="I54" i="36"/>
  <c r="I55" i="36"/>
  <c r="I56" i="36"/>
  <c r="I57" i="36"/>
  <c r="I58" i="36"/>
  <c r="I59" i="36"/>
  <c r="I60" i="36"/>
  <c r="I61" i="36"/>
  <c r="I62" i="36"/>
  <c r="I63" i="36"/>
  <c r="I64" i="36"/>
  <c r="I65" i="36"/>
  <c r="I66" i="36"/>
  <c r="I67" i="36"/>
  <c r="I68" i="36"/>
  <c r="I69" i="36"/>
  <c r="I70" i="36"/>
  <c r="I71" i="36"/>
  <c r="I72" i="36"/>
  <c r="I73" i="36"/>
  <c r="I74" i="36"/>
  <c r="I75" i="36"/>
  <c r="I76" i="36"/>
  <c r="I77" i="36"/>
  <c r="I78" i="36"/>
  <c r="I79" i="36"/>
  <c r="I80" i="36"/>
  <c r="I81" i="36"/>
  <c r="I82" i="36"/>
  <c r="I83" i="36"/>
  <c r="I84" i="36"/>
  <c r="I85" i="36"/>
  <c r="I86" i="36"/>
  <c r="I87" i="36"/>
  <c r="I88" i="36"/>
  <c r="I89" i="36"/>
  <c r="I90" i="36"/>
  <c r="I91" i="36"/>
  <c r="I92" i="36"/>
  <c r="I93" i="36"/>
  <c r="I94" i="36"/>
  <c r="I95" i="36"/>
  <c r="I96" i="36"/>
  <c r="I97" i="36"/>
  <c r="I98" i="36"/>
  <c r="I99" i="36"/>
  <c r="I100" i="36"/>
  <c r="I101" i="36"/>
  <c r="I102" i="36"/>
  <c r="I103" i="36"/>
  <c r="I104" i="36"/>
  <c r="I105" i="36"/>
  <c r="I106" i="36"/>
  <c r="I107" i="36"/>
  <c r="I108" i="36"/>
  <c r="I109" i="36"/>
  <c r="I110" i="36"/>
  <c r="I111" i="36"/>
  <c r="I112" i="36"/>
  <c r="I113" i="36"/>
  <c r="I114" i="36"/>
  <c r="I115" i="36"/>
  <c r="I116" i="36"/>
  <c r="I117" i="36"/>
  <c r="I118" i="36"/>
  <c r="I119" i="36"/>
  <c r="I120" i="36"/>
  <c r="I121" i="36"/>
  <c r="I122" i="36"/>
  <c r="I123" i="36"/>
  <c r="I124" i="36"/>
  <c r="I125" i="36"/>
  <c r="I126" i="36"/>
  <c r="I127" i="36"/>
  <c r="I128" i="36"/>
  <c r="I129" i="36"/>
  <c r="I130" i="36"/>
  <c r="I131" i="36"/>
  <c r="I132" i="36"/>
  <c r="I133" i="36"/>
  <c r="I134" i="36"/>
  <c r="I135" i="36"/>
  <c r="I136" i="36"/>
  <c r="I137" i="36"/>
  <c r="I138" i="36"/>
  <c r="I139" i="36"/>
  <c r="I140" i="36"/>
  <c r="I141" i="36"/>
  <c r="I142" i="36"/>
  <c r="I143" i="36"/>
  <c r="I144" i="36"/>
  <c r="I145" i="36"/>
  <c r="I146" i="36"/>
  <c r="I147" i="36"/>
  <c r="I148" i="36"/>
  <c r="I149" i="36"/>
  <c r="I150" i="36"/>
  <c r="I151" i="36"/>
  <c r="I152" i="36"/>
  <c r="I153" i="36"/>
  <c r="I154" i="36"/>
  <c r="I155" i="36"/>
  <c r="I156" i="36"/>
  <c r="I157" i="36"/>
  <c r="I158" i="36"/>
  <c r="I159" i="36"/>
  <c r="I160" i="36"/>
  <c r="I161" i="36"/>
  <c r="I162" i="36"/>
  <c r="I163" i="36"/>
  <c r="I164" i="36"/>
  <c r="I165" i="36"/>
  <c r="I166" i="36"/>
  <c r="I167" i="36"/>
  <c r="I168" i="36"/>
  <c r="I169" i="36"/>
  <c r="I170" i="36"/>
  <c r="I171" i="36"/>
  <c r="I172" i="36"/>
  <c r="I173" i="36"/>
  <c r="I174" i="36"/>
  <c r="I175" i="36"/>
  <c r="I176" i="36"/>
  <c r="I177" i="36"/>
  <c r="I178" i="36"/>
  <c r="I179" i="36"/>
  <c r="I180" i="36"/>
  <c r="I181" i="36"/>
  <c r="I182" i="36"/>
  <c r="I183" i="36"/>
  <c r="I184" i="36"/>
  <c r="I185" i="36"/>
  <c r="I186" i="36"/>
  <c r="I187" i="36"/>
  <c r="I188" i="36"/>
  <c r="I189" i="36"/>
  <c r="I190" i="36"/>
  <c r="I191" i="36"/>
  <c r="I192" i="36"/>
  <c r="I193" i="36"/>
  <c r="I194" i="36"/>
  <c r="I195" i="36"/>
  <c r="I196" i="36"/>
  <c r="I197" i="36"/>
  <c r="I198" i="36"/>
  <c r="I199" i="36"/>
  <c r="I200" i="36"/>
  <c r="I201" i="36"/>
  <c r="I202" i="36"/>
  <c r="I203" i="36"/>
  <c r="I204" i="36"/>
  <c r="I205" i="36"/>
  <c r="I206" i="36"/>
  <c r="I207" i="36"/>
  <c r="I208" i="36"/>
  <c r="I209" i="36"/>
  <c r="I210" i="36"/>
  <c r="I211" i="36"/>
  <c r="I212" i="36"/>
  <c r="I213" i="36"/>
  <c r="I214" i="36"/>
  <c r="I215" i="36"/>
  <c r="I216" i="36"/>
  <c r="I217" i="36"/>
  <c r="I218" i="36"/>
  <c r="I219" i="36"/>
  <c r="I220" i="36"/>
  <c r="I221" i="36"/>
  <c r="I222" i="36"/>
  <c r="I223" i="36"/>
  <c r="I224" i="36"/>
  <c r="I225" i="36"/>
  <c r="I226" i="36"/>
  <c r="I227" i="36"/>
  <c r="I228" i="36"/>
  <c r="I229" i="36"/>
  <c r="I230" i="36"/>
  <c r="I231" i="36"/>
  <c r="I232" i="36"/>
  <c r="I233" i="36"/>
  <c r="I234" i="36"/>
  <c r="I235" i="36"/>
  <c r="I236" i="36"/>
  <c r="I237" i="36"/>
  <c r="I238" i="36"/>
  <c r="I239" i="36"/>
  <c r="I240" i="36"/>
  <c r="I241" i="36"/>
  <c r="I242" i="36"/>
  <c r="I243" i="36"/>
  <c r="I244" i="36"/>
  <c r="I245" i="36"/>
  <c r="I246" i="36"/>
  <c r="I247" i="36"/>
  <c r="I248" i="36"/>
  <c r="I249" i="36"/>
  <c r="I250" i="36"/>
  <c r="I251" i="36"/>
  <c r="I252" i="36"/>
  <c r="I253" i="36"/>
  <c r="I254" i="36"/>
  <c r="I255" i="36"/>
  <c r="I256" i="36"/>
  <c r="I257" i="36"/>
  <c r="I258" i="36"/>
  <c r="I259" i="36"/>
  <c r="I260" i="36"/>
  <c r="I261" i="36"/>
  <c r="I262" i="36"/>
  <c r="I263" i="36"/>
  <c r="I264" i="36"/>
  <c r="I265" i="36"/>
  <c r="I266" i="36"/>
  <c r="I267" i="36"/>
  <c r="I268" i="36"/>
  <c r="I269" i="36"/>
  <c r="I270" i="36"/>
  <c r="I271" i="36"/>
  <c r="I272" i="36"/>
  <c r="I273" i="36"/>
  <c r="I274" i="36"/>
  <c r="I275" i="36"/>
  <c r="I276" i="36"/>
  <c r="I277" i="36"/>
  <c r="I278" i="36"/>
  <c r="I279" i="36"/>
  <c r="I280" i="36"/>
  <c r="I281" i="36"/>
  <c r="I282" i="36"/>
  <c r="I283" i="36"/>
  <c r="I284" i="36"/>
  <c r="I285" i="36"/>
  <c r="I286" i="36"/>
  <c r="I287" i="36"/>
  <c r="I288" i="36"/>
  <c r="I289" i="36"/>
  <c r="I290" i="36"/>
  <c r="I291" i="36"/>
  <c r="I292" i="36"/>
  <c r="I293" i="36"/>
  <c r="I294" i="36"/>
  <c r="I295" i="36"/>
  <c r="I296" i="36"/>
  <c r="I297" i="36"/>
  <c r="I298" i="36"/>
  <c r="I299" i="36"/>
  <c r="I300" i="36"/>
  <c r="I301" i="36"/>
  <c r="I302" i="36"/>
  <c r="I303" i="36"/>
  <c r="I304" i="36"/>
  <c r="I305" i="36"/>
  <c r="I306" i="36"/>
  <c r="I307" i="36"/>
  <c r="I308" i="36"/>
  <c r="I309" i="36"/>
  <c r="I310" i="36"/>
  <c r="I311" i="36"/>
  <c r="I312" i="36"/>
  <c r="I313" i="36"/>
  <c r="I314" i="36"/>
  <c r="I315" i="36"/>
  <c r="I316" i="36"/>
  <c r="I317" i="36"/>
  <c r="I318" i="36"/>
  <c r="I319" i="36"/>
  <c r="I320" i="36"/>
  <c r="I321" i="36"/>
  <c r="I322" i="36"/>
  <c r="G4" i="36"/>
  <c r="G5" i="36"/>
  <c r="G6" i="36"/>
  <c r="G7" i="36"/>
  <c r="G8" i="36"/>
  <c r="G9" i="36"/>
  <c r="G10" i="36"/>
  <c r="G11" i="36"/>
  <c r="G12" i="36"/>
  <c r="G13" i="36"/>
  <c r="G14" i="36"/>
  <c r="G15" i="36"/>
  <c r="G16" i="36"/>
  <c r="G17" i="36"/>
  <c r="G18" i="36"/>
  <c r="G19" i="36"/>
  <c r="G20" i="36"/>
  <c r="G21" i="36"/>
  <c r="G22" i="36"/>
  <c r="G23" i="36"/>
  <c r="G24" i="36"/>
  <c r="G25" i="36"/>
  <c r="G26" i="36"/>
  <c r="G27" i="36"/>
  <c r="G28" i="36"/>
  <c r="G29" i="36"/>
  <c r="G30" i="36"/>
  <c r="G31" i="36"/>
  <c r="G32" i="36"/>
  <c r="G33" i="36"/>
  <c r="G34" i="36"/>
  <c r="G35" i="36"/>
  <c r="G36" i="36"/>
  <c r="G37" i="36"/>
  <c r="G38" i="36"/>
  <c r="G39" i="36"/>
  <c r="G40" i="36"/>
  <c r="G41" i="36"/>
  <c r="G42" i="36"/>
  <c r="G43" i="36"/>
  <c r="G44" i="36"/>
  <c r="G45" i="36"/>
  <c r="G46" i="36"/>
  <c r="G47" i="36"/>
  <c r="G48" i="36"/>
  <c r="G49" i="36"/>
  <c r="G50" i="36"/>
  <c r="G51" i="36"/>
  <c r="G52" i="36"/>
  <c r="G53" i="36"/>
  <c r="G54" i="36"/>
  <c r="G55" i="36"/>
  <c r="G56" i="36"/>
  <c r="G57" i="36"/>
  <c r="G58" i="36"/>
  <c r="G59" i="36"/>
  <c r="G60" i="36"/>
  <c r="G61" i="36"/>
  <c r="G62" i="36"/>
  <c r="G63" i="36"/>
  <c r="G64" i="36"/>
  <c r="G65" i="36"/>
  <c r="G66" i="36"/>
  <c r="G67" i="36"/>
  <c r="G68" i="36"/>
  <c r="G69" i="36"/>
  <c r="G70" i="36"/>
  <c r="G71" i="36"/>
  <c r="G72" i="36"/>
  <c r="G73" i="36"/>
  <c r="G74" i="36"/>
  <c r="G75" i="36"/>
  <c r="G76" i="36"/>
  <c r="G77" i="36"/>
  <c r="G78" i="36"/>
  <c r="G79" i="36"/>
  <c r="G80" i="36"/>
  <c r="G81" i="36"/>
  <c r="G82" i="36"/>
  <c r="G83" i="36"/>
  <c r="G84" i="36"/>
  <c r="G85" i="36"/>
  <c r="G86" i="36"/>
  <c r="G87" i="36"/>
  <c r="G88" i="36"/>
  <c r="G89" i="36"/>
  <c r="G90" i="36"/>
  <c r="G91" i="36"/>
  <c r="G92" i="36"/>
  <c r="G93" i="36"/>
  <c r="G94" i="36"/>
  <c r="G95" i="36"/>
  <c r="G96" i="36"/>
  <c r="G97" i="36"/>
  <c r="G98" i="36"/>
  <c r="G99" i="36"/>
  <c r="G100" i="36"/>
  <c r="G101" i="36"/>
  <c r="G102" i="36"/>
  <c r="G103" i="36"/>
  <c r="G104" i="36"/>
  <c r="G105" i="36"/>
  <c r="G106" i="36"/>
  <c r="G107" i="36"/>
  <c r="G108" i="36"/>
  <c r="G109" i="36"/>
  <c r="G110" i="36"/>
  <c r="G111" i="36"/>
  <c r="G112" i="36"/>
  <c r="G113" i="36"/>
  <c r="G114" i="36"/>
  <c r="G115" i="36"/>
  <c r="G116" i="36"/>
  <c r="G117" i="36"/>
  <c r="G118" i="36"/>
  <c r="G119" i="36"/>
  <c r="G120" i="36"/>
  <c r="G121" i="36"/>
  <c r="G122" i="36"/>
  <c r="G123" i="36"/>
  <c r="G124" i="36"/>
  <c r="G125" i="36"/>
  <c r="G126" i="36"/>
  <c r="G127" i="36"/>
  <c r="G128" i="36"/>
  <c r="G129" i="36"/>
  <c r="G130" i="36"/>
  <c r="G131" i="36"/>
  <c r="G132" i="36"/>
  <c r="G133" i="36"/>
  <c r="G134" i="36"/>
  <c r="G135" i="36"/>
  <c r="G136" i="36"/>
  <c r="G137" i="36"/>
  <c r="G138" i="36"/>
  <c r="G139" i="36"/>
  <c r="G140" i="36"/>
  <c r="G141" i="36"/>
  <c r="G142" i="36"/>
  <c r="G143" i="36"/>
  <c r="G144" i="36"/>
  <c r="G145" i="36"/>
  <c r="G146" i="36"/>
  <c r="G147" i="36"/>
  <c r="G148" i="36"/>
  <c r="G149" i="36"/>
  <c r="G150" i="36"/>
  <c r="G151" i="36"/>
  <c r="G152" i="36"/>
  <c r="G153" i="36"/>
  <c r="G154" i="36"/>
  <c r="G155" i="36"/>
  <c r="G156" i="36"/>
  <c r="G157" i="36"/>
  <c r="G158" i="36"/>
  <c r="G159" i="36"/>
  <c r="G160" i="36"/>
  <c r="G161" i="36"/>
  <c r="G162" i="36"/>
  <c r="G163" i="36"/>
  <c r="G164" i="36"/>
  <c r="G165" i="36"/>
  <c r="G166" i="36"/>
  <c r="G167" i="36"/>
  <c r="G168" i="36"/>
  <c r="G169" i="36"/>
  <c r="G170" i="36"/>
  <c r="G171" i="36"/>
  <c r="G172" i="36"/>
  <c r="G173" i="36"/>
  <c r="G174" i="36"/>
  <c r="G175" i="36"/>
  <c r="G176" i="36"/>
  <c r="G177" i="36"/>
  <c r="G178" i="36"/>
  <c r="G179" i="36"/>
  <c r="G180" i="36"/>
  <c r="G181" i="36"/>
  <c r="G182" i="36"/>
  <c r="G183" i="36"/>
  <c r="G184" i="36"/>
  <c r="G185" i="36"/>
  <c r="G186" i="36"/>
  <c r="G187" i="36"/>
  <c r="G188" i="36"/>
  <c r="G189" i="36"/>
  <c r="G190" i="36"/>
  <c r="G191" i="36"/>
  <c r="G192" i="36"/>
  <c r="G193" i="36"/>
  <c r="G194" i="36"/>
  <c r="G195" i="36"/>
  <c r="G196" i="36"/>
  <c r="G197" i="36"/>
  <c r="G198" i="36"/>
  <c r="G199" i="36"/>
  <c r="G200" i="36"/>
  <c r="G201" i="36"/>
  <c r="G202" i="36"/>
  <c r="G203" i="36"/>
  <c r="G204" i="36"/>
  <c r="G205" i="36"/>
  <c r="G206" i="36"/>
  <c r="G207" i="36"/>
  <c r="G208" i="36"/>
  <c r="G209" i="36"/>
  <c r="G210" i="36"/>
  <c r="G211" i="36"/>
  <c r="G212" i="36"/>
  <c r="G213" i="36"/>
  <c r="G214" i="36"/>
  <c r="G215" i="36"/>
  <c r="G216" i="36"/>
  <c r="G217" i="36"/>
  <c r="G218" i="36"/>
  <c r="G219" i="36"/>
  <c r="G220" i="36"/>
  <c r="G221" i="36"/>
  <c r="G222" i="36"/>
  <c r="G223" i="36"/>
  <c r="G224" i="36"/>
  <c r="G225" i="36"/>
  <c r="G226" i="36"/>
  <c r="G227" i="36"/>
  <c r="G228" i="36"/>
  <c r="G229" i="36"/>
  <c r="G230" i="36"/>
  <c r="G231" i="36"/>
  <c r="G232" i="36"/>
  <c r="G233" i="36"/>
  <c r="G234" i="36"/>
  <c r="G235" i="36"/>
  <c r="G236" i="36"/>
  <c r="G237" i="36"/>
  <c r="G238" i="36"/>
  <c r="G239" i="36"/>
  <c r="G240" i="36"/>
  <c r="G241" i="36"/>
  <c r="G242" i="36"/>
  <c r="G243" i="36"/>
  <c r="G244" i="36"/>
  <c r="G245" i="36"/>
  <c r="G246" i="36"/>
  <c r="G247" i="36"/>
  <c r="G248" i="36"/>
  <c r="G249" i="36"/>
  <c r="G250" i="36"/>
  <c r="G251" i="36"/>
  <c r="G252" i="36"/>
  <c r="G253" i="36"/>
  <c r="G254" i="36"/>
  <c r="G255" i="36"/>
  <c r="G256" i="36"/>
  <c r="G257" i="36"/>
  <c r="G258" i="36"/>
  <c r="G259" i="36"/>
  <c r="G260" i="36"/>
  <c r="G261" i="36"/>
  <c r="G262" i="36"/>
  <c r="G263" i="36"/>
  <c r="G264" i="36"/>
  <c r="G265" i="36"/>
  <c r="G266" i="36"/>
  <c r="G267" i="36"/>
  <c r="G268" i="36"/>
  <c r="G269" i="36"/>
  <c r="G270" i="36"/>
  <c r="G271" i="36"/>
  <c r="G272" i="36"/>
  <c r="G273" i="36"/>
  <c r="G274" i="36"/>
  <c r="G275" i="36"/>
  <c r="G276" i="36"/>
  <c r="G277" i="36"/>
  <c r="G278" i="36"/>
  <c r="G279" i="36"/>
  <c r="G280" i="36"/>
  <c r="G281" i="36"/>
  <c r="G282" i="36"/>
  <c r="G283" i="36"/>
  <c r="G284" i="36"/>
  <c r="G285" i="36"/>
  <c r="G286" i="36"/>
  <c r="G287" i="36"/>
  <c r="G288" i="36"/>
  <c r="G289" i="36"/>
  <c r="G290" i="36"/>
  <c r="G291" i="36"/>
  <c r="G292" i="36"/>
  <c r="G293" i="36"/>
  <c r="G294" i="36"/>
  <c r="G295" i="36"/>
  <c r="G296" i="36"/>
  <c r="G297" i="36"/>
  <c r="G298" i="36"/>
  <c r="G299" i="36"/>
  <c r="G300" i="36"/>
  <c r="G301" i="36"/>
  <c r="G302" i="36"/>
  <c r="G303" i="36"/>
  <c r="G304" i="36"/>
  <c r="G305" i="36"/>
  <c r="G306" i="36"/>
  <c r="G307" i="36"/>
  <c r="G308" i="36"/>
  <c r="G309" i="36"/>
  <c r="G310" i="36"/>
  <c r="G311" i="36"/>
  <c r="G312" i="36"/>
  <c r="G313" i="36"/>
  <c r="G314" i="36"/>
  <c r="G315" i="36"/>
  <c r="G316" i="36"/>
  <c r="G317" i="36"/>
  <c r="G318" i="36"/>
  <c r="G319" i="36"/>
  <c r="G320" i="36"/>
  <c r="G321" i="36"/>
  <c r="G322" i="36"/>
  <c r="E4" i="36"/>
  <c r="F4" i="36" s="1"/>
  <c r="E5" i="36"/>
  <c r="F5" i="36" s="1"/>
  <c r="E6" i="36"/>
  <c r="F6" i="36" s="1"/>
  <c r="E7" i="36"/>
  <c r="F7" i="36" s="1"/>
  <c r="E8" i="36"/>
  <c r="F8" i="36" s="1"/>
  <c r="E9" i="36"/>
  <c r="F9" i="36" s="1"/>
  <c r="E10" i="36"/>
  <c r="F10" i="36" s="1"/>
  <c r="E11" i="36"/>
  <c r="F11" i="36" s="1"/>
  <c r="E12" i="36"/>
  <c r="F12" i="36" s="1"/>
  <c r="E13" i="36"/>
  <c r="F13" i="36" s="1"/>
  <c r="E14" i="36"/>
  <c r="F14" i="36" s="1"/>
  <c r="E15" i="36"/>
  <c r="F15" i="36" s="1"/>
  <c r="E16" i="36"/>
  <c r="F16" i="36" s="1"/>
  <c r="E17" i="36"/>
  <c r="F17" i="36" s="1"/>
  <c r="E18" i="36"/>
  <c r="F18" i="36" s="1"/>
  <c r="E19" i="36"/>
  <c r="F19" i="36" s="1"/>
  <c r="E20" i="36"/>
  <c r="F20" i="36" s="1"/>
  <c r="E21" i="36"/>
  <c r="F21" i="36" s="1"/>
  <c r="E22" i="36"/>
  <c r="F22" i="36" s="1"/>
  <c r="E23" i="36"/>
  <c r="F23" i="36" s="1"/>
  <c r="E24" i="36"/>
  <c r="F24" i="36" s="1"/>
  <c r="E25" i="36"/>
  <c r="F25" i="36" s="1"/>
  <c r="E26" i="36"/>
  <c r="F26" i="36" s="1"/>
  <c r="E27" i="36"/>
  <c r="F27" i="36" s="1"/>
  <c r="E28" i="36"/>
  <c r="F28" i="36" s="1"/>
  <c r="E29" i="36"/>
  <c r="F29" i="36" s="1"/>
  <c r="E30" i="36"/>
  <c r="F30" i="36" s="1"/>
  <c r="E31" i="36"/>
  <c r="F31" i="36" s="1"/>
  <c r="E32" i="36"/>
  <c r="F32" i="36" s="1"/>
  <c r="E33" i="36"/>
  <c r="F33" i="36" s="1"/>
  <c r="E34" i="36"/>
  <c r="F34" i="36" s="1"/>
  <c r="E35" i="36"/>
  <c r="F35" i="36" s="1"/>
  <c r="E36" i="36"/>
  <c r="F36" i="36" s="1"/>
  <c r="E37" i="36"/>
  <c r="F37" i="36" s="1"/>
  <c r="E38" i="36"/>
  <c r="F38" i="36" s="1"/>
  <c r="E39" i="36"/>
  <c r="F39" i="36" s="1"/>
  <c r="E40" i="36"/>
  <c r="F40" i="36" s="1"/>
  <c r="E41" i="36"/>
  <c r="F41" i="36" s="1"/>
  <c r="E42" i="36"/>
  <c r="F42" i="36" s="1"/>
  <c r="E43" i="36"/>
  <c r="E44" i="36"/>
  <c r="F44" i="36" s="1"/>
  <c r="E45" i="36"/>
  <c r="F45" i="36" s="1"/>
  <c r="E46" i="36"/>
  <c r="F46" i="36" s="1"/>
  <c r="E47" i="36"/>
  <c r="F47" i="36" s="1"/>
  <c r="E48" i="36"/>
  <c r="F48" i="36" s="1"/>
  <c r="E49" i="36"/>
  <c r="F49" i="36" s="1"/>
  <c r="E50" i="36"/>
  <c r="F50" i="36" s="1"/>
  <c r="E51" i="36"/>
  <c r="F51" i="36" s="1"/>
  <c r="E52" i="36"/>
  <c r="F52" i="36" s="1"/>
  <c r="E53" i="36"/>
  <c r="F53" i="36" s="1"/>
  <c r="E54" i="36"/>
  <c r="F54" i="36" s="1"/>
  <c r="E55" i="36"/>
  <c r="F55" i="36" s="1"/>
  <c r="E56" i="36"/>
  <c r="F56" i="36" s="1"/>
  <c r="E57" i="36"/>
  <c r="F57" i="36" s="1"/>
  <c r="E58" i="36"/>
  <c r="F58" i="36" s="1"/>
  <c r="E59" i="36"/>
  <c r="F59" i="36" s="1"/>
  <c r="E60" i="36"/>
  <c r="F60" i="36" s="1"/>
  <c r="E61" i="36"/>
  <c r="F61" i="36" s="1"/>
  <c r="E62" i="36"/>
  <c r="F62" i="36" s="1"/>
  <c r="E63" i="36"/>
  <c r="F63" i="36" s="1"/>
  <c r="E64" i="36"/>
  <c r="F64" i="36" s="1"/>
  <c r="E65" i="36"/>
  <c r="F65" i="36" s="1"/>
  <c r="E66" i="36"/>
  <c r="F66" i="36" s="1"/>
  <c r="E67" i="36"/>
  <c r="F67" i="36" s="1"/>
  <c r="E68" i="36"/>
  <c r="F68" i="36" s="1"/>
  <c r="E69" i="36"/>
  <c r="F69" i="36" s="1"/>
  <c r="E70" i="36"/>
  <c r="F70" i="36" s="1"/>
  <c r="E71" i="36"/>
  <c r="F71" i="36" s="1"/>
  <c r="E72" i="36"/>
  <c r="F72" i="36" s="1"/>
  <c r="E73" i="36"/>
  <c r="F73" i="36" s="1"/>
  <c r="E74" i="36"/>
  <c r="F74" i="36" s="1"/>
  <c r="E75" i="36"/>
  <c r="F75" i="36" s="1"/>
  <c r="E76" i="36"/>
  <c r="F76" i="36" s="1"/>
  <c r="E77" i="36"/>
  <c r="F77" i="36" s="1"/>
  <c r="E78" i="36"/>
  <c r="F78" i="36" s="1"/>
  <c r="E79" i="36"/>
  <c r="F79" i="36" s="1"/>
  <c r="E80" i="36"/>
  <c r="F80" i="36" s="1"/>
  <c r="E81" i="36"/>
  <c r="F81" i="36" s="1"/>
  <c r="E82" i="36"/>
  <c r="F82" i="36" s="1"/>
  <c r="E83" i="36"/>
  <c r="F83" i="36" s="1"/>
  <c r="E84" i="36"/>
  <c r="F84" i="36" s="1"/>
  <c r="E85" i="36"/>
  <c r="F85" i="36" s="1"/>
  <c r="E86" i="36"/>
  <c r="F86" i="36" s="1"/>
  <c r="E87" i="36"/>
  <c r="F87" i="36" s="1"/>
  <c r="E88" i="36"/>
  <c r="F88" i="36" s="1"/>
  <c r="E89" i="36"/>
  <c r="F89" i="36" s="1"/>
  <c r="E90" i="36"/>
  <c r="F90" i="36" s="1"/>
  <c r="E91" i="36"/>
  <c r="F91" i="36" s="1"/>
  <c r="E92" i="36"/>
  <c r="F92" i="36" s="1"/>
  <c r="E93" i="36"/>
  <c r="F93" i="36" s="1"/>
  <c r="E94" i="36"/>
  <c r="F94" i="36" s="1"/>
  <c r="E95" i="36"/>
  <c r="F95" i="36" s="1"/>
  <c r="E96" i="36"/>
  <c r="F96" i="36" s="1"/>
  <c r="E97" i="36"/>
  <c r="F97" i="36" s="1"/>
  <c r="E98" i="36"/>
  <c r="F98" i="36" s="1"/>
  <c r="E99" i="36"/>
  <c r="F99" i="36" s="1"/>
  <c r="E100" i="36"/>
  <c r="F100" i="36" s="1"/>
  <c r="E101" i="36"/>
  <c r="F101" i="36" s="1"/>
  <c r="E102" i="36"/>
  <c r="F102" i="36" s="1"/>
  <c r="E103" i="36"/>
  <c r="F103" i="36" s="1"/>
  <c r="E104" i="36"/>
  <c r="F104" i="36" s="1"/>
  <c r="E105" i="36"/>
  <c r="F105" i="36" s="1"/>
  <c r="E106" i="36"/>
  <c r="F106" i="36" s="1"/>
  <c r="E107" i="36"/>
  <c r="F107" i="36" s="1"/>
  <c r="E108" i="36"/>
  <c r="F108" i="36" s="1"/>
  <c r="E109" i="36"/>
  <c r="F109" i="36" s="1"/>
  <c r="E110" i="36"/>
  <c r="F110" i="36" s="1"/>
  <c r="E111" i="36"/>
  <c r="F111" i="36" s="1"/>
  <c r="E112" i="36"/>
  <c r="F112" i="36" s="1"/>
  <c r="E113" i="36"/>
  <c r="F113" i="36" s="1"/>
  <c r="E114" i="36"/>
  <c r="E115" i="36"/>
  <c r="F115" i="36" s="1"/>
  <c r="E116" i="36"/>
  <c r="F116" i="36" s="1"/>
  <c r="E117" i="36"/>
  <c r="F117" i="36" s="1"/>
  <c r="E118" i="36"/>
  <c r="F118" i="36" s="1"/>
  <c r="E119" i="36"/>
  <c r="F119" i="36" s="1"/>
  <c r="E120" i="36"/>
  <c r="F120" i="36" s="1"/>
  <c r="E121" i="36"/>
  <c r="F121" i="36" s="1"/>
  <c r="E122" i="36"/>
  <c r="F122" i="36" s="1"/>
  <c r="E123" i="36"/>
  <c r="F123" i="36" s="1"/>
  <c r="E124" i="36"/>
  <c r="F124" i="36" s="1"/>
  <c r="E125" i="36"/>
  <c r="F125" i="36" s="1"/>
  <c r="E126" i="36"/>
  <c r="F126" i="36" s="1"/>
  <c r="E127" i="36"/>
  <c r="F127" i="36" s="1"/>
  <c r="E128" i="36"/>
  <c r="F128" i="36" s="1"/>
  <c r="E129" i="36"/>
  <c r="F129" i="36" s="1"/>
  <c r="E130" i="36"/>
  <c r="F130" i="36" s="1"/>
  <c r="E131" i="36"/>
  <c r="F131" i="36" s="1"/>
  <c r="E132" i="36"/>
  <c r="F132" i="36" s="1"/>
  <c r="E133" i="36"/>
  <c r="F133" i="36" s="1"/>
  <c r="E134" i="36"/>
  <c r="F134" i="36" s="1"/>
  <c r="E135" i="36"/>
  <c r="F135" i="36" s="1"/>
  <c r="E136" i="36"/>
  <c r="F136" i="36" s="1"/>
  <c r="E137" i="36"/>
  <c r="F137" i="36" s="1"/>
  <c r="E138" i="36"/>
  <c r="F138" i="36" s="1"/>
  <c r="E139" i="36"/>
  <c r="F139" i="36" s="1"/>
  <c r="E140" i="36"/>
  <c r="F140" i="36" s="1"/>
  <c r="E141" i="36"/>
  <c r="F141" i="36" s="1"/>
  <c r="E142" i="36"/>
  <c r="F142" i="36" s="1"/>
  <c r="E143" i="36"/>
  <c r="F143" i="36" s="1"/>
  <c r="E144" i="36"/>
  <c r="F144" i="36" s="1"/>
  <c r="E145" i="36"/>
  <c r="F145" i="36" s="1"/>
  <c r="E146" i="36"/>
  <c r="F146" i="36" s="1"/>
  <c r="E147" i="36"/>
  <c r="F147" i="36" s="1"/>
  <c r="E148" i="36"/>
  <c r="F148" i="36" s="1"/>
  <c r="E149" i="36"/>
  <c r="F149" i="36" s="1"/>
  <c r="E150" i="36"/>
  <c r="F150" i="36" s="1"/>
  <c r="E151" i="36"/>
  <c r="F151" i="36" s="1"/>
  <c r="E152" i="36"/>
  <c r="F152" i="36" s="1"/>
  <c r="E153" i="36"/>
  <c r="F153" i="36" s="1"/>
  <c r="E154" i="36"/>
  <c r="F154" i="36" s="1"/>
  <c r="E155" i="36"/>
  <c r="F155" i="36" s="1"/>
  <c r="E156" i="36"/>
  <c r="F156" i="36" s="1"/>
  <c r="E157" i="36"/>
  <c r="F157" i="36" s="1"/>
  <c r="E158" i="36"/>
  <c r="F158" i="36" s="1"/>
  <c r="E159" i="36"/>
  <c r="F159" i="36" s="1"/>
  <c r="E160" i="36"/>
  <c r="F160" i="36" s="1"/>
  <c r="E161" i="36"/>
  <c r="F161" i="36" s="1"/>
  <c r="E162" i="36"/>
  <c r="F162" i="36" s="1"/>
  <c r="E163" i="36"/>
  <c r="F163" i="36" s="1"/>
  <c r="E164" i="36"/>
  <c r="F164" i="36" s="1"/>
  <c r="E165" i="36"/>
  <c r="F165" i="36" s="1"/>
  <c r="E166" i="36"/>
  <c r="F166" i="36" s="1"/>
  <c r="E167" i="36"/>
  <c r="F167" i="36" s="1"/>
  <c r="E168" i="36"/>
  <c r="F168" i="36" s="1"/>
  <c r="E169" i="36"/>
  <c r="F169" i="36" s="1"/>
  <c r="E170" i="36"/>
  <c r="F170" i="36" s="1"/>
  <c r="E171" i="36"/>
  <c r="F171" i="36" s="1"/>
  <c r="E172" i="36"/>
  <c r="F172" i="36" s="1"/>
  <c r="E173" i="36"/>
  <c r="F173" i="36" s="1"/>
  <c r="E174" i="36"/>
  <c r="F174" i="36" s="1"/>
  <c r="E175" i="36"/>
  <c r="F175" i="36" s="1"/>
  <c r="E176" i="36"/>
  <c r="F176" i="36" s="1"/>
  <c r="E177" i="36"/>
  <c r="F177" i="36" s="1"/>
  <c r="E178" i="36"/>
  <c r="F178" i="36" s="1"/>
  <c r="E179" i="36"/>
  <c r="F179" i="36" s="1"/>
  <c r="E180" i="36"/>
  <c r="F180" i="36" s="1"/>
  <c r="E181" i="36"/>
  <c r="F181" i="36" s="1"/>
  <c r="E182" i="36"/>
  <c r="F182" i="36" s="1"/>
  <c r="E183" i="36"/>
  <c r="F183" i="36" s="1"/>
  <c r="E184" i="36"/>
  <c r="F184" i="36" s="1"/>
  <c r="E185" i="36"/>
  <c r="F185" i="36" s="1"/>
  <c r="E186" i="36"/>
  <c r="F186" i="36" s="1"/>
  <c r="E187" i="36"/>
  <c r="F187" i="36" s="1"/>
  <c r="E188" i="36"/>
  <c r="F188" i="36" s="1"/>
  <c r="E189" i="36"/>
  <c r="F189" i="36" s="1"/>
  <c r="E190" i="36"/>
  <c r="F190" i="36" s="1"/>
  <c r="E191" i="36"/>
  <c r="F191" i="36" s="1"/>
  <c r="E192" i="36"/>
  <c r="F192" i="36" s="1"/>
  <c r="E193" i="36"/>
  <c r="F193" i="36" s="1"/>
  <c r="E194" i="36"/>
  <c r="F194" i="36" s="1"/>
  <c r="E195" i="36"/>
  <c r="F195" i="36" s="1"/>
  <c r="E196" i="36"/>
  <c r="F196" i="36" s="1"/>
  <c r="E197" i="36"/>
  <c r="F197" i="36" s="1"/>
  <c r="E198" i="36"/>
  <c r="F198" i="36" s="1"/>
  <c r="E199" i="36"/>
  <c r="F199" i="36" s="1"/>
  <c r="E200" i="36"/>
  <c r="F200" i="36" s="1"/>
  <c r="E201" i="36"/>
  <c r="F201" i="36" s="1"/>
  <c r="E202" i="36"/>
  <c r="F202" i="36" s="1"/>
  <c r="E203" i="36"/>
  <c r="F203" i="36" s="1"/>
  <c r="E204" i="36"/>
  <c r="F204" i="36" s="1"/>
  <c r="E205" i="36"/>
  <c r="F205" i="36" s="1"/>
  <c r="E206" i="36"/>
  <c r="F206" i="36" s="1"/>
  <c r="E207" i="36"/>
  <c r="F207" i="36" s="1"/>
  <c r="E208" i="36"/>
  <c r="F208" i="36" s="1"/>
  <c r="E209" i="36"/>
  <c r="F209" i="36" s="1"/>
  <c r="E210" i="36"/>
  <c r="F210" i="36" s="1"/>
  <c r="E211" i="36"/>
  <c r="F211" i="36" s="1"/>
  <c r="E212" i="36"/>
  <c r="F212" i="36" s="1"/>
  <c r="E213" i="36"/>
  <c r="F213" i="36" s="1"/>
  <c r="E214" i="36"/>
  <c r="F214" i="36" s="1"/>
  <c r="E215" i="36"/>
  <c r="F215" i="36" s="1"/>
  <c r="E216" i="36"/>
  <c r="F216" i="36" s="1"/>
  <c r="E217" i="36"/>
  <c r="F217" i="36" s="1"/>
  <c r="E218" i="36"/>
  <c r="F218" i="36" s="1"/>
  <c r="E219" i="36"/>
  <c r="F219" i="36" s="1"/>
  <c r="E220" i="36"/>
  <c r="F220" i="36" s="1"/>
  <c r="E221" i="36"/>
  <c r="F221" i="36" s="1"/>
  <c r="E222" i="36"/>
  <c r="F222" i="36" s="1"/>
  <c r="E223" i="36"/>
  <c r="F223" i="36" s="1"/>
  <c r="E224" i="36"/>
  <c r="F224" i="36" s="1"/>
  <c r="E225" i="36"/>
  <c r="F225" i="36" s="1"/>
  <c r="E226" i="36"/>
  <c r="F226" i="36" s="1"/>
  <c r="E227" i="36"/>
  <c r="F227" i="36" s="1"/>
  <c r="E228" i="36"/>
  <c r="F228" i="36" s="1"/>
  <c r="E229" i="36"/>
  <c r="F229" i="36" s="1"/>
  <c r="E230" i="36"/>
  <c r="F230" i="36" s="1"/>
  <c r="E231" i="36"/>
  <c r="E232" i="36"/>
  <c r="F232" i="36" s="1"/>
  <c r="E233" i="36"/>
  <c r="F233" i="36" s="1"/>
  <c r="E234" i="36"/>
  <c r="F234" i="36" s="1"/>
  <c r="E235" i="36"/>
  <c r="F235" i="36" s="1"/>
  <c r="E236" i="36"/>
  <c r="F236" i="36" s="1"/>
  <c r="E237" i="36"/>
  <c r="F237" i="36" s="1"/>
  <c r="E238" i="36"/>
  <c r="F238" i="36" s="1"/>
  <c r="E239" i="36"/>
  <c r="F239" i="36" s="1"/>
  <c r="E240" i="36"/>
  <c r="F240" i="36" s="1"/>
  <c r="E241" i="36"/>
  <c r="F241" i="36" s="1"/>
  <c r="E242" i="36"/>
  <c r="F242" i="36" s="1"/>
  <c r="E243" i="36"/>
  <c r="F243" i="36" s="1"/>
  <c r="E244" i="36"/>
  <c r="F244" i="36" s="1"/>
  <c r="E245" i="36"/>
  <c r="F245" i="36" s="1"/>
  <c r="E246" i="36"/>
  <c r="F246" i="36" s="1"/>
  <c r="E247" i="36"/>
  <c r="F247" i="36" s="1"/>
  <c r="E248" i="36"/>
  <c r="F248" i="36" s="1"/>
  <c r="E249" i="36"/>
  <c r="E250" i="36"/>
  <c r="F250" i="36" s="1"/>
  <c r="E251" i="36"/>
  <c r="F251" i="36" s="1"/>
  <c r="E252" i="36"/>
  <c r="F252" i="36" s="1"/>
  <c r="E253" i="36"/>
  <c r="F253" i="36" s="1"/>
  <c r="E254" i="36"/>
  <c r="F254" i="36" s="1"/>
  <c r="E255" i="36"/>
  <c r="F255" i="36" s="1"/>
  <c r="E256" i="36"/>
  <c r="F256" i="36" s="1"/>
  <c r="E257" i="36"/>
  <c r="F257" i="36" s="1"/>
  <c r="E258" i="36"/>
  <c r="F258" i="36" s="1"/>
  <c r="E259" i="36"/>
  <c r="F259" i="36" s="1"/>
  <c r="E260" i="36"/>
  <c r="F260" i="36" s="1"/>
  <c r="E261" i="36"/>
  <c r="F261" i="36" s="1"/>
  <c r="E262" i="36"/>
  <c r="F262" i="36" s="1"/>
  <c r="E263" i="36"/>
  <c r="F263" i="36" s="1"/>
  <c r="E264" i="36"/>
  <c r="F264" i="36" s="1"/>
  <c r="E265" i="36"/>
  <c r="F265" i="36" s="1"/>
  <c r="E266" i="36"/>
  <c r="F266" i="36" s="1"/>
  <c r="E267" i="36"/>
  <c r="F267" i="36" s="1"/>
  <c r="E268" i="36"/>
  <c r="F268" i="36" s="1"/>
  <c r="E269" i="36"/>
  <c r="F269" i="36" s="1"/>
  <c r="E270" i="36"/>
  <c r="F270" i="36" s="1"/>
  <c r="E271" i="36"/>
  <c r="F271" i="36" s="1"/>
  <c r="E272" i="36"/>
  <c r="F272" i="36" s="1"/>
  <c r="E273" i="36"/>
  <c r="F273" i="36" s="1"/>
  <c r="E274" i="36"/>
  <c r="F274" i="36" s="1"/>
  <c r="E275" i="36"/>
  <c r="F275" i="36" s="1"/>
  <c r="E276" i="36"/>
  <c r="F276" i="36" s="1"/>
  <c r="E277" i="36"/>
  <c r="F277" i="36" s="1"/>
  <c r="E278" i="36"/>
  <c r="F278" i="36" s="1"/>
  <c r="E279" i="36"/>
  <c r="F279" i="36" s="1"/>
  <c r="E280" i="36"/>
  <c r="F280" i="36" s="1"/>
  <c r="E281" i="36"/>
  <c r="F281" i="36" s="1"/>
  <c r="E282" i="36"/>
  <c r="F282" i="36" s="1"/>
  <c r="E283" i="36"/>
  <c r="F283" i="36" s="1"/>
  <c r="E284" i="36"/>
  <c r="F284" i="36" s="1"/>
  <c r="E285" i="36"/>
  <c r="F285" i="36" s="1"/>
  <c r="E286" i="36"/>
  <c r="F286" i="36" s="1"/>
  <c r="E287" i="36"/>
  <c r="F287" i="36" s="1"/>
  <c r="E288" i="36"/>
  <c r="F288" i="36" s="1"/>
  <c r="E289" i="36"/>
  <c r="F289" i="36" s="1"/>
  <c r="E290" i="36"/>
  <c r="F290" i="36" s="1"/>
  <c r="E291" i="36"/>
  <c r="F291" i="36" s="1"/>
  <c r="E292" i="36"/>
  <c r="F292" i="36" s="1"/>
  <c r="E293" i="36"/>
  <c r="F293" i="36" s="1"/>
  <c r="E294" i="36"/>
  <c r="F294" i="36" s="1"/>
  <c r="E295" i="36"/>
  <c r="F295" i="36" s="1"/>
  <c r="E296" i="36"/>
  <c r="F296" i="36" s="1"/>
  <c r="E297" i="36"/>
  <c r="F297" i="36" s="1"/>
  <c r="E298" i="36"/>
  <c r="F298" i="36" s="1"/>
  <c r="E299" i="36"/>
  <c r="F299" i="36" s="1"/>
  <c r="E300" i="36"/>
  <c r="F300" i="36" s="1"/>
  <c r="E301" i="36"/>
  <c r="F301" i="36" s="1"/>
  <c r="E302" i="36"/>
  <c r="F302" i="36" s="1"/>
  <c r="E303" i="36"/>
  <c r="F303" i="36" s="1"/>
  <c r="E304" i="36"/>
  <c r="F304" i="36" s="1"/>
  <c r="E305" i="36"/>
  <c r="F305" i="36" s="1"/>
  <c r="E306" i="36"/>
  <c r="F306" i="36" s="1"/>
  <c r="E307" i="36"/>
  <c r="F307" i="36" s="1"/>
  <c r="E308" i="36"/>
  <c r="F308" i="36" s="1"/>
  <c r="E309" i="36"/>
  <c r="F309" i="36" s="1"/>
  <c r="E310" i="36"/>
  <c r="F310" i="36" s="1"/>
  <c r="E311" i="36"/>
  <c r="F311" i="36" s="1"/>
  <c r="E312" i="36"/>
  <c r="F312" i="36" s="1"/>
  <c r="E313" i="36"/>
  <c r="F313" i="36" s="1"/>
  <c r="E314" i="36"/>
  <c r="F314" i="36" s="1"/>
  <c r="E315" i="36"/>
  <c r="F315" i="36" s="1"/>
  <c r="E316" i="36"/>
  <c r="F316" i="36" s="1"/>
  <c r="E317" i="36"/>
  <c r="F317" i="36" s="1"/>
  <c r="E318" i="36"/>
  <c r="F318" i="36" s="1"/>
  <c r="E319" i="36"/>
  <c r="F319" i="36" s="1"/>
  <c r="E320" i="36"/>
  <c r="F320" i="36" s="1"/>
  <c r="E321" i="36"/>
  <c r="F321" i="36" s="1"/>
  <c r="E322" i="36"/>
  <c r="F322" i="36" s="1"/>
  <c r="F327" i="36" l="1"/>
  <c r="N327" i="36"/>
  <c r="K327" i="36"/>
  <c r="I327" i="36"/>
  <c r="G327" i="36"/>
  <c r="Q327" i="36"/>
  <c r="N324" i="36"/>
  <c r="N326" i="36"/>
  <c r="N325" i="36"/>
  <c r="K326" i="36"/>
  <c r="K324" i="36"/>
  <c r="K325" i="36"/>
  <c r="I325" i="36"/>
  <c r="I324" i="36"/>
  <c r="I326" i="36"/>
  <c r="F324" i="36"/>
  <c r="F326" i="36"/>
  <c r="F325" i="36"/>
  <c r="G326" i="36"/>
  <c r="G324" i="36"/>
  <c r="G325" i="36"/>
  <c r="Q325" i="36"/>
  <c r="Q326" i="36"/>
  <c r="Q324" i="36"/>
  <c r="Q4" i="35"/>
  <c r="Q5" i="35"/>
  <c r="Q6" i="35"/>
  <c r="Q7" i="35"/>
  <c r="Q8" i="35"/>
  <c r="Q9" i="35"/>
  <c r="Q10" i="35"/>
  <c r="Q11" i="35"/>
  <c r="Q12" i="35"/>
  <c r="Q13" i="35"/>
  <c r="Q14" i="35"/>
  <c r="Q15" i="35"/>
  <c r="Q16" i="35"/>
  <c r="Q17" i="35"/>
  <c r="Q18" i="35"/>
  <c r="Q19" i="35"/>
  <c r="Q20" i="35"/>
  <c r="Q21" i="35"/>
  <c r="Q22" i="35"/>
  <c r="Q23" i="35"/>
  <c r="Q24" i="35"/>
  <c r="Q25" i="35"/>
  <c r="Q26" i="35"/>
  <c r="Q27" i="35"/>
  <c r="Q28" i="35"/>
  <c r="Q29" i="35"/>
  <c r="Q30" i="35"/>
  <c r="Q31" i="35"/>
  <c r="Q32" i="35"/>
  <c r="Q33" i="35"/>
  <c r="Q34" i="35"/>
  <c r="Q35" i="35"/>
  <c r="Q36" i="35"/>
  <c r="Q37" i="35"/>
  <c r="Q38" i="35"/>
  <c r="Q39" i="35"/>
  <c r="Q40" i="35"/>
  <c r="Q41" i="35"/>
  <c r="Q42" i="35"/>
  <c r="Q43" i="35"/>
  <c r="Q44" i="35"/>
  <c r="Q45" i="35"/>
  <c r="Q46" i="35"/>
  <c r="Q47" i="35"/>
  <c r="Q48" i="35"/>
  <c r="Q49" i="35"/>
  <c r="Q50" i="35"/>
  <c r="Q51" i="35"/>
  <c r="Q52" i="35"/>
  <c r="Q53" i="35"/>
  <c r="Q54" i="35"/>
  <c r="Q55" i="35"/>
  <c r="Q56" i="35"/>
  <c r="Q57" i="35"/>
  <c r="Q58" i="35"/>
  <c r="Q59" i="35"/>
  <c r="Q60" i="35"/>
  <c r="Q61" i="35"/>
  <c r="Q62" i="35"/>
  <c r="Q63" i="35"/>
  <c r="Q64" i="35"/>
  <c r="Q65" i="35"/>
  <c r="Q66" i="35"/>
  <c r="Q67" i="35"/>
  <c r="Q68" i="35"/>
  <c r="Q69" i="35"/>
  <c r="Q70" i="35"/>
  <c r="Q71" i="35"/>
  <c r="Q72" i="35"/>
  <c r="Q73" i="35"/>
  <c r="Q74" i="35"/>
  <c r="Q75" i="35"/>
  <c r="Q76" i="35"/>
  <c r="Q77" i="35"/>
  <c r="Q78" i="35"/>
  <c r="Q79" i="35"/>
  <c r="Q80" i="35"/>
  <c r="Q81" i="35"/>
  <c r="Q82" i="35"/>
  <c r="Q83" i="35"/>
  <c r="Q84" i="35"/>
  <c r="Q85" i="35"/>
  <c r="Q86" i="35"/>
  <c r="Q87" i="35"/>
  <c r="Q88" i="35"/>
  <c r="Q89" i="35"/>
  <c r="Q90" i="35"/>
  <c r="Q91" i="35"/>
  <c r="Q92" i="35"/>
  <c r="Q93" i="35"/>
  <c r="Q94" i="35"/>
  <c r="Q95" i="35"/>
  <c r="Q96" i="35"/>
  <c r="Q97" i="35"/>
  <c r="Q98" i="35"/>
  <c r="Q99" i="35"/>
  <c r="Q100" i="35"/>
  <c r="Q101" i="35"/>
  <c r="Q102" i="35"/>
  <c r="Q103" i="35"/>
  <c r="Q104" i="35"/>
  <c r="Q105" i="35"/>
  <c r="Q106" i="35"/>
  <c r="Q107" i="35"/>
  <c r="Q108" i="35"/>
  <c r="Q109" i="35"/>
  <c r="Q110" i="35"/>
  <c r="Q111" i="35"/>
  <c r="Q112" i="35"/>
  <c r="Q113" i="35"/>
  <c r="Q114" i="35"/>
  <c r="Q115" i="35"/>
  <c r="Q116" i="35"/>
  <c r="Q117" i="35"/>
  <c r="Q118" i="35"/>
  <c r="Q119" i="35"/>
  <c r="Q120" i="35"/>
  <c r="Q121" i="35"/>
  <c r="Q122" i="35"/>
  <c r="Q123" i="35"/>
  <c r="Q124" i="35"/>
  <c r="Q125" i="35"/>
  <c r="Q126" i="35"/>
  <c r="Q127" i="35"/>
  <c r="Q128" i="35"/>
  <c r="Q129" i="35"/>
  <c r="Q130" i="35"/>
  <c r="Q131" i="35"/>
  <c r="Q132" i="35"/>
  <c r="Q133" i="35"/>
  <c r="Q134" i="35"/>
  <c r="Q135" i="35"/>
  <c r="Q136" i="35"/>
  <c r="Q137" i="35"/>
  <c r="Q138" i="35"/>
  <c r="Q139" i="35"/>
  <c r="Q140" i="35"/>
  <c r="Q141" i="35"/>
  <c r="Q142" i="35"/>
  <c r="Q143" i="35"/>
  <c r="Q144" i="35"/>
  <c r="Q145" i="35"/>
  <c r="Q146" i="35"/>
  <c r="Q147" i="35"/>
  <c r="Q148" i="35"/>
  <c r="Q149" i="35"/>
  <c r="Q150" i="35"/>
  <c r="Q151" i="35"/>
  <c r="Q152" i="35"/>
  <c r="Q153" i="35"/>
  <c r="Q154" i="35"/>
  <c r="Q155" i="35"/>
  <c r="Q156" i="35"/>
  <c r="Q157" i="35"/>
  <c r="Q158" i="35"/>
  <c r="Q159" i="35"/>
  <c r="Q160" i="35"/>
  <c r="Q161" i="35"/>
  <c r="Q162" i="35"/>
  <c r="Q163" i="35"/>
  <c r="Q164" i="35"/>
  <c r="Q165" i="35"/>
  <c r="Q166" i="35"/>
  <c r="Q167" i="35"/>
  <c r="Q168" i="35"/>
  <c r="Q169" i="35"/>
  <c r="Q170" i="35"/>
  <c r="Q171" i="35"/>
  <c r="Q172" i="35"/>
  <c r="Q173" i="35"/>
  <c r="Q174" i="35"/>
  <c r="Q175" i="35"/>
  <c r="Q176" i="35"/>
  <c r="Q177" i="35"/>
  <c r="Q178" i="35"/>
  <c r="Q179" i="35"/>
  <c r="Q180" i="35"/>
  <c r="Q181" i="35"/>
  <c r="Q182" i="35"/>
  <c r="Q183" i="35"/>
  <c r="Q184" i="35"/>
  <c r="Q185" i="35"/>
  <c r="Q186" i="35"/>
  <c r="Q187" i="35"/>
  <c r="Q188" i="35"/>
  <c r="Q189" i="35"/>
  <c r="Q190" i="35"/>
  <c r="Q191" i="35"/>
  <c r="Q192" i="35"/>
  <c r="Q193" i="35"/>
  <c r="Q194" i="35"/>
  <c r="Q195" i="35"/>
  <c r="Q196" i="35"/>
  <c r="Q197" i="35"/>
  <c r="Q198" i="35"/>
  <c r="Q199" i="35"/>
  <c r="Q200" i="35"/>
  <c r="Q201" i="35"/>
  <c r="Q202" i="35"/>
  <c r="Q203" i="35"/>
  <c r="Q204" i="35"/>
  <c r="Q205" i="35"/>
  <c r="Q206" i="35"/>
  <c r="Q207" i="35"/>
  <c r="Q208" i="35"/>
  <c r="Q209" i="35"/>
  <c r="Q210" i="35"/>
  <c r="Q211" i="35"/>
  <c r="Q212" i="35"/>
  <c r="Q213" i="35"/>
  <c r="Q214" i="35"/>
  <c r="Q215" i="35"/>
  <c r="Q216" i="35"/>
  <c r="Q217" i="35"/>
  <c r="Q218" i="35"/>
  <c r="Q219" i="35"/>
  <c r="Q220" i="35"/>
  <c r="Q221" i="35"/>
  <c r="Q222" i="35"/>
  <c r="Q223" i="35"/>
  <c r="Q224" i="35"/>
  <c r="Q225" i="35"/>
  <c r="Q226" i="35"/>
  <c r="Q227" i="35"/>
  <c r="Q228" i="35"/>
  <c r="Q229" i="35"/>
  <c r="Q230" i="35"/>
  <c r="Q231" i="35"/>
  <c r="Q232" i="35"/>
  <c r="Q233" i="35"/>
  <c r="Q234" i="35"/>
  <c r="Q235" i="35"/>
  <c r="Q236" i="35"/>
  <c r="Q237" i="35"/>
  <c r="Q238" i="35"/>
  <c r="Q239" i="35"/>
  <c r="N4" i="35"/>
  <c r="N5" i="35"/>
  <c r="N6" i="35"/>
  <c r="N7" i="35"/>
  <c r="N8" i="35"/>
  <c r="N9" i="35"/>
  <c r="N10" i="35"/>
  <c r="N11" i="35"/>
  <c r="N12" i="35"/>
  <c r="N13" i="35"/>
  <c r="N14" i="35"/>
  <c r="N15" i="35"/>
  <c r="N16" i="35"/>
  <c r="N17" i="35"/>
  <c r="N18" i="35"/>
  <c r="N19" i="35"/>
  <c r="N20" i="35"/>
  <c r="N21" i="35"/>
  <c r="N22" i="35"/>
  <c r="N23" i="35"/>
  <c r="N24" i="35"/>
  <c r="N25" i="35"/>
  <c r="N26" i="35"/>
  <c r="N27" i="35"/>
  <c r="N28" i="35"/>
  <c r="N29" i="35"/>
  <c r="N30" i="35"/>
  <c r="N31" i="35"/>
  <c r="N32" i="35"/>
  <c r="N33" i="35"/>
  <c r="N34" i="35"/>
  <c r="N35" i="35"/>
  <c r="N36" i="35"/>
  <c r="N37" i="35"/>
  <c r="N38" i="35"/>
  <c r="N39" i="35"/>
  <c r="N40" i="35"/>
  <c r="N41" i="35"/>
  <c r="N42" i="35"/>
  <c r="N43" i="35"/>
  <c r="N44" i="35"/>
  <c r="N45" i="35"/>
  <c r="N46" i="35"/>
  <c r="N47" i="35"/>
  <c r="N48" i="35"/>
  <c r="N49" i="35"/>
  <c r="N50" i="35"/>
  <c r="N51" i="35"/>
  <c r="N52" i="35"/>
  <c r="N53" i="35"/>
  <c r="N54" i="35"/>
  <c r="N55" i="35"/>
  <c r="N56" i="35"/>
  <c r="N57" i="35"/>
  <c r="N58" i="35"/>
  <c r="N59" i="35"/>
  <c r="N60" i="35"/>
  <c r="N61" i="35"/>
  <c r="N62" i="35"/>
  <c r="N63" i="35"/>
  <c r="N64" i="35"/>
  <c r="N65" i="35"/>
  <c r="N66" i="35"/>
  <c r="N67" i="35"/>
  <c r="N68" i="35"/>
  <c r="N69" i="35"/>
  <c r="N70" i="35"/>
  <c r="N71" i="35"/>
  <c r="N72" i="35"/>
  <c r="N73" i="35"/>
  <c r="N74" i="35"/>
  <c r="N75" i="35"/>
  <c r="N76" i="35"/>
  <c r="N77" i="35"/>
  <c r="N78" i="35"/>
  <c r="N79" i="35"/>
  <c r="N80" i="35"/>
  <c r="N81" i="35"/>
  <c r="N82" i="35"/>
  <c r="N83" i="35"/>
  <c r="N84" i="35"/>
  <c r="N85" i="35"/>
  <c r="N86" i="35"/>
  <c r="N87" i="35"/>
  <c r="N88" i="35"/>
  <c r="N89" i="35"/>
  <c r="N90" i="35"/>
  <c r="N91" i="35"/>
  <c r="N92" i="35"/>
  <c r="N93" i="35"/>
  <c r="N94" i="35"/>
  <c r="N95" i="35"/>
  <c r="N96" i="35"/>
  <c r="N97" i="35"/>
  <c r="N98" i="35"/>
  <c r="N99" i="35"/>
  <c r="N100" i="35"/>
  <c r="N101" i="35"/>
  <c r="N102" i="35"/>
  <c r="N103" i="35"/>
  <c r="N104" i="35"/>
  <c r="N105" i="35"/>
  <c r="N106" i="35"/>
  <c r="N107" i="35"/>
  <c r="N108" i="35"/>
  <c r="N109" i="35"/>
  <c r="N110" i="35"/>
  <c r="N111" i="35"/>
  <c r="N112" i="35"/>
  <c r="N113" i="35"/>
  <c r="N114" i="35"/>
  <c r="N115" i="35"/>
  <c r="N116" i="35"/>
  <c r="N117" i="35"/>
  <c r="N118" i="35"/>
  <c r="N119" i="35"/>
  <c r="N120" i="35"/>
  <c r="N121" i="35"/>
  <c r="N122" i="35"/>
  <c r="N123" i="35"/>
  <c r="N124" i="35"/>
  <c r="N125" i="35"/>
  <c r="N126" i="35"/>
  <c r="N127" i="35"/>
  <c r="N128" i="35"/>
  <c r="N129" i="35"/>
  <c r="N130" i="35"/>
  <c r="N131" i="35"/>
  <c r="N132" i="35"/>
  <c r="N133" i="35"/>
  <c r="N134" i="35"/>
  <c r="N135" i="35"/>
  <c r="N136" i="35"/>
  <c r="N137" i="35"/>
  <c r="N138" i="35"/>
  <c r="N139" i="35"/>
  <c r="N140" i="35"/>
  <c r="N141" i="35"/>
  <c r="N142" i="35"/>
  <c r="N143" i="35"/>
  <c r="N144" i="35"/>
  <c r="N145" i="35"/>
  <c r="N146" i="35"/>
  <c r="N147" i="35"/>
  <c r="N148" i="35"/>
  <c r="N149" i="35"/>
  <c r="N150" i="35"/>
  <c r="N151" i="35"/>
  <c r="N152" i="35"/>
  <c r="N153" i="35"/>
  <c r="N154" i="35"/>
  <c r="N155" i="35"/>
  <c r="N156" i="35"/>
  <c r="N157" i="35"/>
  <c r="N158" i="35"/>
  <c r="N159" i="35"/>
  <c r="N160" i="35"/>
  <c r="N161" i="35"/>
  <c r="N162" i="35"/>
  <c r="N163" i="35"/>
  <c r="N164" i="35"/>
  <c r="N165" i="35"/>
  <c r="N166" i="35"/>
  <c r="N167" i="35"/>
  <c r="N168" i="35"/>
  <c r="N169" i="35"/>
  <c r="N170" i="35"/>
  <c r="N171" i="35"/>
  <c r="N172" i="35"/>
  <c r="N173" i="35"/>
  <c r="N174" i="35"/>
  <c r="N175" i="35"/>
  <c r="N176" i="35"/>
  <c r="N177" i="35"/>
  <c r="N178" i="35"/>
  <c r="N179" i="35"/>
  <c r="N180" i="35"/>
  <c r="N181" i="35"/>
  <c r="N182" i="35"/>
  <c r="N183" i="35"/>
  <c r="N184" i="35"/>
  <c r="N185" i="35"/>
  <c r="N186" i="35"/>
  <c r="N187" i="35"/>
  <c r="N188" i="35"/>
  <c r="N189" i="35"/>
  <c r="N190" i="35"/>
  <c r="N191" i="35"/>
  <c r="N192" i="35"/>
  <c r="N193" i="35"/>
  <c r="N194" i="35"/>
  <c r="N195" i="35"/>
  <c r="N196" i="35"/>
  <c r="N197" i="35"/>
  <c r="N198" i="35"/>
  <c r="N199" i="35"/>
  <c r="N200" i="35"/>
  <c r="N201" i="35"/>
  <c r="N202" i="35"/>
  <c r="N203" i="35"/>
  <c r="N204" i="35"/>
  <c r="N205" i="35"/>
  <c r="N206" i="35"/>
  <c r="N207" i="35"/>
  <c r="N208" i="35"/>
  <c r="N209" i="35"/>
  <c r="N210" i="35"/>
  <c r="N211" i="35"/>
  <c r="N212" i="35"/>
  <c r="N213" i="35"/>
  <c r="N214" i="35"/>
  <c r="N215" i="35"/>
  <c r="N216" i="35"/>
  <c r="N217" i="35"/>
  <c r="N218" i="35"/>
  <c r="N219" i="35"/>
  <c r="N220" i="35"/>
  <c r="N221" i="35"/>
  <c r="N222" i="35"/>
  <c r="N223" i="35"/>
  <c r="N224" i="35"/>
  <c r="N225" i="35"/>
  <c r="N226" i="35"/>
  <c r="N227" i="35"/>
  <c r="N228" i="35"/>
  <c r="N229" i="35"/>
  <c r="N230" i="35"/>
  <c r="N231" i="35"/>
  <c r="N232" i="35"/>
  <c r="N233" i="35"/>
  <c r="N234" i="35"/>
  <c r="N235" i="35"/>
  <c r="N236" i="35"/>
  <c r="N237" i="35"/>
  <c r="N238" i="35"/>
  <c r="N239" i="35"/>
  <c r="K4" i="35"/>
  <c r="K5" i="35"/>
  <c r="K6" i="35"/>
  <c r="K7" i="35"/>
  <c r="K8" i="35"/>
  <c r="K9" i="35"/>
  <c r="K10" i="35"/>
  <c r="K11" i="35"/>
  <c r="K12" i="35"/>
  <c r="K13" i="35"/>
  <c r="K14" i="35"/>
  <c r="K15" i="35"/>
  <c r="K16" i="35"/>
  <c r="K17" i="35"/>
  <c r="K18" i="35"/>
  <c r="K19" i="35"/>
  <c r="K20" i="35"/>
  <c r="K21" i="35"/>
  <c r="K22" i="35"/>
  <c r="K23" i="35"/>
  <c r="K24" i="35"/>
  <c r="K25" i="35"/>
  <c r="K26" i="35"/>
  <c r="K27" i="35"/>
  <c r="K28" i="35"/>
  <c r="K29" i="35"/>
  <c r="K30" i="35"/>
  <c r="K31" i="35"/>
  <c r="K32" i="35"/>
  <c r="K33" i="35"/>
  <c r="K34" i="35"/>
  <c r="K35" i="35"/>
  <c r="K36" i="35"/>
  <c r="K37" i="35"/>
  <c r="K38" i="35"/>
  <c r="K39" i="35"/>
  <c r="K40" i="35"/>
  <c r="K41" i="35"/>
  <c r="K42" i="35"/>
  <c r="K43" i="35"/>
  <c r="K44" i="35"/>
  <c r="K45" i="35"/>
  <c r="K46" i="35"/>
  <c r="K47" i="35"/>
  <c r="K48" i="35"/>
  <c r="K49" i="35"/>
  <c r="K50" i="35"/>
  <c r="K51" i="35"/>
  <c r="K52" i="35"/>
  <c r="K53" i="35"/>
  <c r="K54" i="35"/>
  <c r="K55" i="35"/>
  <c r="K56" i="35"/>
  <c r="K57" i="35"/>
  <c r="K58" i="35"/>
  <c r="K59" i="35"/>
  <c r="K60" i="35"/>
  <c r="K61" i="35"/>
  <c r="K62" i="35"/>
  <c r="K63" i="35"/>
  <c r="K64" i="35"/>
  <c r="K65" i="35"/>
  <c r="K66" i="35"/>
  <c r="K67" i="35"/>
  <c r="K68" i="35"/>
  <c r="K69" i="35"/>
  <c r="K70" i="35"/>
  <c r="K71" i="35"/>
  <c r="K72" i="35"/>
  <c r="K73" i="35"/>
  <c r="K74" i="35"/>
  <c r="K75" i="35"/>
  <c r="K76" i="35"/>
  <c r="K77" i="35"/>
  <c r="K78" i="35"/>
  <c r="K79" i="35"/>
  <c r="K80" i="35"/>
  <c r="K81" i="35"/>
  <c r="K82" i="35"/>
  <c r="K83" i="35"/>
  <c r="K84" i="35"/>
  <c r="K85" i="35"/>
  <c r="K86" i="35"/>
  <c r="K87" i="35"/>
  <c r="K88" i="35"/>
  <c r="K89" i="35"/>
  <c r="K90" i="35"/>
  <c r="K91" i="35"/>
  <c r="K92" i="35"/>
  <c r="K93" i="35"/>
  <c r="K94" i="35"/>
  <c r="K95" i="35"/>
  <c r="K96" i="35"/>
  <c r="K97" i="35"/>
  <c r="K98" i="35"/>
  <c r="K99" i="35"/>
  <c r="K100" i="35"/>
  <c r="K101" i="35"/>
  <c r="K102" i="35"/>
  <c r="K103" i="35"/>
  <c r="K104" i="35"/>
  <c r="K105" i="35"/>
  <c r="K106" i="35"/>
  <c r="K107" i="35"/>
  <c r="K108" i="35"/>
  <c r="K109" i="35"/>
  <c r="K110" i="35"/>
  <c r="K111" i="35"/>
  <c r="K112" i="35"/>
  <c r="K113" i="35"/>
  <c r="K114" i="35"/>
  <c r="K115" i="35"/>
  <c r="K116" i="35"/>
  <c r="K117" i="35"/>
  <c r="K118" i="35"/>
  <c r="K119" i="35"/>
  <c r="K120" i="35"/>
  <c r="K121" i="35"/>
  <c r="K122" i="35"/>
  <c r="K123" i="35"/>
  <c r="K124" i="35"/>
  <c r="K125" i="35"/>
  <c r="K126" i="35"/>
  <c r="K127" i="35"/>
  <c r="K128" i="35"/>
  <c r="K129" i="35"/>
  <c r="K130" i="35"/>
  <c r="K131" i="35"/>
  <c r="K132" i="35"/>
  <c r="K133" i="35"/>
  <c r="K134" i="35"/>
  <c r="K135" i="35"/>
  <c r="K136" i="35"/>
  <c r="K137" i="35"/>
  <c r="K138" i="35"/>
  <c r="K139" i="35"/>
  <c r="K140" i="35"/>
  <c r="K141" i="35"/>
  <c r="K142" i="35"/>
  <c r="K143" i="35"/>
  <c r="K144" i="35"/>
  <c r="K145" i="35"/>
  <c r="K146" i="35"/>
  <c r="K147" i="35"/>
  <c r="K148" i="35"/>
  <c r="K149" i="35"/>
  <c r="K150" i="35"/>
  <c r="K151" i="35"/>
  <c r="K152" i="35"/>
  <c r="K153" i="35"/>
  <c r="K154" i="35"/>
  <c r="K155" i="35"/>
  <c r="K156" i="35"/>
  <c r="K157" i="35"/>
  <c r="K158" i="35"/>
  <c r="K159" i="35"/>
  <c r="K160" i="35"/>
  <c r="K161" i="35"/>
  <c r="K162" i="35"/>
  <c r="K163" i="35"/>
  <c r="K164" i="35"/>
  <c r="K165" i="35"/>
  <c r="K166" i="35"/>
  <c r="K167" i="35"/>
  <c r="K168" i="35"/>
  <c r="K169" i="35"/>
  <c r="K170" i="35"/>
  <c r="K171" i="35"/>
  <c r="K172" i="35"/>
  <c r="K173" i="35"/>
  <c r="K174" i="35"/>
  <c r="K175" i="35"/>
  <c r="K176" i="35"/>
  <c r="K177" i="35"/>
  <c r="K178" i="35"/>
  <c r="K179" i="35"/>
  <c r="K180" i="35"/>
  <c r="K181" i="35"/>
  <c r="K182" i="35"/>
  <c r="K183" i="35"/>
  <c r="K184" i="35"/>
  <c r="K185" i="35"/>
  <c r="K186" i="35"/>
  <c r="K187" i="35"/>
  <c r="K188" i="35"/>
  <c r="K189" i="35"/>
  <c r="K190" i="35"/>
  <c r="K191" i="35"/>
  <c r="K192" i="35"/>
  <c r="K193" i="35"/>
  <c r="K194" i="35"/>
  <c r="K195" i="35"/>
  <c r="K196" i="35"/>
  <c r="K197" i="35"/>
  <c r="K198" i="35"/>
  <c r="K199" i="35"/>
  <c r="K200" i="35"/>
  <c r="K201" i="35"/>
  <c r="K202" i="35"/>
  <c r="K203" i="35"/>
  <c r="K204" i="35"/>
  <c r="K205" i="35"/>
  <c r="K206" i="35"/>
  <c r="K207" i="35"/>
  <c r="K208" i="35"/>
  <c r="K209" i="35"/>
  <c r="K210" i="35"/>
  <c r="K211" i="35"/>
  <c r="K212" i="35"/>
  <c r="K213" i="35"/>
  <c r="K214" i="35"/>
  <c r="K215" i="35"/>
  <c r="K216" i="35"/>
  <c r="K217" i="35"/>
  <c r="K218" i="35"/>
  <c r="K219" i="35"/>
  <c r="K220" i="35"/>
  <c r="K221" i="35"/>
  <c r="K222" i="35"/>
  <c r="K223" i="35"/>
  <c r="K224" i="35"/>
  <c r="K225" i="35"/>
  <c r="K226" i="35"/>
  <c r="K227" i="35"/>
  <c r="K228" i="35"/>
  <c r="K229" i="35"/>
  <c r="K230" i="35"/>
  <c r="K231" i="35"/>
  <c r="K232" i="35"/>
  <c r="K233" i="35"/>
  <c r="K234" i="35"/>
  <c r="K235" i="35"/>
  <c r="K236" i="35"/>
  <c r="K237" i="35"/>
  <c r="K238" i="35"/>
  <c r="K239" i="35"/>
  <c r="I4" i="35"/>
  <c r="I5" i="35"/>
  <c r="I6" i="35"/>
  <c r="I7" i="35"/>
  <c r="I8" i="35"/>
  <c r="I9" i="35"/>
  <c r="I10" i="35"/>
  <c r="I11" i="35"/>
  <c r="I12" i="35"/>
  <c r="I13" i="35"/>
  <c r="I14" i="35"/>
  <c r="I15" i="35"/>
  <c r="I16" i="35"/>
  <c r="I17" i="35"/>
  <c r="I18" i="35"/>
  <c r="I19" i="35"/>
  <c r="I20" i="35"/>
  <c r="I21" i="35"/>
  <c r="I22" i="35"/>
  <c r="I23" i="35"/>
  <c r="I24" i="35"/>
  <c r="I25" i="35"/>
  <c r="I26" i="35"/>
  <c r="I27" i="35"/>
  <c r="I28" i="35"/>
  <c r="I29" i="35"/>
  <c r="I30" i="35"/>
  <c r="I31" i="35"/>
  <c r="I32" i="35"/>
  <c r="I33" i="35"/>
  <c r="I34" i="35"/>
  <c r="I35" i="35"/>
  <c r="I36" i="35"/>
  <c r="I37" i="35"/>
  <c r="I38" i="35"/>
  <c r="I39" i="35"/>
  <c r="I40" i="35"/>
  <c r="I41" i="35"/>
  <c r="I42" i="35"/>
  <c r="I43" i="35"/>
  <c r="I44" i="35"/>
  <c r="I45" i="35"/>
  <c r="I46" i="35"/>
  <c r="I47" i="35"/>
  <c r="I48" i="35"/>
  <c r="I49" i="35"/>
  <c r="I50" i="35"/>
  <c r="I51" i="35"/>
  <c r="I52" i="35"/>
  <c r="I53" i="35"/>
  <c r="I54" i="35"/>
  <c r="I55" i="35"/>
  <c r="I56" i="35"/>
  <c r="I57" i="35"/>
  <c r="I58" i="35"/>
  <c r="I59" i="35"/>
  <c r="I60" i="35"/>
  <c r="I61" i="35"/>
  <c r="I62" i="35"/>
  <c r="I63" i="35"/>
  <c r="I64" i="35"/>
  <c r="I65" i="35"/>
  <c r="I66" i="35"/>
  <c r="I67" i="35"/>
  <c r="I68" i="35"/>
  <c r="I69" i="35"/>
  <c r="I70" i="35"/>
  <c r="I71" i="35"/>
  <c r="I72" i="35"/>
  <c r="I73" i="35"/>
  <c r="I74" i="35"/>
  <c r="I75" i="35"/>
  <c r="I76" i="35"/>
  <c r="I77" i="35"/>
  <c r="I78" i="35"/>
  <c r="I79" i="35"/>
  <c r="I80" i="35"/>
  <c r="I81" i="35"/>
  <c r="I82" i="35"/>
  <c r="I83" i="35"/>
  <c r="I84" i="35"/>
  <c r="I85" i="35"/>
  <c r="I86" i="35"/>
  <c r="I87" i="35"/>
  <c r="I88" i="35"/>
  <c r="I89" i="35"/>
  <c r="I90" i="35"/>
  <c r="I91" i="35"/>
  <c r="I92" i="35"/>
  <c r="I93" i="35"/>
  <c r="I94" i="35"/>
  <c r="I95" i="35"/>
  <c r="I96" i="35"/>
  <c r="I97" i="35"/>
  <c r="I98" i="35"/>
  <c r="I99" i="35"/>
  <c r="I100" i="35"/>
  <c r="I101" i="35"/>
  <c r="I102" i="35"/>
  <c r="I103" i="35"/>
  <c r="I104" i="35"/>
  <c r="I105" i="35"/>
  <c r="I106" i="35"/>
  <c r="I107" i="35"/>
  <c r="I108" i="35"/>
  <c r="I109" i="35"/>
  <c r="I110" i="35"/>
  <c r="I111" i="35"/>
  <c r="I112" i="35"/>
  <c r="I113" i="35"/>
  <c r="I114" i="35"/>
  <c r="I115" i="35"/>
  <c r="I116" i="35"/>
  <c r="I117" i="35"/>
  <c r="I118" i="35"/>
  <c r="I119" i="35"/>
  <c r="I120" i="35"/>
  <c r="I121" i="35"/>
  <c r="I122" i="35"/>
  <c r="I123" i="35"/>
  <c r="I124" i="35"/>
  <c r="I125" i="35"/>
  <c r="I126" i="35"/>
  <c r="I127" i="35"/>
  <c r="I128" i="35"/>
  <c r="I129" i="35"/>
  <c r="I130" i="35"/>
  <c r="I131" i="35"/>
  <c r="I132" i="35"/>
  <c r="I133" i="35"/>
  <c r="I134" i="35"/>
  <c r="I135" i="35"/>
  <c r="I136" i="35"/>
  <c r="I137" i="35"/>
  <c r="I138" i="35"/>
  <c r="I139" i="35"/>
  <c r="I140" i="35"/>
  <c r="I141" i="35"/>
  <c r="I142" i="35"/>
  <c r="I143" i="35"/>
  <c r="I144" i="35"/>
  <c r="I145" i="35"/>
  <c r="I146" i="35"/>
  <c r="I147" i="35"/>
  <c r="I148" i="35"/>
  <c r="I149" i="35"/>
  <c r="I150" i="35"/>
  <c r="I151" i="35"/>
  <c r="I152" i="35"/>
  <c r="I153" i="35"/>
  <c r="I154" i="35"/>
  <c r="I155" i="35"/>
  <c r="I156" i="35"/>
  <c r="I157" i="35"/>
  <c r="I158" i="35"/>
  <c r="I159" i="35"/>
  <c r="I160" i="35"/>
  <c r="I161" i="35"/>
  <c r="I162" i="35"/>
  <c r="I163" i="35"/>
  <c r="I164" i="35"/>
  <c r="I165" i="35"/>
  <c r="I166" i="35"/>
  <c r="I167" i="35"/>
  <c r="I168" i="35"/>
  <c r="I169" i="35"/>
  <c r="I170" i="35"/>
  <c r="I171" i="35"/>
  <c r="I172" i="35"/>
  <c r="I173" i="35"/>
  <c r="I174" i="35"/>
  <c r="I175" i="35"/>
  <c r="I176" i="35"/>
  <c r="I177" i="35"/>
  <c r="I178" i="35"/>
  <c r="I179" i="35"/>
  <c r="I180" i="35"/>
  <c r="I181" i="35"/>
  <c r="I182" i="35"/>
  <c r="I183" i="35"/>
  <c r="I184" i="35"/>
  <c r="I185" i="35"/>
  <c r="I186" i="35"/>
  <c r="I187" i="35"/>
  <c r="I188" i="35"/>
  <c r="I189" i="35"/>
  <c r="I190" i="35"/>
  <c r="I191" i="35"/>
  <c r="I192" i="35"/>
  <c r="I193" i="35"/>
  <c r="I194" i="35"/>
  <c r="I195" i="35"/>
  <c r="I196" i="35"/>
  <c r="I197" i="35"/>
  <c r="I198" i="35"/>
  <c r="I199" i="35"/>
  <c r="I200" i="35"/>
  <c r="I201" i="35"/>
  <c r="I202" i="35"/>
  <c r="I203" i="35"/>
  <c r="I204" i="35"/>
  <c r="I205" i="35"/>
  <c r="I206" i="35"/>
  <c r="I207" i="35"/>
  <c r="I208" i="35"/>
  <c r="I209" i="35"/>
  <c r="I210" i="35"/>
  <c r="I211" i="35"/>
  <c r="I212" i="35"/>
  <c r="I213" i="35"/>
  <c r="I214" i="35"/>
  <c r="I215" i="35"/>
  <c r="I216" i="35"/>
  <c r="I217" i="35"/>
  <c r="I218" i="35"/>
  <c r="I219" i="35"/>
  <c r="I220" i="35"/>
  <c r="I221" i="35"/>
  <c r="I222" i="35"/>
  <c r="I223" i="35"/>
  <c r="I224" i="35"/>
  <c r="I225" i="35"/>
  <c r="I226" i="35"/>
  <c r="I227" i="35"/>
  <c r="I228" i="35"/>
  <c r="I229" i="35"/>
  <c r="I230" i="35"/>
  <c r="I231" i="35"/>
  <c r="I232" i="35"/>
  <c r="I233" i="35"/>
  <c r="I234" i="35"/>
  <c r="I235" i="35"/>
  <c r="I236" i="35"/>
  <c r="I237" i="35"/>
  <c r="I238" i="35"/>
  <c r="I239" i="35"/>
  <c r="G4" i="35"/>
  <c r="G5" i="35"/>
  <c r="G6" i="35"/>
  <c r="G7" i="35"/>
  <c r="G8" i="35"/>
  <c r="G9" i="35"/>
  <c r="G10" i="35"/>
  <c r="G11" i="35"/>
  <c r="G12" i="35"/>
  <c r="G13" i="35"/>
  <c r="G14" i="35"/>
  <c r="G15" i="35"/>
  <c r="G16" i="35"/>
  <c r="G17" i="35"/>
  <c r="G18" i="35"/>
  <c r="G19" i="35"/>
  <c r="G20" i="35"/>
  <c r="G21" i="35"/>
  <c r="G22" i="35"/>
  <c r="G23" i="35"/>
  <c r="G24" i="35"/>
  <c r="G25" i="35"/>
  <c r="G26" i="35"/>
  <c r="G27" i="35"/>
  <c r="G28" i="35"/>
  <c r="G29" i="35"/>
  <c r="G30" i="35"/>
  <c r="G31" i="35"/>
  <c r="G32" i="35"/>
  <c r="G33" i="35"/>
  <c r="G34" i="35"/>
  <c r="G35" i="35"/>
  <c r="G36" i="35"/>
  <c r="G37" i="35"/>
  <c r="G38" i="35"/>
  <c r="G39" i="35"/>
  <c r="G40" i="35"/>
  <c r="G41" i="35"/>
  <c r="G42" i="35"/>
  <c r="G43" i="35"/>
  <c r="G44" i="35"/>
  <c r="G45" i="35"/>
  <c r="G46" i="35"/>
  <c r="G47" i="35"/>
  <c r="G48" i="35"/>
  <c r="G49" i="35"/>
  <c r="G50" i="35"/>
  <c r="G51" i="35"/>
  <c r="G52" i="35"/>
  <c r="G53" i="35"/>
  <c r="G54" i="35"/>
  <c r="G55" i="35"/>
  <c r="G56" i="35"/>
  <c r="G57" i="35"/>
  <c r="G58" i="35"/>
  <c r="G59" i="35"/>
  <c r="G60" i="35"/>
  <c r="G61" i="35"/>
  <c r="G62" i="35"/>
  <c r="G63" i="35"/>
  <c r="G64" i="35"/>
  <c r="G65" i="35"/>
  <c r="G66" i="35"/>
  <c r="G67" i="35"/>
  <c r="G68" i="35"/>
  <c r="G69" i="35"/>
  <c r="G70" i="35"/>
  <c r="G71" i="35"/>
  <c r="G72" i="35"/>
  <c r="G73" i="35"/>
  <c r="G74" i="35"/>
  <c r="G75" i="35"/>
  <c r="G76" i="35"/>
  <c r="G77" i="35"/>
  <c r="G78" i="35"/>
  <c r="G79" i="35"/>
  <c r="G80" i="35"/>
  <c r="G81" i="35"/>
  <c r="G82" i="35"/>
  <c r="G83" i="35"/>
  <c r="G84" i="35"/>
  <c r="G85" i="35"/>
  <c r="G86" i="35"/>
  <c r="G87" i="35"/>
  <c r="G88" i="35"/>
  <c r="G89" i="35"/>
  <c r="G90" i="35"/>
  <c r="G91" i="35"/>
  <c r="G92" i="35"/>
  <c r="G93" i="35"/>
  <c r="G94" i="35"/>
  <c r="G95" i="35"/>
  <c r="G96" i="35"/>
  <c r="G97" i="35"/>
  <c r="G98" i="35"/>
  <c r="G99" i="35"/>
  <c r="G100" i="35"/>
  <c r="G101" i="35"/>
  <c r="G102" i="35"/>
  <c r="G103" i="35"/>
  <c r="G104" i="35"/>
  <c r="G105" i="35"/>
  <c r="G106" i="35"/>
  <c r="G107" i="35"/>
  <c r="G108" i="35"/>
  <c r="G109" i="35"/>
  <c r="G110" i="35"/>
  <c r="G111" i="35"/>
  <c r="G112" i="35"/>
  <c r="G113" i="35"/>
  <c r="G114" i="35"/>
  <c r="G115" i="35"/>
  <c r="G116" i="35"/>
  <c r="G117" i="35"/>
  <c r="G118" i="35"/>
  <c r="G119" i="35"/>
  <c r="G120" i="35"/>
  <c r="G121" i="35"/>
  <c r="G122" i="35"/>
  <c r="G123" i="35"/>
  <c r="G124" i="35"/>
  <c r="G125" i="35"/>
  <c r="G126" i="35"/>
  <c r="G127" i="35"/>
  <c r="G128" i="35"/>
  <c r="G129" i="35"/>
  <c r="G130" i="35"/>
  <c r="G131" i="35"/>
  <c r="G132" i="35"/>
  <c r="G133" i="35"/>
  <c r="G134" i="35"/>
  <c r="G135" i="35"/>
  <c r="G136" i="35"/>
  <c r="G137" i="35"/>
  <c r="G138" i="35"/>
  <c r="G139" i="35"/>
  <c r="G140" i="35"/>
  <c r="G141" i="35"/>
  <c r="G142" i="35"/>
  <c r="G143" i="35"/>
  <c r="G144" i="35"/>
  <c r="G145" i="35"/>
  <c r="G146" i="35"/>
  <c r="G147" i="35"/>
  <c r="G148" i="35"/>
  <c r="G149" i="35"/>
  <c r="G150" i="35"/>
  <c r="G151" i="35"/>
  <c r="G152" i="35"/>
  <c r="G153" i="35"/>
  <c r="G154" i="35"/>
  <c r="G155" i="35"/>
  <c r="G156" i="35"/>
  <c r="G157" i="35"/>
  <c r="G158" i="35"/>
  <c r="G159" i="35"/>
  <c r="G160" i="35"/>
  <c r="G161" i="35"/>
  <c r="G162" i="35"/>
  <c r="G163" i="35"/>
  <c r="G164" i="35"/>
  <c r="G165" i="35"/>
  <c r="G166" i="35"/>
  <c r="G167" i="35"/>
  <c r="G168" i="35"/>
  <c r="G169" i="35"/>
  <c r="G170" i="35"/>
  <c r="G171" i="35"/>
  <c r="G172" i="35"/>
  <c r="G173" i="35"/>
  <c r="G174" i="35"/>
  <c r="G175" i="35"/>
  <c r="G176" i="35"/>
  <c r="G177" i="35"/>
  <c r="G178" i="35"/>
  <c r="G179" i="35"/>
  <c r="G180" i="35"/>
  <c r="G181" i="35"/>
  <c r="G182" i="35"/>
  <c r="G183" i="35"/>
  <c r="G184" i="35"/>
  <c r="G185" i="35"/>
  <c r="G186" i="35"/>
  <c r="G187" i="35"/>
  <c r="G188" i="35"/>
  <c r="G189" i="35"/>
  <c r="G190" i="35"/>
  <c r="G191" i="35"/>
  <c r="G192" i="35"/>
  <c r="G193" i="35"/>
  <c r="G194" i="35"/>
  <c r="G195" i="35"/>
  <c r="G196" i="35"/>
  <c r="G197" i="35"/>
  <c r="G198" i="35"/>
  <c r="G199" i="35"/>
  <c r="G200" i="35"/>
  <c r="G201" i="35"/>
  <c r="G202" i="35"/>
  <c r="G203" i="35"/>
  <c r="G204" i="35"/>
  <c r="G205" i="35"/>
  <c r="G206" i="35"/>
  <c r="G207" i="35"/>
  <c r="G208" i="35"/>
  <c r="G209" i="35"/>
  <c r="G210" i="35"/>
  <c r="G211" i="35"/>
  <c r="G212" i="35"/>
  <c r="G213" i="35"/>
  <c r="G214" i="35"/>
  <c r="G215" i="35"/>
  <c r="G216" i="35"/>
  <c r="G217" i="35"/>
  <c r="G218" i="35"/>
  <c r="G219" i="35"/>
  <c r="G220" i="35"/>
  <c r="G221" i="35"/>
  <c r="G222" i="35"/>
  <c r="G223" i="35"/>
  <c r="G224" i="35"/>
  <c r="G225" i="35"/>
  <c r="G226" i="35"/>
  <c r="G227" i="35"/>
  <c r="G228" i="35"/>
  <c r="G229" i="35"/>
  <c r="G230" i="35"/>
  <c r="G231" i="35"/>
  <c r="G232" i="35"/>
  <c r="G233" i="35"/>
  <c r="G234" i="35"/>
  <c r="G235" i="35"/>
  <c r="G236" i="35"/>
  <c r="G237" i="35"/>
  <c r="G238" i="35"/>
  <c r="G239" i="35"/>
  <c r="E4" i="35"/>
  <c r="F4" i="35" s="1"/>
  <c r="E5" i="35"/>
  <c r="F5" i="35" s="1"/>
  <c r="E6" i="35"/>
  <c r="F6" i="35" s="1"/>
  <c r="E7" i="35"/>
  <c r="F7" i="35" s="1"/>
  <c r="E8" i="35"/>
  <c r="F8" i="35" s="1"/>
  <c r="E9" i="35"/>
  <c r="F9" i="35" s="1"/>
  <c r="E10" i="35"/>
  <c r="F10" i="35" s="1"/>
  <c r="E11" i="35"/>
  <c r="F11" i="35" s="1"/>
  <c r="E12" i="35"/>
  <c r="F12" i="35" s="1"/>
  <c r="E13" i="35"/>
  <c r="F13" i="35" s="1"/>
  <c r="E14" i="35"/>
  <c r="F14" i="35" s="1"/>
  <c r="E15" i="35"/>
  <c r="F15" i="35" s="1"/>
  <c r="E16" i="35"/>
  <c r="F16" i="35" s="1"/>
  <c r="E17" i="35"/>
  <c r="F17" i="35" s="1"/>
  <c r="E18" i="35"/>
  <c r="F18" i="35" s="1"/>
  <c r="E19" i="35"/>
  <c r="F19" i="35" s="1"/>
  <c r="E20" i="35"/>
  <c r="F20" i="35" s="1"/>
  <c r="E21" i="35"/>
  <c r="F21" i="35" s="1"/>
  <c r="E22" i="35"/>
  <c r="F22" i="35" s="1"/>
  <c r="E23" i="35"/>
  <c r="F23" i="35" s="1"/>
  <c r="E24" i="35"/>
  <c r="F24" i="35" s="1"/>
  <c r="E25" i="35"/>
  <c r="F25" i="35" s="1"/>
  <c r="E26" i="35"/>
  <c r="F26" i="35" s="1"/>
  <c r="E27" i="35"/>
  <c r="F27" i="35" s="1"/>
  <c r="E28" i="35"/>
  <c r="F28" i="35" s="1"/>
  <c r="E29" i="35"/>
  <c r="F29" i="35" s="1"/>
  <c r="E30" i="35"/>
  <c r="F30" i="35" s="1"/>
  <c r="E31" i="35"/>
  <c r="F31" i="35" s="1"/>
  <c r="E32" i="35"/>
  <c r="F32" i="35" s="1"/>
  <c r="E33" i="35"/>
  <c r="F33" i="35" s="1"/>
  <c r="E34" i="35"/>
  <c r="F34" i="35" s="1"/>
  <c r="E35" i="35"/>
  <c r="F35" i="35" s="1"/>
  <c r="E36" i="35"/>
  <c r="F36" i="35" s="1"/>
  <c r="E37" i="35"/>
  <c r="F37" i="35" s="1"/>
  <c r="E38" i="35"/>
  <c r="F38" i="35" s="1"/>
  <c r="E39" i="35"/>
  <c r="F39" i="35" s="1"/>
  <c r="E40" i="35"/>
  <c r="F40" i="35" s="1"/>
  <c r="E41" i="35"/>
  <c r="F41" i="35" s="1"/>
  <c r="E42" i="35"/>
  <c r="F42" i="35" s="1"/>
  <c r="E43" i="35"/>
  <c r="F43" i="35" s="1"/>
  <c r="E44" i="35"/>
  <c r="F44" i="35" s="1"/>
  <c r="E45" i="35"/>
  <c r="F45" i="35" s="1"/>
  <c r="E46" i="35"/>
  <c r="F46" i="35" s="1"/>
  <c r="E47" i="35"/>
  <c r="F47" i="35" s="1"/>
  <c r="E48" i="35"/>
  <c r="F48" i="35" s="1"/>
  <c r="E49" i="35"/>
  <c r="F49" i="35" s="1"/>
  <c r="E50" i="35"/>
  <c r="F50" i="35" s="1"/>
  <c r="E51" i="35"/>
  <c r="F51" i="35" s="1"/>
  <c r="E52" i="35"/>
  <c r="F52" i="35" s="1"/>
  <c r="E53" i="35"/>
  <c r="F53" i="35" s="1"/>
  <c r="E54" i="35"/>
  <c r="F54" i="35" s="1"/>
  <c r="E55" i="35"/>
  <c r="F55" i="35" s="1"/>
  <c r="E56" i="35"/>
  <c r="F56" i="35" s="1"/>
  <c r="E57" i="35"/>
  <c r="F57" i="35" s="1"/>
  <c r="E58" i="35"/>
  <c r="F58" i="35" s="1"/>
  <c r="E59" i="35"/>
  <c r="F59" i="35" s="1"/>
  <c r="E60" i="35"/>
  <c r="F60" i="35" s="1"/>
  <c r="E61" i="35"/>
  <c r="F61" i="35" s="1"/>
  <c r="E62" i="35"/>
  <c r="F62" i="35" s="1"/>
  <c r="E63" i="35"/>
  <c r="F63" i="35" s="1"/>
  <c r="E64" i="35"/>
  <c r="F64" i="35" s="1"/>
  <c r="E65" i="35"/>
  <c r="F65" i="35" s="1"/>
  <c r="E66" i="35"/>
  <c r="F66" i="35" s="1"/>
  <c r="E67" i="35"/>
  <c r="F67" i="35" s="1"/>
  <c r="E68" i="35"/>
  <c r="F68" i="35" s="1"/>
  <c r="E69" i="35"/>
  <c r="F69" i="35" s="1"/>
  <c r="E70" i="35"/>
  <c r="F70" i="35" s="1"/>
  <c r="E71" i="35"/>
  <c r="F71" i="35" s="1"/>
  <c r="E72" i="35"/>
  <c r="F72" i="35" s="1"/>
  <c r="E73" i="35"/>
  <c r="F73" i="35" s="1"/>
  <c r="E74" i="35"/>
  <c r="F74" i="35" s="1"/>
  <c r="E75" i="35"/>
  <c r="F75" i="35" s="1"/>
  <c r="E76" i="35"/>
  <c r="F76" i="35" s="1"/>
  <c r="E77" i="35"/>
  <c r="F77" i="35" s="1"/>
  <c r="E78" i="35"/>
  <c r="F78" i="35" s="1"/>
  <c r="E79" i="35"/>
  <c r="F79" i="35" s="1"/>
  <c r="E80" i="35"/>
  <c r="F80" i="35" s="1"/>
  <c r="E81" i="35"/>
  <c r="F81" i="35" s="1"/>
  <c r="E82" i="35"/>
  <c r="F82" i="35" s="1"/>
  <c r="E83" i="35"/>
  <c r="F83" i="35" s="1"/>
  <c r="E84" i="35"/>
  <c r="F84" i="35" s="1"/>
  <c r="E85" i="35"/>
  <c r="F85" i="35" s="1"/>
  <c r="E86" i="35"/>
  <c r="F86" i="35" s="1"/>
  <c r="E87" i="35"/>
  <c r="F87" i="35" s="1"/>
  <c r="E88" i="35"/>
  <c r="F88" i="35" s="1"/>
  <c r="E89" i="35"/>
  <c r="F89" i="35" s="1"/>
  <c r="E90" i="35"/>
  <c r="F90" i="35" s="1"/>
  <c r="E91" i="35"/>
  <c r="F91" i="35" s="1"/>
  <c r="E92" i="35"/>
  <c r="F92" i="35" s="1"/>
  <c r="E93" i="35"/>
  <c r="F93" i="35" s="1"/>
  <c r="E94" i="35"/>
  <c r="F94" i="35" s="1"/>
  <c r="E95" i="35"/>
  <c r="F95" i="35" s="1"/>
  <c r="E96" i="35"/>
  <c r="F96" i="35" s="1"/>
  <c r="E97" i="35"/>
  <c r="F97" i="35" s="1"/>
  <c r="E98" i="35"/>
  <c r="F98" i="35" s="1"/>
  <c r="E99" i="35"/>
  <c r="F99" i="35" s="1"/>
  <c r="E100" i="35"/>
  <c r="F100" i="35" s="1"/>
  <c r="E101" i="35"/>
  <c r="F101" i="35" s="1"/>
  <c r="E102" i="35"/>
  <c r="F102" i="35" s="1"/>
  <c r="E103" i="35"/>
  <c r="F103" i="35" s="1"/>
  <c r="E104" i="35"/>
  <c r="F104" i="35" s="1"/>
  <c r="E105" i="35"/>
  <c r="F105" i="35" s="1"/>
  <c r="E106" i="35"/>
  <c r="F106" i="35" s="1"/>
  <c r="E107" i="35"/>
  <c r="F107" i="35" s="1"/>
  <c r="E108" i="35"/>
  <c r="F108" i="35" s="1"/>
  <c r="E109" i="35"/>
  <c r="F109" i="35" s="1"/>
  <c r="E110" i="35"/>
  <c r="F110" i="35" s="1"/>
  <c r="E111" i="35"/>
  <c r="F111" i="35" s="1"/>
  <c r="E112" i="35"/>
  <c r="F112" i="35" s="1"/>
  <c r="E113" i="35"/>
  <c r="F113" i="35" s="1"/>
  <c r="E114" i="35"/>
  <c r="F114" i="35" s="1"/>
  <c r="E115" i="35"/>
  <c r="F115" i="35" s="1"/>
  <c r="E116" i="35"/>
  <c r="F116" i="35" s="1"/>
  <c r="E117" i="35"/>
  <c r="F117" i="35" s="1"/>
  <c r="E118" i="35"/>
  <c r="F118" i="35" s="1"/>
  <c r="E119" i="35"/>
  <c r="F119" i="35" s="1"/>
  <c r="E120" i="35"/>
  <c r="F120" i="35" s="1"/>
  <c r="E121" i="35"/>
  <c r="F121" i="35" s="1"/>
  <c r="E122" i="35"/>
  <c r="F122" i="35" s="1"/>
  <c r="E123" i="35"/>
  <c r="F123" i="35" s="1"/>
  <c r="E124" i="35"/>
  <c r="F124" i="35" s="1"/>
  <c r="E125" i="35"/>
  <c r="F125" i="35" s="1"/>
  <c r="E126" i="35"/>
  <c r="F126" i="35" s="1"/>
  <c r="E127" i="35"/>
  <c r="F127" i="35" s="1"/>
  <c r="E128" i="35"/>
  <c r="F128" i="35" s="1"/>
  <c r="E129" i="35"/>
  <c r="F129" i="35" s="1"/>
  <c r="E130" i="35"/>
  <c r="F130" i="35" s="1"/>
  <c r="E131" i="35"/>
  <c r="F131" i="35" s="1"/>
  <c r="E132" i="35"/>
  <c r="F132" i="35" s="1"/>
  <c r="E133" i="35"/>
  <c r="F133" i="35" s="1"/>
  <c r="E134" i="35"/>
  <c r="F134" i="35" s="1"/>
  <c r="E135" i="35"/>
  <c r="F135" i="35" s="1"/>
  <c r="E136" i="35"/>
  <c r="F136" i="35" s="1"/>
  <c r="E137" i="35"/>
  <c r="F137" i="35" s="1"/>
  <c r="E138" i="35"/>
  <c r="F138" i="35" s="1"/>
  <c r="E139" i="35"/>
  <c r="F139" i="35" s="1"/>
  <c r="E140" i="35"/>
  <c r="F140" i="35" s="1"/>
  <c r="E141" i="35"/>
  <c r="F141" i="35" s="1"/>
  <c r="E142" i="35"/>
  <c r="F142" i="35" s="1"/>
  <c r="E143" i="35"/>
  <c r="F143" i="35" s="1"/>
  <c r="E144" i="35"/>
  <c r="F144" i="35" s="1"/>
  <c r="E145" i="35"/>
  <c r="F145" i="35" s="1"/>
  <c r="E146" i="35"/>
  <c r="F146" i="35" s="1"/>
  <c r="E147" i="35"/>
  <c r="F147" i="35" s="1"/>
  <c r="E148" i="35"/>
  <c r="F148" i="35" s="1"/>
  <c r="E149" i="35"/>
  <c r="F149" i="35" s="1"/>
  <c r="E150" i="35"/>
  <c r="F150" i="35" s="1"/>
  <c r="E151" i="35"/>
  <c r="F151" i="35" s="1"/>
  <c r="E152" i="35"/>
  <c r="F152" i="35" s="1"/>
  <c r="E153" i="35"/>
  <c r="F153" i="35" s="1"/>
  <c r="E154" i="35"/>
  <c r="F154" i="35" s="1"/>
  <c r="E155" i="35"/>
  <c r="F155" i="35" s="1"/>
  <c r="E156" i="35"/>
  <c r="F156" i="35" s="1"/>
  <c r="E157" i="35"/>
  <c r="F157" i="35" s="1"/>
  <c r="E158" i="35"/>
  <c r="F158" i="35" s="1"/>
  <c r="E159" i="35"/>
  <c r="F159" i="35" s="1"/>
  <c r="E160" i="35"/>
  <c r="F160" i="35" s="1"/>
  <c r="E161" i="35"/>
  <c r="F161" i="35" s="1"/>
  <c r="E162" i="35"/>
  <c r="F162" i="35" s="1"/>
  <c r="E163" i="35"/>
  <c r="F163" i="35" s="1"/>
  <c r="E164" i="35"/>
  <c r="F164" i="35" s="1"/>
  <c r="E165" i="35"/>
  <c r="F165" i="35" s="1"/>
  <c r="E166" i="35"/>
  <c r="F166" i="35" s="1"/>
  <c r="E167" i="35"/>
  <c r="F167" i="35" s="1"/>
  <c r="E168" i="35"/>
  <c r="F168" i="35" s="1"/>
  <c r="E169" i="35"/>
  <c r="F169" i="35" s="1"/>
  <c r="E170" i="35"/>
  <c r="F170" i="35" s="1"/>
  <c r="E171" i="35"/>
  <c r="F171" i="35" s="1"/>
  <c r="E172" i="35"/>
  <c r="F172" i="35" s="1"/>
  <c r="E173" i="35"/>
  <c r="F173" i="35" s="1"/>
  <c r="E174" i="35"/>
  <c r="F174" i="35" s="1"/>
  <c r="E175" i="35"/>
  <c r="F175" i="35" s="1"/>
  <c r="E176" i="35"/>
  <c r="F176" i="35" s="1"/>
  <c r="E177" i="35"/>
  <c r="F177" i="35" s="1"/>
  <c r="E178" i="35"/>
  <c r="F178" i="35" s="1"/>
  <c r="E179" i="35"/>
  <c r="F179" i="35" s="1"/>
  <c r="E180" i="35"/>
  <c r="F180" i="35" s="1"/>
  <c r="E181" i="35"/>
  <c r="F181" i="35" s="1"/>
  <c r="E182" i="35"/>
  <c r="F182" i="35" s="1"/>
  <c r="E183" i="35"/>
  <c r="F183" i="35" s="1"/>
  <c r="E184" i="35"/>
  <c r="F184" i="35" s="1"/>
  <c r="E185" i="35"/>
  <c r="F185" i="35" s="1"/>
  <c r="E186" i="35"/>
  <c r="F186" i="35" s="1"/>
  <c r="E187" i="35"/>
  <c r="F187" i="35" s="1"/>
  <c r="E188" i="35"/>
  <c r="F188" i="35" s="1"/>
  <c r="E189" i="35"/>
  <c r="F189" i="35" s="1"/>
  <c r="E190" i="35"/>
  <c r="F190" i="35" s="1"/>
  <c r="E191" i="35"/>
  <c r="F191" i="35" s="1"/>
  <c r="E192" i="35"/>
  <c r="F192" i="35" s="1"/>
  <c r="E193" i="35"/>
  <c r="F193" i="35" s="1"/>
  <c r="E194" i="35"/>
  <c r="F194" i="35" s="1"/>
  <c r="E195" i="35"/>
  <c r="F195" i="35" s="1"/>
  <c r="E196" i="35"/>
  <c r="F196" i="35" s="1"/>
  <c r="E197" i="35"/>
  <c r="F197" i="35" s="1"/>
  <c r="E198" i="35"/>
  <c r="F198" i="35" s="1"/>
  <c r="E199" i="35"/>
  <c r="F199" i="35" s="1"/>
  <c r="E200" i="35"/>
  <c r="F200" i="35" s="1"/>
  <c r="E201" i="35"/>
  <c r="F201" i="35" s="1"/>
  <c r="E202" i="35"/>
  <c r="F202" i="35" s="1"/>
  <c r="E203" i="35"/>
  <c r="F203" i="35" s="1"/>
  <c r="E204" i="35"/>
  <c r="F204" i="35" s="1"/>
  <c r="E205" i="35"/>
  <c r="F205" i="35" s="1"/>
  <c r="E206" i="35"/>
  <c r="F206" i="35" s="1"/>
  <c r="E207" i="35"/>
  <c r="F207" i="35" s="1"/>
  <c r="E208" i="35"/>
  <c r="F208" i="35" s="1"/>
  <c r="E209" i="35"/>
  <c r="F209" i="35" s="1"/>
  <c r="E210" i="35"/>
  <c r="F210" i="35" s="1"/>
  <c r="E211" i="35"/>
  <c r="F211" i="35" s="1"/>
  <c r="E212" i="35"/>
  <c r="F212" i="35" s="1"/>
  <c r="E213" i="35"/>
  <c r="F213" i="35" s="1"/>
  <c r="E214" i="35"/>
  <c r="F214" i="35" s="1"/>
  <c r="E215" i="35"/>
  <c r="F215" i="35" s="1"/>
  <c r="E216" i="35"/>
  <c r="F216" i="35" s="1"/>
  <c r="E217" i="35"/>
  <c r="F217" i="35" s="1"/>
  <c r="E218" i="35"/>
  <c r="F218" i="35" s="1"/>
  <c r="E219" i="35"/>
  <c r="F219" i="35" s="1"/>
  <c r="E220" i="35"/>
  <c r="F220" i="35" s="1"/>
  <c r="E221" i="35"/>
  <c r="F221" i="35" s="1"/>
  <c r="E222" i="35"/>
  <c r="F222" i="35" s="1"/>
  <c r="E223" i="35"/>
  <c r="F223" i="35" s="1"/>
  <c r="E224" i="35"/>
  <c r="F224" i="35" s="1"/>
  <c r="E225" i="35"/>
  <c r="F225" i="35" s="1"/>
  <c r="E226" i="35"/>
  <c r="F226" i="35" s="1"/>
  <c r="E227" i="35"/>
  <c r="F227" i="35" s="1"/>
  <c r="E228" i="35"/>
  <c r="F228" i="35" s="1"/>
  <c r="E229" i="35"/>
  <c r="F229" i="35" s="1"/>
  <c r="E230" i="35"/>
  <c r="F230" i="35" s="1"/>
  <c r="E231" i="35"/>
  <c r="F231" i="35" s="1"/>
  <c r="E232" i="35"/>
  <c r="F232" i="35" s="1"/>
  <c r="E233" i="35"/>
  <c r="F233" i="35" s="1"/>
  <c r="E234" i="35"/>
  <c r="F234" i="35" s="1"/>
  <c r="E235" i="35"/>
  <c r="F235" i="35" s="1"/>
  <c r="E236" i="35"/>
  <c r="F236" i="35" s="1"/>
  <c r="E237" i="35"/>
  <c r="F237" i="35" s="1"/>
  <c r="E238" i="35"/>
  <c r="F238" i="35" s="1"/>
  <c r="E239" i="35"/>
  <c r="F239" i="35" s="1"/>
  <c r="F244" i="35" l="1"/>
  <c r="G244" i="35"/>
  <c r="I244" i="35"/>
  <c r="K244" i="35"/>
  <c r="N244" i="35"/>
  <c r="Q244" i="35"/>
  <c r="Q243" i="35"/>
  <c r="F241" i="35"/>
  <c r="F242" i="35"/>
  <c r="F243" i="35"/>
  <c r="G243" i="35"/>
  <c r="G241" i="35"/>
  <c r="G242" i="35"/>
  <c r="I242" i="35"/>
  <c r="I243" i="35"/>
  <c r="I241" i="35"/>
  <c r="K243" i="35"/>
  <c r="K241" i="35"/>
  <c r="K242" i="35"/>
  <c r="N241" i="35"/>
  <c r="N242" i="35"/>
  <c r="N243" i="35"/>
  <c r="Q242" i="35"/>
  <c r="Q241" i="35"/>
  <c r="E70" i="31"/>
  <c r="C70" i="31"/>
  <c r="E100" i="31" l="1"/>
  <c r="C100" i="31"/>
  <c r="E88" i="31"/>
  <c r="C88" i="31"/>
  <c r="E16" i="31"/>
  <c r="C16" i="31"/>
  <c r="E13" i="31"/>
  <c r="C13" i="31"/>
  <c r="EW4" i="30" l="1"/>
  <c r="EW3" i="30" s="1"/>
  <c r="EW4" i="32"/>
  <c r="EW3" i="32" s="1"/>
  <c r="E60" i="31" l="1"/>
  <c r="C60" i="31"/>
  <c r="EL4" i="32"/>
  <c r="EL3" i="32" s="1"/>
  <c r="CK4" i="32"/>
  <c r="CK3" i="32" s="1"/>
  <c r="DU4" i="32"/>
  <c r="DU3" i="32" s="1"/>
  <c r="HP4" i="30"/>
  <c r="HP3" i="30" s="1"/>
  <c r="AW4" i="30"/>
  <c r="AW3" i="30" s="1"/>
  <c r="CG4" i="30"/>
  <c r="CG3" i="30" s="1"/>
  <c r="AB4" i="32"/>
  <c r="AB3" i="32" s="1"/>
  <c r="CF4" i="30"/>
  <c r="CF3" i="30" s="1"/>
  <c r="FC4" i="32"/>
  <c r="FC3" i="32" s="1"/>
  <c r="GK4" i="32"/>
  <c r="GK3" i="32" s="1"/>
  <c r="DG4" i="32"/>
  <c r="DG3" i="32" s="1"/>
  <c r="C76" i="31"/>
  <c r="EJ4" i="32"/>
  <c r="EJ3" i="32" s="1"/>
  <c r="DD4" i="32"/>
  <c r="DD3" i="32" s="1"/>
  <c r="HH4" i="30"/>
  <c r="HH3" i="30" s="1"/>
  <c r="GB4" i="30"/>
  <c r="GB3" i="30" s="1"/>
  <c r="FH4" i="30"/>
  <c r="FH3" i="30" s="1"/>
  <c r="FO4" i="30"/>
  <c r="FO3" i="30" s="1"/>
  <c r="HW4" i="32"/>
  <c r="AG4" i="30"/>
  <c r="AG3" i="30" s="1"/>
  <c r="HQ4" i="32"/>
  <c r="E45" i="31"/>
  <c r="AE4" i="32"/>
  <c r="AE3" i="32" s="1"/>
  <c r="C126" i="31"/>
  <c r="DC4" i="30"/>
  <c r="DC3" i="30" s="1"/>
  <c r="AT4" i="32"/>
  <c r="AT3" i="32" s="1"/>
  <c r="C17" i="31"/>
  <c r="FT4" i="30"/>
  <c r="FT3" i="30" s="1"/>
  <c r="BS4" i="32"/>
  <c r="BS3" i="32" s="1"/>
  <c r="EN4" i="32"/>
  <c r="EN3" i="32" s="1"/>
  <c r="AJ4" i="32"/>
  <c r="AJ3" i="32" s="1"/>
  <c r="AM4" i="32"/>
  <c r="AM3" i="32" s="1"/>
  <c r="ES4" i="32"/>
  <c r="ES3" i="32" s="1"/>
  <c r="HV4" i="32"/>
  <c r="BE4" i="30"/>
  <c r="BE3" i="30" s="1"/>
  <c r="BM4" i="30"/>
  <c r="BM3" i="30" s="1"/>
  <c r="AA4" i="32"/>
  <c r="AA3" i="32" s="1"/>
  <c r="E130" i="31"/>
  <c r="AW4" i="32"/>
  <c r="AW3" i="32" s="1"/>
  <c r="BE4" i="32"/>
  <c r="BE3" i="32" s="1"/>
  <c r="AG4" i="32"/>
  <c r="AG3" i="32" s="1"/>
  <c r="V4" i="32"/>
  <c r="V3" i="32" s="1"/>
  <c r="CH4" i="30"/>
  <c r="CH3" i="30" s="1"/>
  <c r="E125" i="31"/>
  <c r="BF4" i="32"/>
  <c r="BF3" i="32" s="1"/>
  <c r="K4" i="32"/>
  <c r="K3" i="32" s="1"/>
  <c r="BQ4" i="30"/>
  <c r="BQ3" i="30" s="1"/>
  <c r="E47" i="31"/>
  <c r="AH4" i="32"/>
  <c r="AH3" i="32" s="1"/>
  <c r="AA4" i="30"/>
  <c r="AA3" i="30" s="1"/>
  <c r="DO4" i="30"/>
  <c r="DO3" i="30" s="1"/>
  <c r="EG4" i="32"/>
  <c r="EG3" i="32" s="1"/>
  <c r="AR4" i="32"/>
  <c r="AR3" i="32" s="1"/>
  <c r="ES4" i="30"/>
  <c r="ES3" i="30" s="1"/>
  <c r="O4" i="30"/>
  <c r="O3" i="30" s="1"/>
  <c r="CB4" i="32"/>
  <c r="CB3" i="32" s="1"/>
  <c r="BN4" i="32"/>
  <c r="BN3" i="32" s="1"/>
  <c r="C77" i="31"/>
  <c r="C63" i="31"/>
  <c r="HP4" i="32"/>
  <c r="HP3" i="32" s="1"/>
  <c r="BC4" i="30"/>
  <c r="BC3" i="30" s="1"/>
  <c r="GZ4" i="30"/>
  <c r="GZ3" i="30" s="1"/>
  <c r="GU4" i="30"/>
  <c r="GU3" i="30" s="1"/>
  <c r="DG4" i="30"/>
  <c r="DG3" i="30" s="1"/>
  <c r="CS4" i="32"/>
  <c r="CS3" i="32" s="1"/>
  <c r="E92" i="31"/>
  <c r="FU4" i="32"/>
  <c r="FU3" i="32" s="1"/>
  <c r="GJ4" i="30"/>
  <c r="GJ3" i="30" s="1"/>
  <c r="EV4" i="30"/>
  <c r="EV3" i="30" s="1"/>
  <c r="FW4" i="30"/>
  <c r="FW3" i="30" s="1"/>
  <c r="AO4" i="32"/>
  <c r="AO3" i="32" s="1"/>
  <c r="DM4" i="32"/>
  <c r="DM3" i="32" s="1"/>
  <c r="AO4" i="30"/>
  <c r="AO3" i="30" s="1"/>
  <c r="E42" i="31"/>
  <c r="E8" i="31"/>
  <c r="C50" i="31"/>
  <c r="E15" i="31"/>
  <c r="HK4" i="32"/>
  <c r="HK3" i="32" s="1"/>
  <c r="BD4" i="32"/>
  <c r="BD3" i="32" s="1"/>
  <c r="CD4" i="32"/>
  <c r="CD3" i="32" s="1"/>
  <c r="CO4" i="32"/>
  <c r="CO3" i="32" s="1"/>
  <c r="EK4" i="32"/>
  <c r="EK3" i="32" s="1"/>
  <c r="E110" i="31"/>
  <c r="HA4" i="32"/>
  <c r="HA3" i="32" s="1"/>
  <c r="BN4" i="30"/>
  <c r="BN3" i="30" s="1"/>
  <c r="DF4" i="30"/>
  <c r="DF3" i="30" s="1"/>
  <c r="AY4" i="30"/>
  <c r="AY3" i="30" s="1"/>
  <c r="HU4" i="32"/>
  <c r="E115" i="31"/>
  <c r="J4" i="32"/>
  <c r="J3" i="32" s="1"/>
  <c r="GE4" i="30"/>
  <c r="GE3" i="30" s="1"/>
  <c r="E37" i="31"/>
  <c r="C86" i="31"/>
  <c r="CK4" i="30"/>
  <c r="CK3" i="30" s="1"/>
  <c r="DB4" i="30"/>
  <c r="DB3" i="30" s="1"/>
  <c r="BC4" i="32"/>
  <c r="BC3" i="32" s="1"/>
  <c r="BB4" i="30"/>
  <c r="BB3" i="30" s="1"/>
  <c r="Z4" i="32"/>
  <c r="Z3" i="32" s="1"/>
  <c r="BX4" i="32"/>
  <c r="BX3" i="32" s="1"/>
  <c r="AX4" i="32"/>
  <c r="AX3" i="32" s="1"/>
  <c r="DA4" i="32"/>
  <c r="DA3" i="32" s="1"/>
  <c r="CW4" i="32"/>
  <c r="CW3" i="32" s="1"/>
  <c r="E84" i="31"/>
  <c r="EM4" i="32"/>
  <c r="EM3" i="32" s="1"/>
  <c r="E111" i="31"/>
  <c r="BO4" i="32"/>
  <c r="BO3" i="32" s="1"/>
  <c r="E86" i="31"/>
  <c r="CC4" i="30"/>
  <c r="CC3" i="30" s="1"/>
  <c r="E43" i="31"/>
  <c r="E34" i="31"/>
  <c r="CD4" i="30"/>
  <c r="CD3" i="30" s="1"/>
  <c r="E68" i="31"/>
  <c r="DI4" i="32"/>
  <c r="DI3" i="32" s="1"/>
  <c r="EN4" i="30"/>
  <c r="EN3" i="30" s="1"/>
  <c r="E33" i="31"/>
  <c r="CT4" i="32"/>
  <c r="CT3" i="32" s="1"/>
  <c r="E65" i="31"/>
  <c r="AD4" i="32"/>
  <c r="AD3" i="32" s="1"/>
  <c r="DQ4" i="30"/>
  <c r="DQ3" i="30" s="1"/>
  <c r="DY4" i="32"/>
  <c r="DY3" i="32" s="1"/>
  <c r="C81" i="31"/>
  <c r="E146" i="31"/>
  <c r="HT4" i="32"/>
  <c r="BZ4" i="32"/>
  <c r="BZ3" i="32" s="1"/>
  <c r="EO4" i="32"/>
  <c r="EO3" i="32" s="1"/>
  <c r="DR4" i="32"/>
  <c r="DR3" i="32" s="1"/>
  <c r="CL4" i="32"/>
  <c r="CL3" i="32" s="1"/>
  <c r="R4" i="32"/>
  <c r="R3" i="32" s="1"/>
  <c r="E21" i="31"/>
  <c r="AQ4" i="32"/>
  <c r="AQ3" i="32" s="1"/>
  <c r="C87" i="31"/>
  <c r="DQ4" i="32"/>
  <c r="DQ3" i="32" s="1"/>
  <c r="E9" i="31"/>
  <c r="GW4" i="32"/>
  <c r="GW3" i="32" s="1"/>
  <c r="EC4" i="32"/>
  <c r="EC3" i="32" s="1"/>
  <c r="AU4" i="32"/>
  <c r="AU3" i="32" s="1"/>
  <c r="FE4" i="32"/>
  <c r="FE3" i="32" s="1"/>
  <c r="FI4" i="32"/>
  <c r="FI3" i="32" s="1"/>
  <c r="DO4" i="32"/>
  <c r="DO3" i="32" s="1"/>
  <c r="DX4" i="30"/>
  <c r="DX3" i="30" s="1"/>
  <c r="EP4" i="30"/>
  <c r="EP3" i="30" s="1"/>
  <c r="CX4" i="30"/>
  <c r="CX3" i="30" s="1"/>
  <c r="CO4" i="30"/>
  <c r="CO3" i="30" s="1"/>
  <c r="P4" i="32"/>
  <c r="P3" i="32" s="1"/>
  <c r="EZ4" i="32"/>
  <c r="EZ3" i="32" s="1"/>
  <c r="C34" i="31"/>
  <c r="GB4" i="32"/>
  <c r="GB3" i="32" s="1"/>
  <c r="C140" i="31"/>
  <c r="GP4" i="30"/>
  <c r="GP3" i="30" s="1"/>
  <c r="E49" i="31"/>
  <c r="E36" i="31"/>
  <c r="E50" i="31"/>
  <c r="AF4" i="32"/>
  <c r="AF3" i="32" s="1"/>
  <c r="E147" i="31"/>
  <c r="HE4" i="32"/>
  <c r="HE3" i="32" s="1"/>
  <c r="FY4" i="32"/>
  <c r="FY3" i="32" s="1"/>
  <c r="FO4" i="32"/>
  <c r="FO3" i="32" s="1"/>
  <c r="FQ4" i="32"/>
  <c r="FQ3" i="32" s="1"/>
  <c r="GJ4" i="32"/>
  <c r="GJ3" i="32" s="1"/>
  <c r="EZ4" i="30"/>
  <c r="EZ3" i="30" s="1"/>
  <c r="EV4" i="32"/>
  <c r="EV3" i="32" s="1"/>
  <c r="DE4" i="32"/>
  <c r="DE3" i="32" s="1"/>
  <c r="GS4" i="32"/>
  <c r="GS3" i="32" s="1"/>
  <c r="FM4" i="32"/>
  <c r="FM3" i="32" s="1"/>
  <c r="GF4" i="32"/>
  <c r="GF3" i="32" s="1"/>
  <c r="FK4" i="32"/>
  <c r="FK3" i="32" s="1"/>
  <c r="FU4" i="30"/>
  <c r="FU3" i="30" s="1"/>
  <c r="HD4" i="30"/>
  <c r="HD3" i="30" s="1"/>
  <c r="FX4" i="30"/>
  <c r="FX3" i="30" s="1"/>
  <c r="GM4" i="30"/>
  <c r="GM3" i="30" s="1"/>
  <c r="E48" i="31"/>
  <c r="E38" i="31"/>
  <c r="DS4" i="32"/>
  <c r="DS3" i="32" s="1"/>
  <c r="E116" i="31"/>
  <c r="E129" i="31"/>
  <c r="CY4" i="32"/>
  <c r="CY3" i="32" s="1"/>
  <c r="ED4" i="32"/>
  <c r="ED3" i="32" s="1"/>
  <c r="DJ4" i="32"/>
  <c r="DJ3" i="32" s="1"/>
  <c r="M4" i="32"/>
  <c r="M3" i="32" s="1"/>
  <c r="Z4" i="30"/>
  <c r="Z3" i="30" s="1"/>
  <c r="BA4" i="30"/>
  <c r="BA3" i="30" s="1"/>
  <c r="GI4" i="30"/>
  <c r="GI3" i="30" s="1"/>
  <c r="BU4" i="30"/>
  <c r="BU3" i="30" s="1"/>
  <c r="C98" i="31"/>
  <c r="E124" i="31"/>
  <c r="DN4" i="30"/>
  <c r="DN3" i="30" s="1"/>
  <c r="H4" i="32"/>
  <c r="H3" i="32" s="1"/>
  <c r="F4" i="30"/>
  <c r="F3" i="30" s="1"/>
  <c r="C114" i="31"/>
  <c r="E145" i="31"/>
  <c r="AS4" i="30"/>
  <c r="AS3" i="30" s="1"/>
  <c r="C78" i="31"/>
  <c r="FX4" i="32"/>
  <c r="FX3" i="32" s="1"/>
  <c r="FD4" i="32"/>
  <c r="FD3" i="32" s="1"/>
  <c r="FN4" i="32"/>
  <c r="FN3" i="32" s="1"/>
  <c r="GU4" i="32"/>
  <c r="GU3" i="32" s="1"/>
  <c r="ER4" i="32"/>
  <c r="ER3" i="32" s="1"/>
  <c r="CU4" i="32"/>
  <c r="CU3" i="32" s="1"/>
  <c r="AN4" i="32"/>
  <c r="AN3" i="32" s="1"/>
  <c r="U4" i="30"/>
  <c r="U3" i="30" s="1"/>
  <c r="BJ4" i="32"/>
  <c r="BJ3" i="32" s="1"/>
  <c r="AY4" i="32"/>
  <c r="AY3" i="32" s="1"/>
  <c r="HN4" i="32"/>
  <c r="HN3" i="32" s="1"/>
  <c r="C99" i="31"/>
  <c r="DK4" i="30"/>
  <c r="DK3" i="30" s="1"/>
  <c r="HC4" i="32"/>
  <c r="HC3" i="32" s="1"/>
  <c r="CJ4" i="32"/>
  <c r="CJ3" i="32" s="1"/>
  <c r="CS4" i="30"/>
  <c r="CS3" i="30" s="1"/>
  <c r="FD4" i="30"/>
  <c r="FD3" i="30" s="1"/>
  <c r="BH4" i="32"/>
  <c r="BH3" i="32" s="1"/>
  <c r="GQ4" i="32"/>
  <c r="GQ3" i="32" s="1"/>
  <c r="E140" i="31"/>
  <c r="GR4" i="32"/>
  <c r="GR3" i="32" s="1"/>
  <c r="FL4" i="32"/>
  <c r="FL3" i="32" s="1"/>
  <c r="DF4" i="32"/>
  <c r="DF3" i="32" s="1"/>
  <c r="CV4" i="32"/>
  <c r="CV3" i="32" s="1"/>
  <c r="FG4" i="32"/>
  <c r="FG3" i="32" s="1"/>
  <c r="EA4" i="32"/>
  <c r="EA3" i="32" s="1"/>
  <c r="GE4" i="32"/>
  <c r="GE3" i="32" s="1"/>
  <c r="X4" i="30"/>
  <c r="X3" i="30" s="1"/>
  <c r="BW4" i="30"/>
  <c r="BW3" i="30" s="1"/>
  <c r="EY4" i="32"/>
  <c r="EY3" i="32" s="1"/>
  <c r="GX4" i="30"/>
  <c r="GX3" i="30" s="1"/>
  <c r="DM4" i="30"/>
  <c r="DM3" i="30" s="1"/>
  <c r="FZ4" i="32"/>
  <c r="FZ3" i="32" s="1"/>
  <c r="E63" i="31"/>
  <c r="FQ4" i="30"/>
  <c r="FQ3" i="30" s="1"/>
  <c r="GD4" i="30"/>
  <c r="GD3" i="30" s="1"/>
  <c r="E131" i="31"/>
  <c r="C49" i="31"/>
  <c r="FY4" i="30"/>
  <c r="FY3" i="30" s="1"/>
  <c r="CV4" i="30"/>
  <c r="CV3" i="30" s="1"/>
  <c r="HD4" i="32"/>
  <c r="HD3" i="32" s="1"/>
  <c r="HB4" i="32"/>
  <c r="HB3" i="32" s="1"/>
  <c r="GR4" i="30"/>
  <c r="GR3" i="30" s="1"/>
  <c r="HG4" i="30"/>
  <c r="HG3" i="30" s="1"/>
  <c r="GY4" i="30"/>
  <c r="GY3" i="30" s="1"/>
  <c r="GA4" i="30"/>
  <c r="GA3" i="30" s="1"/>
  <c r="N4" i="32"/>
  <c r="N3" i="32" s="1"/>
  <c r="AK4" i="32"/>
  <c r="AK3" i="32" s="1"/>
  <c r="FR4" i="32"/>
  <c r="FR3" i="32" s="1"/>
  <c r="EU4" i="30"/>
  <c r="EU3" i="30" s="1"/>
  <c r="E25" i="31"/>
  <c r="AK4" i="30"/>
  <c r="AK3" i="30" s="1"/>
  <c r="AI4" i="32"/>
  <c r="AI3" i="32" s="1"/>
  <c r="R4" i="30"/>
  <c r="R3" i="30" s="1"/>
  <c r="G4" i="32"/>
  <c r="G3" i="32" s="1"/>
  <c r="C80" i="31"/>
  <c r="GI4" i="32"/>
  <c r="GI3" i="32" s="1"/>
  <c r="E142" i="31"/>
  <c r="AX4" i="30"/>
  <c r="AX3" i="30" s="1"/>
  <c r="C22" i="31"/>
  <c r="HA4" i="30"/>
  <c r="HA3" i="30" s="1"/>
  <c r="EQ4" i="30"/>
  <c r="EQ3" i="30" s="1"/>
  <c r="GX4" i="32"/>
  <c r="GX3" i="32" s="1"/>
  <c r="BR4" i="30"/>
  <c r="BR3" i="30" s="1"/>
  <c r="BY4" i="30"/>
  <c r="BY3" i="30" s="1"/>
  <c r="GT4" i="32"/>
  <c r="GT3" i="32" s="1"/>
  <c r="E89" i="31"/>
  <c r="CH4" i="32"/>
  <c r="CH3" i="32" s="1"/>
  <c r="BS4" i="30"/>
  <c r="BS3" i="30" s="1"/>
  <c r="M4" i="30"/>
  <c r="M3" i="30" s="1"/>
  <c r="AJ4" i="30"/>
  <c r="AJ3" i="30" s="1"/>
  <c r="C130" i="31"/>
  <c r="C115" i="31"/>
  <c r="BU4" i="32"/>
  <c r="BU3" i="32" s="1"/>
  <c r="E81" i="31"/>
  <c r="C89" i="31"/>
  <c r="E69" i="31"/>
  <c r="E99" i="31"/>
  <c r="CQ4" i="32"/>
  <c r="CQ3" i="32" s="1"/>
  <c r="E72" i="31"/>
  <c r="HG4" i="32"/>
  <c r="HG3" i="32" s="1"/>
  <c r="EQ4" i="32"/>
  <c r="EQ3" i="32" s="1"/>
  <c r="E17" i="31"/>
  <c r="I4" i="32"/>
  <c r="I3" i="32" s="1"/>
  <c r="BF4" i="30"/>
  <c r="BF3" i="30" s="1"/>
  <c r="BI4" i="30"/>
  <c r="BI3" i="30" s="1"/>
  <c r="HI4" i="30"/>
  <c r="HI3" i="30" s="1"/>
  <c r="BV4" i="30"/>
  <c r="BV3" i="30" s="1"/>
  <c r="L4" i="30"/>
  <c r="L3" i="30" s="1"/>
  <c r="CC4" i="32"/>
  <c r="CC3" i="32" s="1"/>
  <c r="AS4" i="32"/>
  <c r="AS3" i="32" s="1"/>
  <c r="E148" i="31"/>
  <c r="DB4" i="32"/>
  <c r="DB3" i="32" s="1"/>
  <c r="DW4" i="30"/>
  <c r="DW3" i="30" s="1"/>
  <c r="X4" i="32"/>
  <c r="X3" i="32" s="1"/>
  <c r="C85" i="31"/>
  <c r="EY4" i="30"/>
  <c r="EY3" i="30" s="1"/>
  <c r="AP4" i="30"/>
  <c r="AP3" i="30" s="1"/>
  <c r="AH4" i="30"/>
  <c r="AH3" i="30" s="1"/>
  <c r="GO4" i="30"/>
  <c r="GO3" i="30" s="1"/>
  <c r="FZ4" i="30"/>
  <c r="FZ3" i="30" s="1"/>
  <c r="C61" i="31"/>
  <c r="DW4" i="32"/>
  <c r="DW3" i="32" s="1"/>
  <c r="E24" i="31"/>
  <c r="DV4" i="30"/>
  <c r="DV3" i="30" s="1"/>
  <c r="FL4" i="30"/>
  <c r="FL3" i="30" s="1"/>
  <c r="FV4" i="30"/>
  <c r="FV3" i="30" s="1"/>
  <c r="C145" i="31"/>
  <c r="GO4" i="32"/>
  <c r="GO3" i="32" s="1"/>
  <c r="GY4" i="32"/>
  <c r="GY3" i="32" s="1"/>
  <c r="HM4" i="32"/>
  <c r="HM3" i="32" s="1"/>
  <c r="GG4" i="32"/>
  <c r="GG3" i="32" s="1"/>
  <c r="GZ4" i="32"/>
  <c r="GZ3" i="32" s="1"/>
  <c r="FT4" i="32"/>
  <c r="FT3" i="32" s="1"/>
  <c r="GA4" i="32"/>
  <c r="GA3" i="32" s="1"/>
  <c r="HI4" i="32"/>
  <c r="HI3" i="32" s="1"/>
  <c r="GC4" i="32"/>
  <c r="GC3" i="32" s="1"/>
  <c r="GV4" i="32"/>
  <c r="GV3" i="32" s="1"/>
  <c r="FA4" i="32"/>
  <c r="FA3" i="32" s="1"/>
  <c r="FB4" i="30"/>
  <c r="FB3" i="30" s="1"/>
  <c r="FG4" i="30"/>
  <c r="FG3" i="30" s="1"/>
  <c r="GN4" i="30"/>
  <c r="GN3" i="30" s="1"/>
  <c r="GQ4" i="30"/>
  <c r="GQ3" i="30" s="1"/>
  <c r="FE4" i="30"/>
  <c r="FE3" i="30" s="1"/>
  <c r="FI4" i="30"/>
  <c r="FI3" i="30" s="1"/>
  <c r="AL4" i="32"/>
  <c r="AL3" i="32" s="1"/>
  <c r="E35" i="31"/>
  <c r="E126" i="31"/>
  <c r="DX4" i="32"/>
  <c r="DX3" i="32" s="1"/>
  <c r="CR4" i="30"/>
  <c r="CR3" i="30" s="1"/>
  <c r="V4" i="30"/>
  <c r="V3" i="30" s="1"/>
  <c r="DT4" i="30"/>
  <c r="DT3" i="30" s="1"/>
  <c r="CN4" i="30"/>
  <c r="CN3" i="30" s="1"/>
  <c r="J4" i="30"/>
  <c r="J3" i="30" s="1"/>
  <c r="E19" i="31"/>
  <c r="E22" i="31"/>
  <c r="EB4" i="30"/>
  <c r="EB3" i="30" s="1"/>
  <c r="AC4" i="30"/>
  <c r="AC3" i="30" s="1"/>
  <c r="GK4" i="30"/>
  <c r="GK3" i="30" s="1"/>
  <c r="DL4" i="32"/>
  <c r="DL3" i="32" s="1"/>
  <c r="E101" i="31"/>
  <c r="BT4" i="32"/>
  <c r="BT3" i="32" s="1"/>
  <c r="FP4" i="32"/>
  <c r="FP3" i="32" s="1"/>
  <c r="HJ4" i="32"/>
  <c r="HJ3" i="32" s="1"/>
  <c r="FW4" i="32"/>
  <c r="FW3" i="32" s="1"/>
  <c r="EB4" i="32"/>
  <c r="EB3" i="32" s="1"/>
  <c r="C9" i="31"/>
  <c r="HK4" i="30"/>
  <c r="HK3" i="30" s="1"/>
  <c r="GD4" i="32"/>
  <c r="GD3" i="32" s="1"/>
  <c r="BP4" i="32"/>
  <c r="BP3" i="32" s="1"/>
  <c r="HC4" i="30"/>
  <c r="HC3" i="30" s="1"/>
  <c r="DP4" i="32"/>
  <c r="DP3" i="32" s="1"/>
  <c r="C92" i="31"/>
  <c r="AU4" i="30"/>
  <c r="AU3" i="30" s="1"/>
  <c r="Y4" i="30"/>
  <c r="Y3" i="30" s="1"/>
  <c r="K4" i="30"/>
  <c r="K3" i="30" s="1"/>
  <c r="CU4" i="30"/>
  <c r="CU3" i="30" s="1"/>
  <c r="EA4" i="30"/>
  <c r="EA3" i="30" s="1"/>
  <c r="FB4" i="32"/>
  <c r="FB3" i="32" s="1"/>
  <c r="L4" i="32"/>
  <c r="L3" i="32" s="1"/>
  <c r="GV4" i="30"/>
  <c r="GV3" i="30" s="1"/>
  <c r="BX4" i="30"/>
  <c r="BX3" i="30" s="1"/>
  <c r="C95" i="31"/>
  <c r="C148" i="31"/>
  <c r="E18" i="31"/>
  <c r="EL4" i="30"/>
  <c r="EL3" i="30" s="1"/>
  <c r="EH4" i="32"/>
  <c r="EH3" i="32" s="1"/>
  <c r="H4" i="30"/>
  <c r="H3" i="30" s="1"/>
  <c r="BB4" i="32"/>
  <c r="BB3" i="32" s="1"/>
  <c r="C21" i="31"/>
  <c r="FR4" i="30"/>
  <c r="FR3" i="30" s="1"/>
  <c r="FS4" i="30"/>
  <c r="FS3" i="30" s="1"/>
  <c r="HB4" i="30"/>
  <c r="HB3" i="30" s="1"/>
  <c r="FV4" i="32"/>
  <c r="FV3" i="32" s="1"/>
  <c r="HF4" i="32"/>
  <c r="HF3" i="32" s="1"/>
  <c r="C7" i="31"/>
  <c r="E7" i="31"/>
  <c r="E44" i="31"/>
  <c r="E41" i="31"/>
  <c r="E139" i="31"/>
  <c r="AC4" i="32"/>
  <c r="AC3" i="32" s="1"/>
  <c r="U4" i="32"/>
  <c r="U3" i="32" s="1"/>
  <c r="C8" i="31"/>
  <c r="C47" i="31"/>
  <c r="C14" i="31"/>
  <c r="C146" i="31"/>
  <c r="BP4" i="30"/>
  <c r="BP3" i="30" s="1"/>
  <c r="C84" i="31"/>
  <c r="EG4" i="30"/>
  <c r="EG3" i="30" s="1"/>
  <c r="DK4" i="32"/>
  <c r="DK3" i="32" s="1"/>
  <c r="C68" i="31"/>
  <c r="CZ4" i="32"/>
  <c r="CZ3" i="32" s="1"/>
  <c r="BG4" i="32"/>
  <c r="BG3" i="32" s="1"/>
  <c r="C42" i="31"/>
  <c r="EJ4" i="30"/>
  <c r="EJ3" i="30" s="1"/>
  <c r="C131" i="31"/>
  <c r="C24" i="31"/>
  <c r="HR4" i="30"/>
  <c r="CB4" i="30"/>
  <c r="CB3" i="30" s="1"/>
  <c r="AZ4" i="30"/>
  <c r="AZ3" i="30" s="1"/>
  <c r="HX4" i="30"/>
  <c r="DU4" i="30"/>
  <c r="DU3" i="30" s="1"/>
  <c r="S4" i="32"/>
  <c r="S3" i="32" s="1"/>
  <c r="HL4" i="32"/>
  <c r="HL3" i="32" s="1"/>
  <c r="BJ4" i="30"/>
  <c r="BJ3" i="30" s="1"/>
  <c r="CP4" i="30"/>
  <c r="CP3" i="30" s="1"/>
  <c r="AI4" i="30"/>
  <c r="AI3" i="30" s="1"/>
  <c r="C33" i="31"/>
  <c r="F4" i="32"/>
  <c r="F3" i="32" s="1"/>
  <c r="C124" i="31"/>
  <c r="CJ4" i="30"/>
  <c r="CJ3" i="30" s="1"/>
  <c r="E95" i="31"/>
  <c r="E78" i="31"/>
  <c r="DI4" i="30"/>
  <c r="DI3" i="30" s="1"/>
  <c r="HR4" i="32"/>
  <c r="HW4" i="30"/>
  <c r="E93" i="31"/>
  <c r="AV4" i="32"/>
  <c r="AV3" i="32" s="1"/>
  <c r="BH4" i="30"/>
  <c r="BH3" i="30" s="1"/>
  <c r="E87" i="31"/>
  <c r="S4" i="30"/>
  <c r="S3" i="30" s="1"/>
  <c r="E10" i="31"/>
  <c r="C35" i="31"/>
  <c r="CY4" i="30"/>
  <c r="CY3" i="30" s="1"/>
  <c r="CL4" i="30"/>
  <c r="CL3" i="30" s="1"/>
  <c r="Q4" i="32"/>
  <c r="Q3" i="32" s="1"/>
  <c r="FF4" i="32"/>
  <c r="FF3" i="32" s="1"/>
  <c r="DA4" i="30"/>
  <c r="DA3" i="30" s="1"/>
  <c r="DT4" i="32"/>
  <c r="DT3" i="32" s="1"/>
  <c r="E4" i="32"/>
  <c r="E3" i="32" s="1"/>
  <c r="EF4" i="32"/>
  <c r="EF3" i="32" s="1"/>
  <c r="E114" i="31"/>
  <c r="AN4" i="30"/>
  <c r="AN3" i="30" s="1"/>
  <c r="C37" i="31"/>
  <c r="C141" i="31"/>
  <c r="HS4" i="30"/>
  <c r="FF4" i="30"/>
  <c r="FF3" i="30" s="1"/>
  <c r="CG4" i="32"/>
  <c r="CG3" i="32" s="1"/>
  <c r="BA4" i="32"/>
  <c r="BA3" i="32" s="1"/>
  <c r="CT4" i="30"/>
  <c r="CT3" i="30" s="1"/>
  <c r="Y4" i="32"/>
  <c r="Y3" i="32" s="1"/>
  <c r="GF4" i="30"/>
  <c r="GF3" i="30" s="1"/>
  <c r="C75" i="31"/>
  <c r="CE4" i="30"/>
  <c r="CE3" i="30" s="1"/>
  <c r="EI4" i="32"/>
  <c r="EI3" i="32" s="1"/>
  <c r="FA4" i="30"/>
  <c r="FA3" i="30" s="1"/>
  <c r="E46" i="31"/>
  <c r="DZ4" i="32"/>
  <c r="DZ3" i="32" s="1"/>
  <c r="C71" i="31"/>
  <c r="GT4" i="30"/>
  <c r="GT3" i="30" s="1"/>
  <c r="HX4" i="32"/>
  <c r="E71" i="31"/>
  <c r="AQ4" i="30"/>
  <c r="AQ3" i="30" s="1"/>
  <c r="C41" i="31"/>
  <c r="EF4" i="30"/>
  <c r="EF3" i="30" s="1"/>
  <c r="C111" i="31"/>
  <c r="C23" i="31"/>
  <c r="GS4" i="30"/>
  <c r="GS3" i="30" s="1"/>
  <c r="BK4" i="30"/>
  <c r="BK3" i="30" s="1"/>
  <c r="HO4" i="30"/>
  <c r="HO3" i="30" s="1"/>
  <c r="DY4" i="30"/>
  <c r="DY3" i="30" s="1"/>
  <c r="E52" i="31"/>
  <c r="CN4" i="32"/>
  <c r="CN3" i="32" s="1"/>
  <c r="DH4" i="32"/>
  <c r="DH3" i="32" s="1"/>
  <c r="C44" i="31"/>
  <c r="AD4" i="30"/>
  <c r="AD3" i="30" s="1"/>
  <c r="DL4" i="30"/>
  <c r="DL3" i="30" s="1"/>
  <c r="CM4" i="30"/>
  <c r="CM3" i="30" s="1"/>
  <c r="Q4" i="30"/>
  <c r="Q3" i="30" s="1"/>
  <c r="GL4" i="30"/>
  <c r="GL3" i="30" s="1"/>
  <c r="BY4" i="32"/>
  <c r="BY3" i="32" s="1"/>
  <c r="E61" i="31"/>
  <c r="E12" i="31"/>
  <c r="GP4" i="32"/>
  <c r="GP3" i="32" s="1"/>
  <c r="EC4" i="30"/>
  <c r="EC3" i="30" s="1"/>
  <c r="FN4" i="30"/>
  <c r="FN3" i="30" s="1"/>
  <c r="GL4" i="32"/>
  <c r="GL3" i="32" s="1"/>
  <c r="HU4" i="30"/>
  <c r="O4" i="32"/>
  <c r="O3" i="32" s="1"/>
  <c r="GH4" i="30"/>
  <c r="GH3" i="30" s="1"/>
  <c r="C110" i="31"/>
  <c r="AP4" i="32"/>
  <c r="AP3" i="32" s="1"/>
  <c r="E14" i="31"/>
  <c r="E141" i="31"/>
  <c r="HS4" i="32"/>
  <c r="W4" i="30"/>
  <c r="W3" i="30" s="1"/>
  <c r="C52" i="31"/>
  <c r="C43" i="31"/>
  <c r="ET4" i="30"/>
  <c r="ET3" i="30" s="1"/>
  <c r="DH4" i="30"/>
  <c r="DH3" i="30" s="1"/>
  <c r="P4" i="30"/>
  <c r="P3" i="30" s="1"/>
  <c r="DR4" i="30"/>
  <c r="DR3" i="30" s="1"/>
  <c r="CI4" i="30"/>
  <c r="CI3" i="30" s="1"/>
  <c r="EX4" i="32"/>
  <c r="EX3" i="32" s="1"/>
  <c r="E98" i="31"/>
  <c r="EP4" i="32"/>
  <c r="EP3" i="32" s="1"/>
  <c r="DN4" i="32"/>
  <c r="DN3" i="32" s="1"/>
  <c r="BR4" i="32"/>
  <c r="BR3" i="32" s="1"/>
  <c r="C46" i="31"/>
  <c r="AF4" i="30"/>
  <c r="AF3" i="30" s="1"/>
  <c r="C109" i="31"/>
  <c r="C12" i="31"/>
  <c r="E80" i="31"/>
  <c r="E85" i="31"/>
  <c r="DZ4" i="30"/>
  <c r="DZ3" i="30" s="1"/>
  <c r="HL4" i="30"/>
  <c r="HL3" i="30" s="1"/>
  <c r="BL4" i="30"/>
  <c r="BL3" i="30" s="1"/>
  <c r="DC4" i="32"/>
  <c r="DC3" i="32" s="1"/>
  <c r="GH4" i="32"/>
  <c r="GH3" i="32" s="1"/>
  <c r="C15" i="31"/>
  <c r="GG4" i="30"/>
  <c r="GG3" i="30" s="1"/>
  <c r="CI4" i="32"/>
  <c r="CI3" i="32" s="1"/>
  <c r="EU4" i="32"/>
  <c r="EU3" i="32" s="1"/>
  <c r="BZ4" i="30"/>
  <c r="BZ3" i="30" s="1"/>
  <c r="CE4" i="32"/>
  <c r="CE3" i="32" s="1"/>
  <c r="C45" i="31"/>
  <c r="AE4" i="30"/>
  <c r="AE3" i="30" s="1"/>
  <c r="W4" i="32"/>
  <c r="W3" i="32" s="1"/>
  <c r="DP4" i="30"/>
  <c r="DP3" i="30" s="1"/>
  <c r="EO4" i="30"/>
  <c r="EO3" i="30" s="1"/>
  <c r="GC4" i="30"/>
  <c r="GC3" i="30" s="1"/>
  <c r="E77" i="31"/>
  <c r="CF4" i="32"/>
  <c r="CF3" i="32" s="1"/>
  <c r="EH4" i="30"/>
  <c r="EH3" i="30" s="1"/>
  <c r="C72" i="31"/>
  <c r="HQ4" i="30"/>
  <c r="FK4" i="30"/>
  <c r="FK3" i="30" s="1"/>
  <c r="FS4" i="32"/>
  <c r="FS3" i="32" s="1"/>
  <c r="AL4" i="30"/>
  <c r="AL3" i="30" s="1"/>
  <c r="GN4" i="32"/>
  <c r="GN3" i="32" s="1"/>
  <c r="EI4" i="30"/>
  <c r="EI3" i="30" s="1"/>
  <c r="C116" i="31"/>
  <c r="T4" i="30"/>
  <c r="T3" i="30" s="1"/>
  <c r="FC4" i="30"/>
  <c r="FC3" i="30" s="1"/>
  <c r="E75" i="31"/>
  <c r="DJ4" i="30"/>
  <c r="DJ3" i="30" s="1"/>
  <c r="G4" i="30"/>
  <c r="G3" i="30" s="1"/>
  <c r="BT4" i="30"/>
  <c r="BT3" i="30" s="1"/>
  <c r="BG4" i="30"/>
  <c r="BG3" i="30" s="1"/>
  <c r="C142" i="31"/>
  <c r="HM4" i="30"/>
  <c r="HM3" i="30" s="1"/>
  <c r="E4" i="30"/>
  <c r="E3" i="30" s="1"/>
  <c r="FJ4" i="30"/>
  <c r="FJ3" i="30" s="1"/>
  <c r="DV4" i="32"/>
  <c r="DV3" i="32" s="1"/>
  <c r="DE4" i="30"/>
  <c r="DE3" i="30" s="1"/>
  <c r="ED4" i="30"/>
  <c r="ED3" i="30" s="1"/>
  <c r="C129" i="31"/>
  <c r="EE4" i="30"/>
  <c r="EE3" i="30" s="1"/>
  <c r="HV4" i="30"/>
  <c r="C101" i="31"/>
  <c r="C125" i="31"/>
  <c r="CM4" i="32"/>
  <c r="CM3" i="32" s="1"/>
  <c r="EX4" i="30"/>
  <c r="EX3" i="30" s="1"/>
  <c r="CA4" i="32"/>
  <c r="CA3" i="32" s="1"/>
  <c r="AR4" i="30"/>
  <c r="AR3" i="30" s="1"/>
  <c r="AB4" i="30"/>
  <c r="AB3" i="30" s="1"/>
  <c r="DD4" i="30"/>
  <c r="DD3" i="30" s="1"/>
  <c r="I4" i="30"/>
  <c r="I3" i="30" s="1"/>
  <c r="BQ4" i="32"/>
  <c r="BQ3" i="32" s="1"/>
  <c r="C93" i="31"/>
  <c r="AV4" i="30"/>
  <c r="AV3" i="30" s="1"/>
  <c r="BO4" i="30"/>
  <c r="BO3" i="30" s="1"/>
  <c r="N4" i="30"/>
  <c r="N3" i="30" s="1"/>
  <c r="E109" i="31"/>
  <c r="AT4" i="30"/>
  <c r="AT3" i="30" s="1"/>
  <c r="AM4" i="30"/>
  <c r="AM3" i="30" s="1"/>
  <c r="C36" i="31"/>
  <c r="HH4" i="32"/>
  <c r="HH3" i="32" s="1"/>
  <c r="FH4" i="32"/>
  <c r="FH3" i="32" s="1"/>
  <c r="CZ4" i="30"/>
  <c r="CZ3" i="30" s="1"/>
  <c r="EM4" i="30"/>
  <c r="EM3" i="30" s="1"/>
  <c r="CQ4" i="30"/>
  <c r="CQ3" i="30" s="1"/>
  <c r="C19" i="31"/>
  <c r="C10" i="31"/>
  <c r="FM4" i="30"/>
  <c r="FM3" i="30" s="1"/>
  <c r="BM4" i="32"/>
  <c r="BM3" i="32" s="1"/>
  <c r="HO4" i="32"/>
  <c r="HO3" i="32" s="1"/>
  <c r="CA4" i="30"/>
  <c r="CA3" i="30" s="1"/>
  <c r="C139" i="31"/>
  <c r="E23" i="31"/>
  <c r="E76" i="31"/>
  <c r="EE4" i="32"/>
  <c r="EE3" i="32" s="1"/>
  <c r="ET4" i="32"/>
  <c r="ET3" i="32" s="1"/>
  <c r="CR4" i="32"/>
  <c r="CR3" i="32" s="1"/>
  <c r="CX4" i="32"/>
  <c r="CX3" i="32" s="1"/>
  <c r="BW4" i="32"/>
  <c r="BW3" i="32" s="1"/>
  <c r="C48" i="31"/>
  <c r="C38" i="31"/>
  <c r="T4" i="32"/>
  <c r="T3" i="32" s="1"/>
  <c r="C147" i="31"/>
  <c r="DS4" i="30"/>
  <c r="DS3" i="30" s="1"/>
  <c r="GM4" i="32"/>
  <c r="GM3" i="32" s="1"/>
  <c r="C18" i="31"/>
  <c r="HE4" i="30"/>
  <c r="HE3" i="30" s="1"/>
  <c r="BI4" i="32"/>
  <c r="BI3" i="32" s="1"/>
  <c r="BL4" i="32"/>
  <c r="BL3" i="32" s="1"/>
  <c r="ER4" i="30"/>
  <c r="ER3" i="30" s="1"/>
  <c r="FP4" i="30"/>
  <c r="FP3" i="30" s="1"/>
  <c r="BD4" i="30"/>
  <c r="BD3" i="30" s="1"/>
  <c r="C69" i="31"/>
  <c r="FJ4" i="32"/>
  <c r="FJ3" i="32" s="1"/>
  <c r="CW4" i="30"/>
  <c r="CW3" i="30" s="1"/>
  <c r="HT4" i="30"/>
  <c r="HJ4" i="30"/>
  <c r="HJ3" i="30" s="1"/>
  <c r="GW4" i="30"/>
  <c r="GW3" i="30" s="1"/>
  <c r="HN4" i="30"/>
  <c r="HN3" i="30" s="1"/>
  <c r="C65" i="31"/>
  <c r="BV4" i="32"/>
  <c r="BV3" i="32" s="1"/>
  <c r="AZ4" i="32"/>
  <c r="AZ3" i="32" s="1"/>
  <c r="HF4" i="30"/>
  <c r="HF3" i="30" s="1"/>
  <c r="BK4" i="32"/>
  <c r="BK3" i="32" s="1"/>
  <c r="CP4" i="32"/>
  <c r="CP3" i="32" s="1"/>
  <c r="C25" i="31"/>
  <c r="EK4" i="30"/>
  <c r="EK3" i="30" s="1"/>
</calcChain>
</file>

<file path=xl/sharedStrings.xml><?xml version="1.0" encoding="utf-8"?>
<sst xmlns="http://schemas.openxmlformats.org/spreadsheetml/2006/main" count="6783" uniqueCount="1314">
  <si>
    <t>L4458</t>
  </si>
  <si>
    <t>Stafford &amp; Rural Homes Limited</t>
  </si>
  <si>
    <t>Total</t>
  </si>
  <si>
    <t>Accent Group Limited</t>
  </si>
  <si>
    <t>GL4511</t>
  </si>
  <si>
    <t>Adactus Housing Association Limited</t>
  </si>
  <si>
    <t>LH0131</t>
  </si>
  <si>
    <t>Advance Housing and Support Limited</t>
  </si>
  <si>
    <t>LH0280</t>
  </si>
  <si>
    <t>Arawak Walton Housing Association Limited</t>
  </si>
  <si>
    <t>L3713</t>
  </si>
  <si>
    <t>Arches Housing Limited</t>
  </si>
  <si>
    <t>LH0884</t>
  </si>
  <si>
    <t>Axiom Housing Association Limited</t>
  </si>
  <si>
    <t>L0395</t>
  </si>
  <si>
    <t>B3 Living Limited</t>
  </si>
  <si>
    <t>L4455</t>
  </si>
  <si>
    <t>Beech Housing Association Limited</t>
  </si>
  <si>
    <t>SL3463</t>
  </si>
  <si>
    <t>Black Country Housing Group Limited</t>
  </si>
  <si>
    <t>L1668</t>
  </si>
  <si>
    <t>GL1668</t>
  </si>
  <si>
    <t>Boston Mayflower Limited</t>
  </si>
  <si>
    <t>LH4237</t>
  </si>
  <si>
    <t>Bournville Village Trust</t>
  </si>
  <si>
    <t>L0702</t>
  </si>
  <si>
    <t>GL0702</t>
  </si>
  <si>
    <t>Bracknell Forest Homes Limited</t>
  </si>
  <si>
    <t>L4513</t>
  </si>
  <si>
    <t>Broadland Housing Association Limited</t>
  </si>
  <si>
    <t>L0026</t>
  </si>
  <si>
    <t>Bromsgrove District Housing Trust Limited</t>
  </si>
  <si>
    <t>LH4415</t>
  </si>
  <si>
    <t>Byker Community Trust Limited</t>
  </si>
  <si>
    <t>4714</t>
  </si>
  <si>
    <t>Catalyst Housing Limited</t>
  </si>
  <si>
    <t>GL0699</t>
  </si>
  <si>
    <t>L0699</t>
  </si>
  <si>
    <t>Cestria Community Housing Association Limited</t>
  </si>
  <si>
    <t>L4514</t>
  </si>
  <si>
    <t>Chelmer Housing Partnership Limited</t>
  </si>
  <si>
    <t>GL4331</t>
  </si>
  <si>
    <t>L4331</t>
  </si>
  <si>
    <t>Chorley Community Housing Limited</t>
  </si>
  <si>
    <t>L4487</t>
  </si>
  <si>
    <t>Coast &amp; Country Housing Limited</t>
  </si>
  <si>
    <t>L4342</t>
  </si>
  <si>
    <t>GL4342</t>
  </si>
  <si>
    <t>Community Gateway Association Limited</t>
  </si>
  <si>
    <t>L4457</t>
  </si>
  <si>
    <t>Connect Housing Association Limited</t>
  </si>
  <si>
    <t>L2285</t>
  </si>
  <si>
    <t>Cross Keys Homes Limited</t>
  </si>
  <si>
    <t>LH4428</t>
  </si>
  <si>
    <t>Croydon Churches Housing Association Limited</t>
  </si>
  <si>
    <t>LH0495</t>
  </si>
  <si>
    <t>Curo Group (Albion) Limited</t>
  </si>
  <si>
    <t>GLH4336</t>
  </si>
  <si>
    <t>Curo Places Limited</t>
  </si>
  <si>
    <t>LH4209</t>
  </si>
  <si>
    <t>Devon and Cornwall Housing Limited</t>
  </si>
  <si>
    <t>G4818</t>
  </si>
  <si>
    <t>4818</t>
  </si>
  <si>
    <t>Durham Aged Mineworkers' Homes Association</t>
  </si>
  <si>
    <t>A3213</t>
  </si>
  <si>
    <t>Family Housing Association (Birmingham) Limited</t>
  </si>
  <si>
    <t>LH0713</t>
  </si>
  <si>
    <t>First Wessex</t>
  </si>
  <si>
    <t>L4553</t>
  </si>
  <si>
    <t>GL4553</t>
  </si>
  <si>
    <t>Flagship Housing Group Limited</t>
  </si>
  <si>
    <t>4651</t>
  </si>
  <si>
    <t>Fortis Living Group</t>
  </si>
  <si>
    <t>G4789</t>
  </si>
  <si>
    <t>Friendship Care and Housing Limited</t>
  </si>
  <si>
    <t>4654</t>
  </si>
  <si>
    <t>Gateway Housing Association</t>
  </si>
  <si>
    <t>L0517</t>
  </si>
  <si>
    <t>Gentoo Group Limited</t>
  </si>
  <si>
    <t>GL4313</t>
  </si>
  <si>
    <t>Golding Homes Limited</t>
  </si>
  <si>
    <t>LH4402</t>
  </si>
  <si>
    <t>GLH4402</t>
  </si>
  <si>
    <t>Great Places Housing Association</t>
  </si>
  <si>
    <t>L1230</t>
  </si>
  <si>
    <t>Great Places Housing Group Limited</t>
  </si>
  <si>
    <t>GL4465</t>
  </si>
  <si>
    <t>Hexagon Housing Association Limited</t>
  </si>
  <si>
    <t>L1538</t>
  </si>
  <si>
    <t>GL1538</t>
  </si>
  <si>
    <t>Housing Solutions Limited</t>
  </si>
  <si>
    <t>GL4073</t>
  </si>
  <si>
    <t>Hyde Housing Association Limited</t>
  </si>
  <si>
    <t>GLH0032</t>
  </si>
  <si>
    <t>Impact Housing Association Limited</t>
  </si>
  <si>
    <t>L0917</t>
  </si>
  <si>
    <t>Incommunities Group Limited</t>
  </si>
  <si>
    <t>GL4363</t>
  </si>
  <si>
    <t>Incommunities Limited</t>
  </si>
  <si>
    <t>L4476</t>
  </si>
  <si>
    <t>Leeds Federated Housing Association Limited</t>
  </si>
  <si>
    <t>GLH0989</t>
  </si>
  <si>
    <t>Liverpool Mutual Homes Limited</t>
  </si>
  <si>
    <t>L4524</t>
  </si>
  <si>
    <t>Local Space Limited</t>
  </si>
  <si>
    <t>LH4454</t>
  </si>
  <si>
    <t>Longhurst &amp; Havelok Homes</t>
  </si>
  <si>
    <t>L4542</t>
  </si>
  <si>
    <t>Magna Housing Limited</t>
  </si>
  <si>
    <t>4844</t>
  </si>
  <si>
    <t>Merlin Housing Society Limited</t>
  </si>
  <si>
    <t>L4485</t>
  </si>
  <si>
    <t>Moat Homes Limited</t>
  </si>
  <si>
    <t>GL0386</t>
  </si>
  <si>
    <t>L0386</t>
  </si>
  <si>
    <t>Muir Group Housing Association Limited</t>
  </si>
  <si>
    <t>GL2194</t>
  </si>
  <si>
    <t>L2194</t>
  </si>
  <si>
    <t>Newlon Housing Trust</t>
  </si>
  <si>
    <t>GL0006</t>
  </si>
  <si>
    <t>North Hertfordshire Homes Limited</t>
  </si>
  <si>
    <t>L4370</t>
  </si>
  <si>
    <t>Notting Hill Home Ownership Limited</t>
  </si>
  <si>
    <t>SL3119</t>
  </si>
  <si>
    <t>Notting Hill Housing Trust</t>
  </si>
  <si>
    <t>GL0035</t>
  </si>
  <si>
    <t>L0035</t>
  </si>
  <si>
    <t>One Housing Group Limited</t>
  </si>
  <si>
    <t>LH0171</t>
  </si>
  <si>
    <t>One housing Group Limited</t>
  </si>
  <si>
    <t>GLH0171</t>
  </si>
  <si>
    <t>One Vision Housing Limited</t>
  </si>
  <si>
    <t>4804</t>
  </si>
  <si>
    <t>Optima Community Association</t>
  </si>
  <si>
    <t>L4228</t>
  </si>
  <si>
    <t>Orwell Housing Association Limited</t>
  </si>
  <si>
    <t>L0028</t>
  </si>
  <si>
    <t>GL0028</t>
  </si>
  <si>
    <t>Paradigm Homes Charitable Housing Association Limi</t>
  </si>
  <si>
    <t>LH4138</t>
  </si>
  <si>
    <t>Paradigm Housing Group Limited</t>
  </si>
  <si>
    <t>GL4215</t>
  </si>
  <si>
    <t>Pickering and Ferens Homes</t>
  </si>
  <si>
    <t>A4020</t>
  </si>
  <si>
    <t>Plymouth Community Homes</t>
  </si>
  <si>
    <t>L4543</t>
  </si>
  <si>
    <t>Railway Housing Association and Benefit Fund</t>
  </si>
  <si>
    <t>A1855</t>
  </si>
  <si>
    <t>Raven Housing Trust Limited</t>
  </si>
  <si>
    <t>GL4334</t>
  </si>
  <si>
    <t>Red Kite Community Housing Limited</t>
  </si>
  <si>
    <t>4682</t>
  </si>
  <si>
    <t>Reside Housing Association Limited</t>
  </si>
  <si>
    <t>4745</t>
  </si>
  <si>
    <t>Rochdale Boroughwide Housing Limited</t>
  </si>
  <si>
    <t>4607</t>
  </si>
  <si>
    <t>Sadeh Lok Limited</t>
  </si>
  <si>
    <t>L3807</t>
  </si>
  <si>
    <t>Salix Homes Limited</t>
  </si>
  <si>
    <t>4609</t>
  </si>
  <si>
    <t>Solon South West Housing Association Limited</t>
  </si>
  <si>
    <t>L0125</t>
  </si>
  <si>
    <t>South Lakes Housing</t>
  </si>
  <si>
    <t>4686</t>
  </si>
  <si>
    <t>South Staffordshire Housing Association Limited</t>
  </si>
  <si>
    <t>LH4121</t>
  </si>
  <si>
    <t>GL4458</t>
  </si>
  <si>
    <t>The Cambridge Housing Society Limited</t>
  </si>
  <si>
    <t>L0992</t>
  </si>
  <si>
    <t>The Joseph Rowntree Housing Trust</t>
  </si>
  <si>
    <t>L0057</t>
  </si>
  <si>
    <t>The Pioneer Housing and Community Group Limited</t>
  </si>
  <si>
    <t>GL4118</t>
  </si>
  <si>
    <t>L4118</t>
  </si>
  <si>
    <t>Thrive Homes Limited</t>
  </si>
  <si>
    <t>L4520</t>
  </si>
  <si>
    <t>GL4520</t>
  </si>
  <si>
    <t>Town and Country Housing Group</t>
  </si>
  <si>
    <t>L4251</t>
  </si>
  <si>
    <t>GL4251</t>
  </si>
  <si>
    <t>Trident Housing Association Limited</t>
  </si>
  <si>
    <t>L0979</t>
  </si>
  <si>
    <t>United Housing Association Limited</t>
  </si>
  <si>
    <t>L3758</t>
  </si>
  <si>
    <t>Viridian Housing</t>
  </si>
  <si>
    <t>GLH0172</t>
  </si>
  <si>
    <t>LH0172</t>
  </si>
  <si>
    <t>West Kent Housing Association</t>
  </si>
  <si>
    <t>GLH3827</t>
  </si>
  <si>
    <t>LH3827</t>
  </si>
  <si>
    <t>West Mercia Homes Limited</t>
  </si>
  <si>
    <t>4746</t>
  </si>
  <si>
    <t>Whitefriars Housing Group Limited</t>
  </si>
  <si>
    <t>LH4471</t>
  </si>
  <si>
    <t>WM Housing Group Limited</t>
  </si>
  <si>
    <t>GL4185</t>
  </si>
  <si>
    <t>Void Losses</t>
  </si>
  <si>
    <t>Fortis Living Limited</t>
  </si>
  <si>
    <t>4845</t>
  </si>
  <si>
    <t>GA3213</t>
  </si>
  <si>
    <t>31/03/2017</t>
  </si>
  <si>
    <t>31/12/2016</t>
  </si>
  <si>
    <t>G4607</t>
  </si>
  <si>
    <t>GL0979</t>
  </si>
  <si>
    <t>Entity</t>
  </si>
  <si>
    <t>LH0391</t>
  </si>
  <si>
    <t>A2Dominion Homes Limited</t>
  </si>
  <si>
    <t>GL4240</t>
  </si>
  <si>
    <t>A2Dominion Housing Group Limited</t>
  </si>
  <si>
    <t>LH4149</t>
  </si>
  <si>
    <t>A2Dominion South Limited</t>
  </si>
  <si>
    <t>LH1722</t>
  </si>
  <si>
    <t>Accent Housing Limited</t>
  </si>
  <si>
    <t>GLH3902</t>
  </si>
  <si>
    <t>Accord Housing Association Limited</t>
  </si>
  <si>
    <t>LH3902</t>
  </si>
  <si>
    <t>GL4229</t>
  </si>
  <si>
    <t>Acis Group Limited</t>
  </si>
  <si>
    <t>L4229</t>
  </si>
  <si>
    <t>GLH4345</t>
  </si>
  <si>
    <t>Adactus Housing Group Limited</t>
  </si>
  <si>
    <t>GLH0280</t>
  </si>
  <si>
    <t>4673</t>
  </si>
  <si>
    <t>Affinity Sutton Homes Limited</t>
  </si>
  <si>
    <t>GLH1682</t>
  </si>
  <si>
    <t>Aldwyck Housing Group Limited</t>
  </si>
  <si>
    <t>LH1682</t>
  </si>
  <si>
    <t>GL4536</t>
  </si>
  <si>
    <t>AmicusHorizon Limited</t>
  </si>
  <si>
    <t>L4536</t>
  </si>
  <si>
    <t>GLH4095</t>
  </si>
  <si>
    <t>Anchor Trust</t>
  </si>
  <si>
    <t>LH4095</t>
  </si>
  <si>
    <t>L4048</t>
  </si>
  <si>
    <t>Aragon Housing Association Limited</t>
  </si>
  <si>
    <t>GL0249</t>
  </si>
  <si>
    <t>Arcon Housing Association Limited</t>
  </si>
  <si>
    <t>L0249</t>
  </si>
  <si>
    <t>L1700</t>
  </si>
  <si>
    <t>Arena Housing Group Limited</t>
  </si>
  <si>
    <t>GL4238</t>
  </si>
  <si>
    <t>Aspire Housing Limited</t>
  </si>
  <si>
    <t>L4238</t>
  </si>
  <si>
    <t>L3534</t>
  </si>
  <si>
    <t>ASRA Housing Association Limited</t>
  </si>
  <si>
    <t>GL4523</t>
  </si>
  <si>
    <t>Asra Housing Group Limited</t>
  </si>
  <si>
    <t>4691</t>
  </si>
  <si>
    <t>Aster Communities</t>
  </si>
  <si>
    <t>GL4393</t>
  </si>
  <si>
    <t>Aster Group Limited</t>
  </si>
  <si>
    <t>GL4512</t>
  </si>
  <si>
    <t>Bernicia Group Limited</t>
  </si>
  <si>
    <t>L4529</t>
  </si>
  <si>
    <t>Berwick Borough Housing</t>
  </si>
  <si>
    <t>4568</t>
  </si>
  <si>
    <t>Bolton at Home</t>
  </si>
  <si>
    <t>G4568</t>
  </si>
  <si>
    <t>GLH4237</t>
  </si>
  <si>
    <t>GLH0155</t>
  </si>
  <si>
    <t>Bournemouth Churches Housing Association Limited</t>
  </si>
  <si>
    <t>LH0155</t>
  </si>
  <si>
    <t>GLH3887</t>
  </si>
  <si>
    <t>bpha Limited</t>
  </si>
  <si>
    <t>LH3887</t>
  </si>
  <si>
    <t>GL4513</t>
  </si>
  <si>
    <t>GLH4014</t>
  </si>
  <si>
    <t>Broadacres Housing Association Limited</t>
  </si>
  <si>
    <t>LH4014</t>
  </si>
  <si>
    <t>GL0026</t>
  </si>
  <si>
    <t>L4450</t>
  </si>
  <si>
    <t>Bromford Home Ownership Limited</t>
  </si>
  <si>
    <t>4819</t>
  </si>
  <si>
    <t>Bromford Housing Association Limited</t>
  </si>
  <si>
    <t>GL4449</t>
  </si>
  <si>
    <t>Bromford Housing Group Limited</t>
  </si>
  <si>
    <t>LH0269</t>
  </si>
  <si>
    <t>Brunelcare</t>
  </si>
  <si>
    <t>L4254</t>
  </si>
  <si>
    <t>Calico Homes Limited</t>
  </si>
  <si>
    <t>L4143</t>
  </si>
  <si>
    <t>CBHA</t>
  </si>
  <si>
    <t>GH1528</t>
  </si>
  <si>
    <t>Central and Cecil Housing Trust</t>
  </si>
  <si>
    <t>H1528</t>
  </si>
  <si>
    <t>H3658</t>
  </si>
  <si>
    <t>Chapter 1 Charity Ltd</t>
  </si>
  <si>
    <t>L4212</t>
  </si>
  <si>
    <t>Charlton Triangle Homes Limited</t>
  </si>
  <si>
    <t>L4472</t>
  </si>
  <si>
    <t>Cheshire Peaks &amp; Plains Housing Trust</t>
  </si>
  <si>
    <t>L0862</t>
  </si>
  <si>
    <t>Cheviot Housing Association Limited</t>
  </si>
  <si>
    <t>L0031</t>
  </si>
  <si>
    <t>Circle Thirty Three Housing Trust Limited</t>
  </si>
  <si>
    <t>L4527</t>
  </si>
  <si>
    <t>City South Manchester Housing Trust</t>
  </si>
  <si>
    <t>L4528</t>
  </si>
  <si>
    <t>City West Housing Trust Limited</t>
  </si>
  <si>
    <t>GLH4087</t>
  </si>
  <si>
    <t>Clarion Housing Group Limited</t>
  </si>
  <si>
    <t>GLH4165</t>
  </si>
  <si>
    <t>Coastline Housing Limited</t>
  </si>
  <si>
    <t>LH4165</t>
  </si>
  <si>
    <t>L4361</t>
  </si>
  <si>
    <t>Cobalt Housing Limited</t>
  </si>
  <si>
    <t>LH1651</t>
  </si>
  <si>
    <t>Colne Housing Society Limited</t>
  </si>
  <si>
    <t>GL4494</t>
  </si>
  <si>
    <t>L3261</t>
  </si>
  <si>
    <t>Contour Homes Limited</t>
  </si>
  <si>
    <t>L0284</t>
  </si>
  <si>
    <t>Cotman Housing Association Limited</t>
  </si>
  <si>
    <t>L4312</t>
  </si>
  <si>
    <t>Cottsway Housing Association Limited</t>
  </si>
  <si>
    <t>GL4312</t>
  </si>
  <si>
    <t>G4805</t>
  </si>
  <si>
    <t>County Durham Housing Group Limited</t>
  </si>
  <si>
    <t>GLH4428</t>
  </si>
  <si>
    <t>4575</t>
  </si>
  <si>
    <t>Dale &amp; Valley Homes Limited</t>
  </si>
  <si>
    <t>L4332</t>
  </si>
  <si>
    <t>Dales Housing Limited</t>
  </si>
  <si>
    <t>L0435</t>
  </si>
  <si>
    <t>De Montfort Housing Society Limited</t>
  </si>
  <si>
    <t>LH4213</t>
  </si>
  <si>
    <t>Derwent and Solway Housing Association Limited</t>
  </si>
  <si>
    <t>L0715</t>
  </si>
  <si>
    <t>Derwent Housing Association Limited</t>
  </si>
  <si>
    <t>GL4483</t>
  </si>
  <si>
    <t>Derwentside Homes</t>
  </si>
  <si>
    <t>L4483</t>
  </si>
  <si>
    <t>LH4090</t>
  </si>
  <si>
    <t>Drum Housing Association Limited</t>
  </si>
  <si>
    <t>4806</t>
  </si>
  <si>
    <t>Durham City Homes Limited</t>
  </si>
  <si>
    <t>4578</t>
  </si>
  <si>
    <t>East Durham Homes Limited</t>
  </si>
  <si>
    <t>L4434</t>
  </si>
  <si>
    <t>East End Homes Limited</t>
  </si>
  <si>
    <t>GL4434</t>
  </si>
  <si>
    <t>GL4530</t>
  </si>
  <si>
    <t>East Midlands Housing Group</t>
  </si>
  <si>
    <t>4835</t>
  </si>
  <si>
    <t>East Thames Limited</t>
  </si>
  <si>
    <t>L4396</t>
  </si>
  <si>
    <t>Eastlands Homes Partnership Limited</t>
  </si>
  <si>
    <t>GL4140</t>
  </si>
  <si>
    <t>Eden Housing Association Limited</t>
  </si>
  <si>
    <t>L4140</t>
  </si>
  <si>
    <t>4775</t>
  </si>
  <si>
    <t>EMH Housing and Regeneration Limited</t>
  </si>
  <si>
    <t>L4167</t>
  </si>
  <si>
    <t>Empowering People Inspiring Communities Limited</t>
  </si>
  <si>
    <t>LH0084</t>
  </si>
  <si>
    <t>Endeavour Housing Association Limited</t>
  </si>
  <si>
    <t>L4004</t>
  </si>
  <si>
    <t>English Rural Housing Association Limited</t>
  </si>
  <si>
    <t>GL1229</t>
  </si>
  <si>
    <t>Equity Housing Group Limited</t>
  </si>
  <si>
    <t>L1229</t>
  </si>
  <si>
    <t>L4431</t>
  </si>
  <si>
    <t>Erimus Housing Limited</t>
  </si>
  <si>
    <t>GL3535</t>
  </si>
  <si>
    <t>Estuary Housing Association Limited</t>
  </si>
  <si>
    <t>L3535</t>
  </si>
  <si>
    <t>GL4470</t>
  </si>
  <si>
    <t>Family Mosaic Housing</t>
  </si>
  <si>
    <t>L4470</t>
  </si>
  <si>
    <t>4582</t>
  </si>
  <si>
    <t>First Choice Homes Oldham Limited</t>
  </si>
  <si>
    <t>G4651</t>
  </si>
  <si>
    <t>G4820</t>
  </si>
  <si>
    <t>ForViva Group Limited</t>
  </si>
  <si>
    <t>L4463</t>
  </si>
  <si>
    <t>Freebridge Community Housing Limited</t>
  </si>
  <si>
    <t>L4204</t>
  </si>
  <si>
    <t>Frontis Homes Limited</t>
  </si>
  <si>
    <t>L4372</t>
  </si>
  <si>
    <t>Futures Homescape Limited</t>
  </si>
  <si>
    <t>L4498</t>
  </si>
  <si>
    <t>Futures Homeway Limited</t>
  </si>
  <si>
    <t>GL4502</t>
  </si>
  <si>
    <t>Futures Housing Group Limited</t>
  </si>
  <si>
    <t>L4274</t>
  </si>
  <si>
    <t>Gallions Housing Association Limited</t>
  </si>
  <si>
    <t>GL0517</t>
  </si>
  <si>
    <t>L4532</t>
  </si>
  <si>
    <t>Gedling Homes</t>
  </si>
  <si>
    <t>4655</t>
  </si>
  <si>
    <t>Genesis Housing Association Limited</t>
  </si>
  <si>
    <t>G4655</t>
  </si>
  <si>
    <t>L4313</t>
  </si>
  <si>
    <t>L0014</t>
  </si>
  <si>
    <t>George Peabody Donation Fund</t>
  </si>
  <si>
    <t>4584</t>
  </si>
  <si>
    <t>Gloucester City Homes Limited</t>
  </si>
  <si>
    <t>4631</t>
  </si>
  <si>
    <t>Golden Gates Housing Trust</t>
  </si>
  <si>
    <t>4803</t>
  </si>
  <si>
    <t>Golden Lane Housing Ltd</t>
  </si>
  <si>
    <t>GL4518</t>
  </si>
  <si>
    <t>Grand Union Housing Group Limited</t>
  </si>
  <si>
    <t>L4499</t>
  </si>
  <si>
    <t>Greenfields Community Housing Association</t>
  </si>
  <si>
    <t>4833</t>
  </si>
  <si>
    <t>GreenSquare Group Limited</t>
  </si>
  <si>
    <t>G4833</t>
  </si>
  <si>
    <t>L4497</t>
  </si>
  <si>
    <t>Guinness Care and Support Limited</t>
  </si>
  <si>
    <t>L2441</t>
  </si>
  <si>
    <t>Guinness Housing Association Limited</t>
  </si>
  <si>
    <t>LH0459</t>
  </si>
  <si>
    <t>Habinteg Housing Association Limited</t>
  </si>
  <si>
    <t>GL4456</t>
  </si>
  <si>
    <t>Halton Housing Trust Limited</t>
  </si>
  <si>
    <t>L4456</t>
  </si>
  <si>
    <t>GL0071</t>
  </si>
  <si>
    <t>Hanover Housing Association</t>
  </si>
  <si>
    <t>L0071</t>
  </si>
  <si>
    <t>GL0018</t>
  </si>
  <si>
    <t>Hastoe Housing Association Limited</t>
  </si>
  <si>
    <t>L0018</t>
  </si>
  <si>
    <t>LH0065</t>
  </si>
  <si>
    <t>Headrow Limited</t>
  </si>
  <si>
    <t>L4526</t>
  </si>
  <si>
    <t>Heart Of England Housing Association Limited</t>
  </si>
  <si>
    <t>L4340</t>
  </si>
  <si>
    <t>Helena Partnerships Limited</t>
  </si>
  <si>
    <t>LH4353</t>
  </si>
  <si>
    <t>Herefordshire Housing Limited</t>
  </si>
  <si>
    <t>GLH4353</t>
  </si>
  <si>
    <t>L2179</t>
  </si>
  <si>
    <t>Hightown Housing Association Limited</t>
  </si>
  <si>
    <t>L4447</t>
  </si>
  <si>
    <t>Hillside Housing Trust Limited</t>
  </si>
  <si>
    <t>GL3076</t>
  </si>
  <si>
    <t>Home Group Limited</t>
  </si>
  <si>
    <t>L3076</t>
  </si>
  <si>
    <t>GL0055</t>
  </si>
  <si>
    <t>Housing &amp; Care 21</t>
  </si>
  <si>
    <t>L0055</t>
  </si>
  <si>
    <t>L4414</t>
  </si>
  <si>
    <t>Housing Hartlepool</t>
  </si>
  <si>
    <t>L4073</t>
  </si>
  <si>
    <t>GL1312</t>
  </si>
  <si>
    <t>Howard Cottage Housing Association</t>
  </si>
  <si>
    <t>L1312</t>
  </si>
  <si>
    <t>L0718</t>
  </si>
  <si>
    <t>Hundred Houses Society Limited</t>
  </si>
  <si>
    <t>LH0032</t>
  </si>
  <si>
    <t>L4223</t>
  </si>
  <si>
    <t>Hyde Southbank Homes Limited</t>
  </si>
  <si>
    <t>L4461</t>
  </si>
  <si>
    <t>Hyndburn Homes Limited</t>
  </si>
  <si>
    <t>4662</t>
  </si>
  <si>
    <t>Inclusion Housing Community Interest Company</t>
  </si>
  <si>
    <t>LH3728</t>
  </si>
  <si>
    <t>Inquilab Housing Association Limited</t>
  </si>
  <si>
    <t>GL0061</t>
  </si>
  <si>
    <t>Irwell Valley Housing Association Limited</t>
  </si>
  <si>
    <t>L0061</t>
  </si>
  <si>
    <t>GL0457</t>
  </si>
  <si>
    <t>Islington and Shoreditch Housing Association Limit</t>
  </si>
  <si>
    <t>L0457</t>
  </si>
  <si>
    <t>4646</t>
  </si>
  <si>
    <t>Isos Housing Limited</t>
  </si>
  <si>
    <t>G4646</t>
  </si>
  <si>
    <t>L1231</t>
  </si>
  <si>
    <t>'Johnnie' Johnson Housing Trust Limited</t>
  </si>
  <si>
    <t>GL1231</t>
  </si>
  <si>
    <t>L0291</t>
  </si>
  <si>
    <t>Knightstone Housing Association Limited</t>
  </si>
  <si>
    <t>GL4436</t>
  </si>
  <si>
    <t>Knightstone Housing Group Limited</t>
  </si>
  <si>
    <t>GLH4343</t>
  </si>
  <si>
    <t>Knowsley Housing Trust</t>
  </si>
  <si>
    <t>LH4343</t>
  </si>
  <si>
    <t>L4195</t>
  </si>
  <si>
    <t>Leasowe Community Homes</t>
  </si>
  <si>
    <t>LH0704</t>
  </si>
  <si>
    <t>Leeds and Yorkshire Housing Association Ltd</t>
  </si>
  <si>
    <t>LH0989</t>
  </si>
  <si>
    <t>L0409</t>
  </si>
  <si>
    <t>Leicester Housing Association Limited</t>
  </si>
  <si>
    <t>LH0250</t>
  </si>
  <si>
    <t>Liverpool Housing Trust Limited</t>
  </si>
  <si>
    <t>GL4524</t>
  </si>
  <si>
    <t>L4538</t>
  </si>
  <si>
    <t>Livin Housing Limited</t>
  </si>
  <si>
    <t>L4517</t>
  </si>
  <si>
    <t>London &amp; Quadrant Housing Trust</t>
  </si>
  <si>
    <t>GL4517</t>
  </si>
  <si>
    <t>GL4277</t>
  </si>
  <si>
    <t>Longhurst Group Limited</t>
  </si>
  <si>
    <t>GLH0013</t>
  </si>
  <si>
    <t>Look Ahead Care and Support Ltd</t>
  </si>
  <si>
    <t>LH0013</t>
  </si>
  <si>
    <t>GL4398</t>
  </si>
  <si>
    <t>Luminus Group Limited</t>
  </si>
  <si>
    <t>LH4253</t>
  </si>
  <si>
    <t>Luminus Homes Limited</t>
  </si>
  <si>
    <t>L1423</t>
  </si>
  <si>
    <t>Manchester and District Housing Association Limite</t>
  </si>
  <si>
    <t>GL3736</t>
  </si>
  <si>
    <t>Manningham Housing Association Limited</t>
  </si>
  <si>
    <t>L3736</t>
  </si>
  <si>
    <t>L4303</t>
  </si>
  <si>
    <t>Martlet Homes Limited</t>
  </si>
  <si>
    <t>L4493</t>
  </si>
  <si>
    <t>Meres and Mosses Housing Association</t>
  </si>
  <si>
    <t>L4548</t>
  </si>
  <si>
    <t>Merton Priory Homes</t>
  </si>
  <si>
    <t>L0726</t>
  </si>
  <si>
    <t>Metropolitan Housing Trust Limited</t>
  </si>
  <si>
    <t>GL0726</t>
  </si>
  <si>
    <t>GL4466</t>
  </si>
  <si>
    <t>Midland Heart Limited</t>
  </si>
  <si>
    <t>L4466</t>
  </si>
  <si>
    <t>L4500</t>
  </si>
  <si>
    <t>Mole Valley Housing Association Limited</t>
  </si>
  <si>
    <t>LH4306</t>
  </si>
  <si>
    <t>Moorlands Housing</t>
  </si>
  <si>
    <t>SL3447</t>
  </si>
  <si>
    <t>Mossbank Homes Limited</t>
  </si>
  <si>
    <t>GL0975</t>
  </si>
  <si>
    <t>Mosscare Housing Limited</t>
  </si>
  <si>
    <t>L0975</t>
  </si>
  <si>
    <t>L0042</t>
  </si>
  <si>
    <t>Mount Green Housing Association Limited</t>
  </si>
  <si>
    <t>L3833</t>
  </si>
  <si>
    <t>Nehemiah United Churches Housing Association Limit</t>
  </si>
  <si>
    <t>4825</t>
  </si>
  <si>
    <t>Network Homes Limited</t>
  </si>
  <si>
    <t>G4825</t>
  </si>
  <si>
    <t>LH4266</t>
  </si>
  <si>
    <t>New Charter Homes Limited</t>
  </si>
  <si>
    <t>GLH4265</t>
  </si>
  <si>
    <t>New Charter Housing Trust Limited</t>
  </si>
  <si>
    <t>LH4284</t>
  </si>
  <si>
    <t>New Fylde Housing Limited</t>
  </si>
  <si>
    <t>L4201</t>
  </si>
  <si>
    <t>New Linx Housing Trust</t>
  </si>
  <si>
    <t>LH4032</t>
  </si>
  <si>
    <t>New Progress Housing Association Limited</t>
  </si>
  <si>
    <t>L0006</t>
  </si>
  <si>
    <t>GLH4249</t>
  </si>
  <si>
    <t>North Devon Homes Limited</t>
  </si>
  <si>
    <t>LH4249</t>
  </si>
  <si>
    <t>GL4370</t>
  </si>
  <si>
    <t>GL4468</t>
  </si>
  <si>
    <t>North Star Housing Group Limited</t>
  </si>
  <si>
    <t>4817</t>
  </si>
  <si>
    <t>Nottingham Community Housing Association Limited</t>
  </si>
  <si>
    <t>G4817</t>
  </si>
  <si>
    <t>GL4459</t>
  </si>
  <si>
    <t>NSAH (Alliance Homes) Limited</t>
  </si>
  <si>
    <t>L4459</t>
  </si>
  <si>
    <t>GL4422</t>
  </si>
  <si>
    <t>Ocean Housing Group Limited</t>
  </si>
  <si>
    <t>LH4248</t>
  </si>
  <si>
    <t>Ocean Housing Limited</t>
  </si>
  <si>
    <t>L0717</t>
  </si>
  <si>
    <t>Octavia Housing</t>
  </si>
  <si>
    <t>GL0717</t>
  </si>
  <si>
    <t>L4221</t>
  </si>
  <si>
    <t>Old Ford Housing Association Limited</t>
  </si>
  <si>
    <t>4635</t>
  </si>
  <si>
    <t>Omega Housing Limited</t>
  </si>
  <si>
    <t>G4808</t>
  </si>
  <si>
    <t>One Manchester Limited</t>
  </si>
  <si>
    <t>GL4486</t>
  </si>
  <si>
    <t>Ongo Homes Limited</t>
  </si>
  <si>
    <t>L4486</t>
  </si>
  <si>
    <t>GL4123</t>
  </si>
  <si>
    <t>Orbit Group Limited</t>
  </si>
  <si>
    <t>L4123</t>
  </si>
  <si>
    <t>L4060</t>
  </si>
  <si>
    <t>Orbit South Housing Association Limited</t>
  </si>
  <si>
    <t>GL0871</t>
  </si>
  <si>
    <t>Origin Housing Limited</t>
  </si>
  <si>
    <t>L0871</t>
  </si>
  <si>
    <t>GLH4262</t>
  </si>
  <si>
    <t>Paragon Community Housing Limited</t>
  </si>
  <si>
    <t>LH4262</t>
  </si>
  <si>
    <t>L4478</t>
  </si>
  <si>
    <t>Parkway Green Housing Trust</t>
  </si>
  <si>
    <t>4834</t>
  </si>
  <si>
    <t xml:space="preserve">Peabody Trust </t>
  </si>
  <si>
    <t>G4834</t>
  </si>
  <si>
    <t>Peabody Trust</t>
  </si>
  <si>
    <t>L4475</t>
  </si>
  <si>
    <t>Peak Valley Housing Association Limited</t>
  </si>
  <si>
    <t>GL4505</t>
  </si>
  <si>
    <t xml:space="preserve">Phoenix Community Housing Association (Bellingham </t>
  </si>
  <si>
    <t>L4505</t>
  </si>
  <si>
    <t>L1001</t>
  </si>
  <si>
    <t>Pierhead Housing Association Limited</t>
  </si>
  <si>
    <t>GL4236</t>
  </si>
  <si>
    <t>Places for People Group Limited</t>
  </si>
  <si>
    <t>L0659</t>
  </si>
  <si>
    <t>Places for People Homes Limited</t>
  </si>
  <si>
    <t>LH3926</t>
  </si>
  <si>
    <t>Places for People Living+ Limited</t>
  </si>
  <si>
    <t>SL3224</t>
  </si>
  <si>
    <t>Plumlife Homes Limited</t>
  </si>
  <si>
    <t>LH4158</t>
  </si>
  <si>
    <t>Plus Dane (Cheshire) Housing Association Limited</t>
  </si>
  <si>
    <t>L4556</t>
  </si>
  <si>
    <t>Plus Dane (Merseyside) Housing Association Limited</t>
  </si>
  <si>
    <t>GL4355</t>
  </si>
  <si>
    <t>Plus Dane Housing Group Limited</t>
  </si>
  <si>
    <t>GL4543</t>
  </si>
  <si>
    <t>GL4170</t>
  </si>
  <si>
    <t>Poplar HARCA Limited</t>
  </si>
  <si>
    <t>L4170</t>
  </si>
  <si>
    <t>LH4163</t>
  </si>
  <si>
    <t>Portal Housing Association Limited</t>
  </si>
  <si>
    <t>LH4188</t>
  </si>
  <si>
    <t>Progress Care Housing Association Limited</t>
  </si>
  <si>
    <t>GLH4189</t>
  </si>
  <si>
    <t>Progress Housing Group Limited</t>
  </si>
  <si>
    <t>GL4172</t>
  </si>
  <si>
    <t>Radian Group Limited</t>
  </si>
  <si>
    <t>L4334</t>
  </si>
  <si>
    <t>L0877</t>
  </si>
  <si>
    <t>Redwing Living Limited</t>
  </si>
  <si>
    <t>4653</t>
  </si>
  <si>
    <t>Regenda Limited</t>
  </si>
  <si>
    <t>G4653</t>
  </si>
  <si>
    <t>L4525</t>
  </si>
  <si>
    <t>Ribble Valley Homes Limited</t>
  </si>
  <si>
    <t>L4279</t>
  </si>
  <si>
    <t>Richmond Housing Partnership Limited</t>
  </si>
  <si>
    <t>GL4279</t>
  </si>
  <si>
    <t>LH4050</t>
  </si>
  <si>
    <t>Rooftop Housing Association Limited</t>
  </si>
  <si>
    <t>GL4404</t>
  </si>
  <si>
    <t>Rooftop Housing Group Limited</t>
  </si>
  <si>
    <t>LH4026</t>
  </si>
  <si>
    <t>Rosebery Housing Association Limited</t>
  </si>
  <si>
    <t>LH3922</t>
  </si>
  <si>
    <t>Russet Homes Limited</t>
  </si>
  <si>
    <t>GLH4412</t>
  </si>
  <si>
    <t>Saffron Housing Trust Limited</t>
  </si>
  <si>
    <t>LH4412</t>
  </si>
  <si>
    <t>LH2429</t>
  </si>
  <si>
    <t>Salvation Army Housing Association</t>
  </si>
  <si>
    <t>4684</t>
  </si>
  <si>
    <t>Sanctuary Affordable Housing Limited</t>
  </si>
  <si>
    <t>L0247</t>
  </si>
  <si>
    <t>Sanctuary Housing Association</t>
  </si>
  <si>
    <t>GL0247</t>
  </si>
  <si>
    <t>GL4299</t>
  </si>
  <si>
    <t>Saxon Weald Homes Limited</t>
  </si>
  <si>
    <t>L4299</t>
  </si>
  <si>
    <t>GLH4097</t>
  </si>
  <si>
    <t>Selwood Housing Society Limited</t>
  </si>
  <si>
    <t>LH4097</t>
  </si>
  <si>
    <t>GLH4066</t>
  </si>
  <si>
    <t>Sentinel Housing Association Ltd</t>
  </si>
  <si>
    <t>LH4066</t>
  </si>
  <si>
    <t>L4506</t>
  </si>
  <si>
    <t>Seven Locks Housing Limited</t>
  </si>
  <si>
    <t>GL4171</t>
  </si>
  <si>
    <t>Severn Vale Housing Society Limited</t>
  </si>
  <si>
    <t>L4171</t>
  </si>
  <si>
    <t>LH4325</t>
  </si>
  <si>
    <t>Severnside Housing</t>
  </si>
  <si>
    <t>GLH0050</t>
  </si>
  <si>
    <t>Shepherds Bush Housing Association Limited</t>
  </si>
  <si>
    <t>LH0050</t>
  </si>
  <si>
    <t>GL4442</t>
  </si>
  <si>
    <t>Shoreline Housing Partnership Ltd</t>
  </si>
  <si>
    <t>L4442</t>
  </si>
  <si>
    <t>L4130</t>
  </si>
  <si>
    <t>Soha Housing Limited</t>
  </si>
  <si>
    <t>GL4130</t>
  </si>
  <si>
    <t>GL4230</t>
  </si>
  <si>
    <t>South Liverpool Homes Limited</t>
  </si>
  <si>
    <t>L4230</t>
  </si>
  <si>
    <t>L4519</t>
  </si>
  <si>
    <t>South Northants Homes Limited</t>
  </si>
  <si>
    <t>LH3943</t>
  </si>
  <si>
    <t>South Shropshire Housing Association</t>
  </si>
  <si>
    <t>GL0078</t>
  </si>
  <si>
    <t>South Yorkshire Housing Association Limited</t>
  </si>
  <si>
    <t>L0078</t>
  </si>
  <si>
    <t>LH1662</t>
  </si>
  <si>
    <t>Southern Home Ownership Limited</t>
  </si>
  <si>
    <t>GL4628</t>
  </si>
  <si>
    <t>Southern Housing Group Limited</t>
  </si>
  <si>
    <t>L4628</t>
  </si>
  <si>
    <t>L4507</t>
  </si>
  <si>
    <t>Southway Housing Trust (Manchester) Limited</t>
  </si>
  <si>
    <t>4837</t>
  </si>
  <si>
    <t>Sovereign Housing Association Limited</t>
  </si>
  <si>
    <t>G4837</t>
  </si>
  <si>
    <t>LH4302</t>
  </si>
  <si>
    <t>Spire Homes (LG) Limited</t>
  </si>
  <si>
    <t>GLH0279</t>
  </si>
  <si>
    <t>St Mungo Community Housing Association</t>
  </si>
  <si>
    <t>LH0279</t>
  </si>
  <si>
    <t xml:space="preserve">St Mungo Community Housing Association </t>
  </si>
  <si>
    <t>L0875</t>
  </si>
  <si>
    <t>St Vincent's Housing Association Limited</t>
  </si>
  <si>
    <t>GL0875</t>
  </si>
  <si>
    <t>GLH2162</t>
  </si>
  <si>
    <t>Staffordshire Housing Association Limited</t>
  </si>
  <si>
    <t>LH2162</t>
  </si>
  <si>
    <t>L0173</t>
  </si>
  <si>
    <t>Stonewater (2) Limited</t>
  </si>
  <si>
    <t>L0288</t>
  </si>
  <si>
    <t>Stonewater (3) Limited</t>
  </si>
  <si>
    <t>LH4027</t>
  </si>
  <si>
    <t>Stonewater (4) Limited</t>
  </si>
  <si>
    <t>GL1556</t>
  </si>
  <si>
    <t>Stonewater Limited</t>
  </si>
  <si>
    <t>L1556</t>
  </si>
  <si>
    <t>L1659</t>
  </si>
  <si>
    <t>Suffolk Housing Society Limited</t>
  </si>
  <si>
    <t>GL1659</t>
  </si>
  <si>
    <t>4687</t>
  </si>
  <si>
    <t>Sustain (UK) Ltd</t>
  </si>
  <si>
    <t>GL4145</t>
  </si>
  <si>
    <t>Swan Housing Association Limited</t>
  </si>
  <si>
    <t>L4145</t>
  </si>
  <si>
    <t>G4649</t>
  </si>
  <si>
    <t>4680</t>
  </si>
  <si>
    <t>Synergy Housing Limited</t>
  </si>
  <si>
    <t>L1872</t>
  </si>
  <si>
    <t>Tees Valley Housing Limited</t>
  </si>
  <si>
    <t>LH4403</t>
  </si>
  <si>
    <t>Teign Housing</t>
  </si>
  <si>
    <t>LH3702</t>
  </si>
  <si>
    <t>Thames Valley Charitable Housing Association Limit</t>
  </si>
  <si>
    <t>GL0514</t>
  </si>
  <si>
    <t>Thames Valley Housing Association Limited</t>
  </si>
  <si>
    <t>L0514</t>
  </si>
  <si>
    <t>GH1046</t>
  </si>
  <si>
    <t>The Abbeyfield Society</t>
  </si>
  <si>
    <t>H1046</t>
  </si>
  <si>
    <t>GL0992</t>
  </si>
  <si>
    <t>LH0676</t>
  </si>
  <si>
    <t>The Christian Action (Enfield) Housing Association</t>
  </si>
  <si>
    <t>GL4437</t>
  </si>
  <si>
    <t>The Community Housing Group Limited</t>
  </si>
  <si>
    <t>4729</t>
  </si>
  <si>
    <t>The Guinness Partnership Limited</t>
  </si>
  <si>
    <t>G4729</t>
  </si>
  <si>
    <t>LH4339</t>
  </si>
  <si>
    <t>The Havebury Housing Partnership</t>
  </si>
  <si>
    <t>GL4491</t>
  </si>
  <si>
    <t>The Housing Plus Group Limited</t>
  </si>
  <si>
    <t>L0266</t>
  </si>
  <si>
    <t>The Industrial Dwellings Society (1885) Ltd</t>
  </si>
  <si>
    <t>GL4552</t>
  </si>
  <si>
    <t>The Riverside Group Limited</t>
  </si>
  <si>
    <t>L4552</t>
  </si>
  <si>
    <t>L0689</t>
  </si>
  <si>
    <t>The Swaythling Housing Society Limited</t>
  </si>
  <si>
    <t>L3417</t>
  </si>
  <si>
    <t>The Villages Housing Association Limited</t>
  </si>
  <si>
    <t>GL4424</t>
  </si>
  <si>
    <t>The Wrekin Housing Group Limited</t>
  </si>
  <si>
    <t>LH4220</t>
  </si>
  <si>
    <t>The Wrekin Housing Trust Limited</t>
  </si>
  <si>
    <t>GL4522</t>
  </si>
  <si>
    <t>Thirteen Housing Group Limited</t>
  </si>
  <si>
    <t>LH0886</t>
  </si>
  <si>
    <t>Three Rivers Housing Association Limited</t>
  </si>
  <si>
    <t>L4160</t>
  </si>
  <si>
    <t>Together Housing Association Limited</t>
  </si>
  <si>
    <t>GL4464</t>
  </si>
  <si>
    <t>Together Housing Group Limited</t>
  </si>
  <si>
    <t>G4802</t>
  </si>
  <si>
    <t>Torus62 Limited</t>
  </si>
  <si>
    <t>L4260</t>
  </si>
  <si>
    <t>Tower Hamlets Community Housing Limited</t>
  </si>
  <si>
    <t>GL4260</t>
  </si>
  <si>
    <t>GL4440</t>
  </si>
  <si>
    <t>Trafford Housing Trust Limited</t>
  </si>
  <si>
    <t>L4440</t>
  </si>
  <si>
    <t>GL4311</t>
  </si>
  <si>
    <t>Trent &amp; Dove Housing Limited</t>
  </si>
  <si>
    <t>L4311</t>
  </si>
  <si>
    <t>4622</t>
  </si>
  <si>
    <t>Tristar Homes Limited</t>
  </si>
  <si>
    <t>GL3808</t>
  </si>
  <si>
    <t>Tuntum Housing Association Limited</t>
  </si>
  <si>
    <t>L3808</t>
  </si>
  <si>
    <t>GLH1534</t>
  </si>
  <si>
    <t>Two Castles Housing Assocation Limited</t>
  </si>
  <si>
    <t>LH1534</t>
  </si>
  <si>
    <t>Two Castles Housing Association Limited</t>
  </si>
  <si>
    <t>L4385</t>
  </si>
  <si>
    <t>Two Rivers Housing</t>
  </si>
  <si>
    <t>GL4385</t>
  </si>
  <si>
    <t>GLH3737</t>
  </si>
  <si>
    <t>Unity Housing Association Limited</t>
  </si>
  <si>
    <t>LH3737</t>
  </si>
  <si>
    <t>L4473</t>
  </si>
  <si>
    <t>Vale of Aylesbury Housing Trust</t>
  </si>
  <si>
    <t>L4460</t>
  </si>
  <si>
    <t>Victory Housing Trust</t>
  </si>
  <si>
    <t>L4441</t>
  </si>
  <si>
    <t>Wakefield And District Housing Limited</t>
  </si>
  <si>
    <t>GL4441</t>
  </si>
  <si>
    <t>GL4389</t>
  </si>
  <si>
    <t>Walsall Housing Group Limited</t>
  </si>
  <si>
    <t>L4389</t>
  </si>
  <si>
    <t>GL0277</t>
  </si>
  <si>
    <t>Wandle Housing Association Limited</t>
  </si>
  <si>
    <t>L0277</t>
  </si>
  <si>
    <t>L4516</t>
  </si>
  <si>
    <t>Wansbeck Homes Limited</t>
  </si>
  <si>
    <t>L0518</t>
  </si>
  <si>
    <t>Warrington Housing Association Limited</t>
  </si>
  <si>
    <t>GL0518</t>
  </si>
  <si>
    <t>L1666</t>
  </si>
  <si>
    <t>Waterloo Housing Association Limited</t>
  </si>
  <si>
    <t>GLH4107</t>
  </si>
  <si>
    <t>Waterloo Housing Group Limited</t>
  </si>
  <si>
    <t>GL4495</t>
  </si>
  <si>
    <t>Watford Community Housing Trust</t>
  </si>
  <si>
    <t>L4495</t>
  </si>
  <si>
    <t>L4383</t>
  </si>
  <si>
    <t>WATMOS Community Homes</t>
  </si>
  <si>
    <t>GL4383</t>
  </si>
  <si>
    <t>GL4341</t>
  </si>
  <si>
    <t>Weaver Vale Housing Trust Limited</t>
  </si>
  <si>
    <t>L4341</t>
  </si>
  <si>
    <t>L4509</t>
  </si>
  <si>
    <t>Wellingborough Homes Limited</t>
  </si>
  <si>
    <t>LH4083</t>
  </si>
  <si>
    <t>Westlea Housing Association Limited</t>
  </si>
  <si>
    <t>4826</t>
  </si>
  <si>
    <t>Westward Housing Group Limited</t>
  </si>
  <si>
    <t>G4826</t>
  </si>
  <si>
    <t>L4219</t>
  </si>
  <si>
    <t>Willow Park Housing Trust Limited</t>
  </si>
  <si>
    <t>L4072</t>
  </si>
  <si>
    <t>Windsor and District Housing Association Limited</t>
  </si>
  <si>
    <t>GL4435</t>
  </si>
  <si>
    <t>Wirral Partnership Homes Limited</t>
  </si>
  <si>
    <t>L4435</t>
  </si>
  <si>
    <t>LH4208</t>
  </si>
  <si>
    <t>Worthing Homes Limited</t>
  </si>
  <si>
    <t>LH4264</t>
  </si>
  <si>
    <t>Wyre Forest Community Housing Limited</t>
  </si>
  <si>
    <t>G4755</t>
  </si>
  <si>
    <t>Wythenshawe Community Housing Group Limited</t>
  </si>
  <si>
    <t>GLH4200</t>
  </si>
  <si>
    <t>Yarlington Housing Group</t>
  </si>
  <si>
    <t>LH4200</t>
  </si>
  <si>
    <t>LH4401</t>
  </si>
  <si>
    <t>Yorkshire Coast Homes Limited</t>
  </si>
  <si>
    <t>GL4521</t>
  </si>
  <si>
    <t>Yorkshire Housing Limited</t>
  </si>
  <si>
    <t>L4521</t>
  </si>
  <si>
    <t>GL4203</t>
  </si>
  <si>
    <t>Your Housing Group Limited</t>
  </si>
  <si>
    <t>4717</t>
  </si>
  <si>
    <t>Stonewater (5) Limited</t>
  </si>
  <si>
    <t>Onward Homes Limited</t>
  </si>
  <si>
    <t>07/04/2017</t>
  </si>
  <si>
    <t>G4609</t>
  </si>
  <si>
    <t>Connexus Housing Limited</t>
  </si>
  <si>
    <t>30/03/2017</t>
  </si>
  <si>
    <t>SOCI</t>
  </si>
  <si>
    <t>SOFP</t>
  </si>
  <si>
    <t>Turnover</t>
  </si>
  <si>
    <t>Operating expenditure</t>
  </si>
  <si>
    <t>Cost of sales</t>
  </si>
  <si>
    <t>Operating Surplus/(Deficit)</t>
  </si>
  <si>
    <t>Gain/(Loss) on disposal of fixed assets</t>
  </si>
  <si>
    <t>Gift aid</t>
  </si>
  <si>
    <t>Other items</t>
  </si>
  <si>
    <t>Share of Op Surplus/(Deficit) in JV or Assoc</t>
  </si>
  <si>
    <t>Interest receivable</t>
  </si>
  <si>
    <t>Interest payable &amp; financing costs</t>
  </si>
  <si>
    <t>Movement in fair value - fin. Instruments</t>
  </si>
  <si>
    <t>Surplus/(Deficit) before tax</t>
  </si>
  <si>
    <t>Taxation</t>
  </si>
  <si>
    <t>Surplus/(Deficit) for the period</t>
  </si>
  <si>
    <t>Unrealised Sur/(Def) on reval. Housing Props</t>
  </si>
  <si>
    <t>Actuarial Gain/(Loss) pension schemes</t>
  </si>
  <si>
    <t>Change in fair value of hedged inst</t>
  </si>
  <si>
    <t>Total Comp Income</t>
  </si>
  <si>
    <t>Rents</t>
  </si>
  <si>
    <t>Service charge income</t>
  </si>
  <si>
    <t>Net rental income</t>
  </si>
  <si>
    <t>Amortised gov. grants</t>
  </si>
  <si>
    <t>Gov grants taken to income</t>
  </si>
  <si>
    <t>Other grants</t>
  </si>
  <si>
    <t>Other SHL income</t>
  </si>
  <si>
    <t>Turnover from SHL</t>
  </si>
  <si>
    <t>Management</t>
  </si>
  <si>
    <t>Service charge costs</t>
  </si>
  <si>
    <t>Routine maintenance</t>
  </si>
  <si>
    <t>Planned maintenance</t>
  </si>
  <si>
    <t>Major repairs expenditure</t>
  </si>
  <si>
    <t>Bad debts</t>
  </si>
  <si>
    <t>Depreciation of housing properties</t>
  </si>
  <si>
    <t>Impairment of housing properties</t>
  </si>
  <si>
    <t>Other costs</t>
  </si>
  <si>
    <t>Expenditure on SHL</t>
  </si>
  <si>
    <t>Operating Surplus/(Def) on SHL</t>
  </si>
  <si>
    <t>Housing properties at cost</t>
  </si>
  <si>
    <t>Housing properties at valuation</t>
  </si>
  <si>
    <t>Other tangible fixed assets</t>
  </si>
  <si>
    <t>Intangible fixed assets &amp; goodwill</t>
  </si>
  <si>
    <t>HomeBuy loans receivable</t>
  </si>
  <si>
    <t>Investment properties</t>
  </si>
  <si>
    <t>Investment in Joint Ventures</t>
  </si>
  <si>
    <t>Investment in associates</t>
  </si>
  <si>
    <t>Other investments</t>
  </si>
  <si>
    <t>Total fixed assets</t>
  </si>
  <si>
    <t>Properties held for sale</t>
  </si>
  <si>
    <t>Trade &amp; other debtors</t>
  </si>
  <si>
    <t>Cash &amp; cash equiv.</t>
  </si>
  <si>
    <t>Short term investments</t>
  </si>
  <si>
    <t>Other current assets</t>
  </si>
  <si>
    <t>Total current assets</t>
  </si>
  <si>
    <t>Short term loans</t>
  </si>
  <si>
    <t>Bank overdrafts</t>
  </si>
  <si>
    <t>Deferred capital grant (short term)</t>
  </si>
  <si>
    <t>Other current liabilities</t>
  </si>
  <si>
    <t>Total creditors due within 1 year</t>
  </si>
  <si>
    <t>Net Current Assets/Liabilities</t>
  </si>
  <si>
    <t>Total assets less current liabilities</t>
  </si>
  <si>
    <t>Long term loans</t>
  </si>
  <si>
    <t>Amounts owed to group undertakings</t>
  </si>
  <si>
    <t>Finance lease obligations</t>
  </si>
  <si>
    <t>Deferred capital grant (long term)</t>
  </si>
  <si>
    <t>HomeBuy grant deferred income</t>
  </si>
  <si>
    <t>Other long term creditors</t>
  </si>
  <si>
    <t>Total creditors due after 1 year</t>
  </si>
  <si>
    <t>Pension provision</t>
  </si>
  <si>
    <t>Other provisions</t>
  </si>
  <si>
    <t>Total net assets</t>
  </si>
  <si>
    <t>Income &amp; expenditure reserve</t>
  </si>
  <si>
    <t>Revaluation reserve</t>
  </si>
  <si>
    <t>Restricted reserve</t>
  </si>
  <si>
    <t>Other reserves</t>
  </si>
  <si>
    <t>Total reserves</t>
  </si>
  <si>
    <t>Other social housing activities - 1st Tranche LCHO Sales - Turnover</t>
  </si>
  <si>
    <t>Other social housing activities - 1st Tranche LCHO Sales - Cost of Sales</t>
  </si>
  <si>
    <t>Other social housing activities - 1st Tranche LCHO Sales - Operating Expenditure</t>
  </si>
  <si>
    <t>Other social housing activities - 1st Tranche LCHO Sales - Op. Surplus/(Def.)</t>
  </si>
  <si>
    <t>Other social housing activities - Charges for Support Services - Turnover</t>
  </si>
  <si>
    <t>Other social housing activities - Charges for Support Services - Cost of Sales</t>
  </si>
  <si>
    <t>Other social housing activities - Charges for Support Services - Operating Expenditure</t>
  </si>
  <si>
    <t>Other social housing activities - Charges for Support Services - Op. Surplus/(Def.)</t>
  </si>
  <si>
    <t>Other social housing activities - Other - Turnover</t>
  </si>
  <si>
    <t>Other social housing activities - Other - Cost of Sales</t>
  </si>
  <si>
    <t>Other social housing activities - Other - Operating Costs</t>
  </si>
  <si>
    <t>Other social housing activities - Other - Op. Surplus/(Def.)</t>
  </si>
  <si>
    <t>Total other social housing activities - Turnover</t>
  </si>
  <si>
    <t>Total other social housing activities - Cost of sales</t>
  </si>
  <si>
    <t>Total other social housing activities - Operating expenditure</t>
  </si>
  <si>
    <t>Total other social housing activities - Op. Surplus/{Def.)</t>
  </si>
  <si>
    <t>Non-social housing - Prop. built for sale - Turnover</t>
  </si>
  <si>
    <t>Non-social housing - Prop. built for sale - Cost of sales</t>
  </si>
  <si>
    <t>Non-social housing - Prop. built for sale - Operating expenditure</t>
  </si>
  <si>
    <t>Non-social housing - Prop. built for sale - Op. Surplus/(Def.)</t>
  </si>
  <si>
    <t>Non-social housing - Student accom. - Turnover</t>
  </si>
  <si>
    <t>Non-social housing - Student accom. - Cost of sales</t>
  </si>
  <si>
    <t>Non-social housing - Student accom. - Operating expenditure</t>
  </si>
  <si>
    <t>Non-social housing - Student accom. - Op. Surplus/(Def.)</t>
  </si>
  <si>
    <t>Non-social housing - Nursing homes - Turnover</t>
  </si>
  <si>
    <t>Non-social housing - Nursing homes - Cost of sales</t>
  </si>
  <si>
    <t>Non-social housing - Nursing homes - Operating expenditure</t>
  </si>
  <si>
    <t>Non-social housing - Nursing homes - Op. Surplus/(Def.)</t>
  </si>
  <si>
    <t>Non-social housing - Market rent - Turnover</t>
  </si>
  <si>
    <t>Non-social housing - Market rent - Cost of sales</t>
  </si>
  <si>
    <t>Non-social housing - Market rent - Operating expenditure</t>
  </si>
  <si>
    <t>Non-social housing - Market rent - Op. Surplus/(Def.)</t>
  </si>
  <si>
    <t>Non-social housing - Other - Turnover</t>
  </si>
  <si>
    <t>Non-social housing - Other - Cost of sales</t>
  </si>
  <si>
    <t>Non-social housing - Other - Operating expenditure</t>
  </si>
  <si>
    <t>Non-social housing - Other - Op. Surplus/(Def.)</t>
  </si>
  <si>
    <t>Total non-social housing activity - Turnover</t>
  </si>
  <si>
    <t>Total non-social housing activity - Cost of sales</t>
  </si>
  <si>
    <t>Total non-social housing activity - Operating expenditure</t>
  </si>
  <si>
    <t>Total non-social housing activity - Op. Surplus/(Def.)</t>
  </si>
  <si>
    <t>Total activity other than SHL - Turnover</t>
  </si>
  <si>
    <t>Total activity other than SHL - Cost of sales</t>
  </si>
  <si>
    <t>Total activity other than SHL - Operating expenditure</t>
  </si>
  <si>
    <t>Total activity other than SHL - Op. Surplus/(Def.)</t>
  </si>
  <si>
    <t>Social housing units sold / demolished</t>
  </si>
  <si>
    <t>Closing social housing units managed</t>
  </si>
  <si>
    <t>Gross arrears Current</t>
  </si>
  <si>
    <t>Gross arrears Former</t>
  </si>
  <si>
    <t>Provision for bad/doubtful debts Current</t>
  </si>
  <si>
    <t>Provision for bad/doubtful debts Former</t>
  </si>
  <si>
    <t>Total properties held at start of period</t>
  </si>
  <si>
    <t>Additions</t>
  </si>
  <si>
    <t>Disposals</t>
  </si>
  <si>
    <t>Total properties held at end of period</t>
  </si>
  <si>
    <t>Depreciation &amp; Impairment at start of period</t>
  </si>
  <si>
    <t>Depreciation charged in period</t>
  </si>
  <si>
    <t>Impairment charged in period</t>
  </si>
  <si>
    <t>Revaluation (dep. &amp; imp.)</t>
  </si>
  <si>
    <t>Released on disposal</t>
  </si>
  <si>
    <t>Other Dep. &amp; Imp.</t>
  </si>
  <si>
    <t>Depreciation &amp; Impairment at end of period</t>
  </si>
  <si>
    <t>Net book value at end of period</t>
  </si>
  <si>
    <t>Net book value at start of period</t>
  </si>
  <si>
    <t>Shared ownership staircasing - Proceeds</t>
  </si>
  <si>
    <t>Shared ownership staircasing - Cost of sales</t>
  </si>
  <si>
    <t>Shared ownership staircasing - Surplus</t>
  </si>
  <si>
    <t>Right to Buy - Proceeds</t>
  </si>
  <si>
    <t>Right to Buy - Cost of sales</t>
  </si>
  <si>
    <t>Right to Buy - Surplus</t>
  </si>
  <si>
    <t>Right to Acquire - Proceeds</t>
  </si>
  <si>
    <t>Right to Acquire - Cost of sales</t>
  </si>
  <si>
    <t>Right to Acquire - Surplus</t>
  </si>
  <si>
    <t>Other social housing sales - Proceeds</t>
  </si>
  <si>
    <t>Other social housing sales - Cost of sales</t>
  </si>
  <si>
    <t>Other social housing sales - Surplus</t>
  </si>
  <si>
    <t>Sale to other RPs - Proceeds</t>
  </si>
  <si>
    <t>Sale to other RPs - Cost of sales</t>
  </si>
  <si>
    <t>Sale to other RPs - Surplus</t>
  </si>
  <si>
    <t>Sale of other assets - Proceeds</t>
  </si>
  <si>
    <t>Sale of other assets - Cost of sales</t>
  </si>
  <si>
    <t>Sale of other assets - Surplus</t>
  </si>
  <si>
    <t>Profit/(Loss) on sale of fixed assets - Proceeds</t>
  </si>
  <si>
    <t>Profit/(Loss) on sale of fixed assets - Cost of sales</t>
  </si>
  <si>
    <t>Profit/(Loss) on sale of fixed assets - Surplus</t>
  </si>
  <si>
    <t>Loans to employees</t>
  </si>
  <si>
    <t>Grants receivable</t>
  </si>
  <si>
    <t>Refurbishment obligation</t>
  </si>
  <si>
    <t>Other debtors and prepayments</t>
  </si>
  <si>
    <t>Total other current assets</t>
  </si>
  <si>
    <t>Trade creditors</t>
  </si>
  <si>
    <t>Rent and service charges received in advance</t>
  </si>
  <si>
    <t>Recycled capital grant fund</t>
  </si>
  <si>
    <t>Disposal proceeds fund</t>
  </si>
  <si>
    <t>Accruals and deferred income</t>
  </si>
  <si>
    <t>Obligations under finance leases</t>
  </si>
  <si>
    <t>Short term refurbishment liability</t>
  </si>
  <si>
    <t>Other creditors</t>
  </si>
  <si>
    <t>Total other current liabilities</t>
  </si>
  <si>
    <t>OLTC - Recycled capital grant fund</t>
  </si>
  <si>
    <t>OLTC - Disposal proceeds fund</t>
  </si>
  <si>
    <t>OLTC - Other creditors</t>
  </si>
  <si>
    <t>Total other long term creditors</t>
  </si>
  <si>
    <t>Refurbishment provision</t>
  </si>
  <si>
    <t>Other provisions - other</t>
  </si>
  <si>
    <t>Total other provisions</t>
  </si>
  <si>
    <t>Capitalised major repairs expenditure for period</t>
  </si>
  <si>
    <t>Total depreciation charge for period</t>
  </si>
  <si>
    <t>Total impairment charged/(released) for the period</t>
  </si>
  <si>
    <t>SHL I&amp;E</t>
  </si>
  <si>
    <t>I&amp;E Other</t>
  </si>
  <si>
    <t>Units</t>
  </si>
  <si>
    <t>Rent Collection</t>
  </si>
  <si>
    <t>Fixed Assets - Housing Properties</t>
  </si>
  <si>
    <t>Profit / loss on sale of fixed assets</t>
  </si>
  <si>
    <t>Other Current Assets</t>
  </si>
  <si>
    <t>Other Provisions</t>
  </si>
  <si>
    <t>Notes</t>
  </si>
  <si>
    <t>Movement in fair value - investment properties</t>
  </si>
  <si>
    <t>Other remeasurements</t>
  </si>
  <si>
    <t>Other creditors due within 1 year</t>
  </si>
  <si>
    <t>Non-social housing - Support services - Turnover</t>
  </si>
  <si>
    <t>Non-social housing - Support services - Op. Surplus/(Def.)</t>
  </si>
  <si>
    <t>Non-social housing - Support services - Operating expenditure</t>
  </si>
  <si>
    <t>Non-social housing - Support services - Cost of sales</t>
  </si>
  <si>
    <t>Social housing units acquired or developed</t>
  </si>
  <si>
    <t>Amounts owed by group undertakings (within 1 year)</t>
  </si>
  <si>
    <t>Amount owed to group undertakings (within 1 year)</t>
  </si>
  <si>
    <t>Other social housing activities - Development Services - Turnover</t>
  </si>
  <si>
    <t>Other social housing activities - Development Services - Cost of Sales</t>
  </si>
  <si>
    <t>Other social housing activities - Development Services - Operating Expenditure</t>
  </si>
  <si>
    <t>Other social housing activities - Development Services - Op. Surplus/(Def.)</t>
  </si>
  <si>
    <t>Other social housing activities - Neighbourhood Services - Turnover</t>
  </si>
  <si>
    <t>Other social housing activities - Neighbourhood Services - Cost of Sales</t>
  </si>
  <si>
    <t>Other social housing activities - Neighbourhood Services - Operating Expenditure</t>
  </si>
  <si>
    <t>Other social housing activities - Neighbourhood Services - Op. Surplus/(Def.)</t>
  </si>
  <si>
    <t>Non-social housing units acquired or developed</t>
  </si>
  <si>
    <t>Non-social housing units sold / demolished</t>
  </si>
  <si>
    <t>Non-social housing units transferred and other movements</t>
  </si>
  <si>
    <t>Closing non-social housing units managed</t>
  </si>
  <si>
    <t>Inter-company transfers</t>
  </si>
  <si>
    <t>Inter-company transfers (depn. &amp; imp.)</t>
  </si>
  <si>
    <t>Interest &amp; Financing</t>
  </si>
  <si>
    <t>Interest payable on liabilities</t>
  </si>
  <si>
    <t>Amortisation of loan premiums and arrangement costs</t>
  </si>
  <si>
    <t>Defined benefit pension charges</t>
  </si>
  <si>
    <t>Accruals on DPF and RCGF</t>
  </si>
  <si>
    <t>Other amounts payable</t>
  </si>
  <si>
    <t>Less: interest capitalised in housing properties</t>
  </si>
  <si>
    <t>Total interest payable and financing costs</t>
  </si>
  <si>
    <t>RP_Code</t>
  </si>
  <si>
    <t>RP_Name</t>
  </si>
  <si>
    <t>FYE</t>
  </si>
  <si>
    <t>Cashflow Hedge Reserve</t>
  </si>
  <si>
    <t>Months covered by Accounts</t>
  </si>
  <si>
    <t>Global Accounts 2017</t>
  </si>
  <si>
    <t>Consolidated Data</t>
  </si>
  <si>
    <t>£m</t>
  </si>
  <si>
    <t>£'000</t>
  </si>
  <si>
    <t>£bn</t>
  </si>
  <si>
    <t>Operating surplus/(deficit)</t>
  </si>
  <si>
    <t>Gain/(loss) on disposal of property, plant and equipment (fixed assets)</t>
  </si>
  <si>
    <t>Interest payable and financing costs</t>
  </si>
  <si>
    <t>Movement in valuation of housing properties</t>
  </si>
  <si>
    <t>Surplus / (deficit) before tax</t>
  </si>
  <si>
    <t>Surplus / (deficit) for the period</t>
  </si>
  <si>
    <t>Unrealised surplus /(deficit) on revaluation of housing properties</t>
  </si>
  <si>
    <t>Actuarial (loss) / gain in respect of pension schemes</t>
  </si>
  <si>
    <t>Change in fair value of hedged instruments</t>
  </si>
  <si>
    <t>Total comprehensive income for the period</t>
  </si>
  <si>
    <t>Consolidated</t>
  </si>
  <si>
    <t>Statement of Comprehensive Income (SOCI)</t>
  </si>
  <si>
    <t>Income and Expenditure from Social Housing Lettings (SHL)</t>
  </si>
  <si>
    <t>Income</t>
  </si>
  <si>
    <t>Capital grant released to income</t>
  </si>
  <si>
    <t>Other &amp; revenue grant</t>
  </si>
  <si>
    <t>Expenditure</t>
  </si>
  <si>
    <t>Operating surplus / (deficit) on SHL</t>
  </si>
  <si>
    <t>Statement of Financial Position</t>
  </si>
  <si>
    <t>Fixed assets</t>
  </si>
  <si>
    <t>Tangible fixed assets: Housing properties at cost</t>
  </si>
  <si>
    <t>Tangible fixed assets: Housing properties at valuation</t>
  </si>
  <si>
    <t>Other fixed assets</t>
  </si>
  <si>
    <t>Current assets</t>
  </si>
  <si>
    <t>Trade and other debtors</t>
  </si>
  <si>
    <t>Creditors: amounts falling due within one year</t>
  </si>
  <si>
    <t>Deferred capital grant: due within one year</t>
  </si>
  <si>
    <t>Total creditors: amounts falling due within one year</t>
  </si>
  <si>
    <t>Net current assets/ liabilities</t>
  </si>
  <si>
    <t>Creditors: amounts falling due after more than one year</t>
  </si>
  <si>
    <t>Deferred capital grant: due after more than one year</t>
  </si>
  <si>
    <t>Total creditors: amounts falling due after more than one year</t>
  </si>
  <si>
    <t>Provisions for liabilities</t>
  </si>
  <si>
    <t>Reserves</t>
  </si>
  <si>
    <t>Income and expenditure reserve</t>
  </si>
  <si>
    <t>Revaluation reserves</t>
  </si>
  <si>
    <t>Other Social Activities</t>
  </si>
  <si>
    <t>Expenditure / Cost of sales</t>
  </si>
  <si>
    <t>Surplus</t>
  </si>
  <si>
    <t>Of which first tranche LCHO sales</t>
  </si>
  <si>
    <t>Non-Social Activities</t>
  </si>
  <si>
    <t>Of which properties developed for sale</t>
  </si>
  <si>
    <t>No. units '000s</t>
  </si>
  <si>
    <t>Units developed</t>
  </si>
  <si>
    <t>Units sold / demolished</t>
  </si>
  <si>
    <t>Transfers and other</t>
  </si>
  <si>
    <t>Closing units</t>
  </si>
  <si>
    <t>Social Housing Units Managed</t>
  </si>
  <si>
    <t>Non-social Housing Units Managed</t>
  </si>
  <si>
    <t>Entity Data</t>
  </si>
  <si>
    <t>Amounts owed by group undertakings</t>
  </si>
  <si>
    <t>Fair value of derivative financial instruments - SOFP</t>
  </si>
  <si>
    <t>Fair value of derivative financial instruments - Current Assets</t>
  </si>
  <si>
    <t>Fair value of derivative financial instruments - Current Liabilities</t>
  </si>
  <si>
    <t>Pension deficit contribution liability - current</t>
  </si>
  <si>
    <t>Pension deficit contribution liability - Long Term</t>
  </si>
  <si>
    <t>Contents</t>
  </si>
  <si>
    <t>Financial Statements and Data</t>
  </si>
  <si>
    <t>Introduction</t>
  </si>
  <si>
    <t>Statements</t>
  </si>
  <si>
    <t>Consolidated level data</t>
  </si>
  <si>
    <t>Entity level data</t>
  </si>
  <si>
    <t>Unit Cost Data</t>
  </si>
  <si>
    <t>Consolidated level unit cost data</t>
  </si>
  <si>
    <t>Entity level unit cost data</t>
  </si>
  <si>
    <t>Aggregate Financial Statements and Data</t>
  </si>
  <si>
    <t>The Global Accounts are based on this database of information.</t>
  </si>
  <si>
    <t>The majority of large providers are part of a group structure. Group structures can include multiple registered providers and non-registered entities. The Global Accounts publication considers providers’ accounts on both a registered entity (entity level) and group consolidated basis (consolidated level). Both datasets are included in this file.</t>
  </si>
  <si>
    <t>Statement of Financial Position (SOFP)</t>
  </si>
  <si>
    <t>Unit numbers</t>
  </si>
  <si>
    <t>This database contains data from the annual account regulatory returns (FVAs) which are completed by registered providers (RPs) and is derived from their audited financial statements. The database includes RPs managing 1,000 units in financial periods ending between 1 April 2016 and 31 March 2017.</t>
  </si>
  <si>
    <t xml:space="preserve">The information received in the FVA is simply added to produce the aggregate statements of comprehensive income and financial position for the sector as at 31 March 2017. </t>
  </si>
  <si>
    <t>Presents the aggregate turnover, surplus and comprehensive income of consolidated groups and entities for all accounting periods ending between 1 April 2016 and 31 March 2017.</t>
  </si>
  <si>
    <t xml:space="preserve">The aggregate income and expenditure relating solely to social housing activity for all accounting periods ending between 1 April 2016 and 31 March 2017. </t>
  </si>
  <si>
    <t>The aggregate statement of financial position presents the sum of individual group and entity balance sheets whose financial year ends fall within the period from 1 April 2016 to 1 March 2017.</t>
  </si>
  <si>
    <t>The unit numbers are the total units managed as reported in the FVA return and should therefore reflect the units as published in providers' financial statements.</t>
  </si>
  <si>
    <t>The total number of homes included in the financial statements (FVA) will differ from the total reported in the Statistical Data Return (SDR).  The SDR data is based on the total number of homes owned whereas the FVA is based on the total number of homes managed by the sector. Differences arise between the SDR and FVA datasets due to different definitions. For example whereas a unit is included as managed per the SDR if the association has a lease for less than 21 years, for accounting purposes homes in management would include those homes where the association takes the risks and rewards associated with the property.</t>
  </si>
  <si>
    <t>Global Accounts 2017 and Unit Cost Data</t>
  </si>
  <si>
    <t>Revaluation and Other</t>
  </si>
  <si>
    <t>Units in Management - Social</t>
  </si>
  <si>
    <t>Units in Management - Non-Social</t>
  </si>
  <si>
    <t>Reversal of previous decrease in val. housing props.</t>
  </si>
  <si>
    <t>Properties held at cost (opening)</t>
  </si>
  <si>
    <t>Properties held at valuation (opening)</t>
  </si>
  <si>
    <t>[Breakdown]</t>
  </si>
  <si>
    <t>Data sources and notes</t>
  </si>
  <si>
    <t>Transfer treated as acquisition (#)</t>
  </si>
  <si>
    <t>Dataset notes</t>
  </si>
  <si>
    <t>Social housing units transferred and other movements (~)</t>
  </si>
  <si>
    <t>Transfers and other (~)</t>
  </si>
  <si>
    <t>Gift aid and other items</t>
  </si>
  <si>
    <t>Movements in fair value</t>
  </si>
  <si>
    <r>
      <t xml:space="preserve">(#) </t>
    </r>
    <r>
      <rPr>
        <b/>
        <sz val="11"/>
        <rFont val="Arial"/>
        <family val="2"/>
      </rPr>
      <t>Fixed Assets - Housing Properties data adjustment.</t>
    </r>
    <r>
      <rPr>
        <sz val="11"/>
        <rFont val="Arial"/>
        <family val="2"/>
      </rPr>
      <t xml:space="preserve"> Column EW in the datasets relates to stock transferred from another RP where the acquisition method of accounting has been used for a business combination (merger). In FVA submissions the amounts were included as properties acquired in the 'additions' section of the fixed asset - housing properties note.</t>
    </r>
  </si>
  <si>
    <t>Cash and short term investments</t>
  </si>
  <si>
    <t xml:space="preserve"> </t>
  </si>
  <si>
    <t>The raw data taken from the Global Accounts Consolidated Group Data tab is contained in columns with purple headers below. To view the raw cost data either select the '+' signs above or select "2" in the top left hand corner (above cell A1), to hide the raw data select the minus signs or "1" in the top left hand corner.</t>
  </si>
  <si>
    <t>Consolidated Group Unit Cost Data</t>
  </si>
  <si>
    <t>Units managed</t>
  </si>
  <si>
    <t>Headline Social Housing Cost (£K)</t>
  </si>
  <si>
    <t>Cost Subcategories (£K)</t>
  </si>
  <si>
    <t>% social housing owned or managed by type (SDR)</t>
  </si>
  <si>
    <t>Provider type</t>
  </si>
  <si>
    <t>Region of operation (SDR)</t>
  </si>
  <si>
    <t>Headline Social Housing Cost</t>
  </si>
  <si>
    <t>Headline Social Housing Costs per Unit</t>
  </si>
  <si>
    <t>Management CPU</t>
  </si>
  <si>
    <t>Service Charge CPU</t>
  </si>
  <si>
    <t>Maintenance CPU</t>
  </si>
  <si>
    <t>Major Repairs CPU</t>
  </si>
  <si>
    <t>% Supported housing (excl. HOP)</t>
  </si>
  <si>
    <t>% Housing for older people</t>
  </si>
  <si>
    <t xml:space="preserve">Type </t>
  </si>
  <si>
    <t>Date of largest transfer</t>
  </si>
  <si>
    <t>LSVT age</t>
  </si>
  <si>
    <t>Region with 50%+ of social stock owned</t>
  </si>
  <si>
    <t>ASHE regional wage index (England = 1)</t>
  </si>
  <si>
    <t>L4240</t>
  </si>
  <si>
    <t>L4511</t>
  </si>
  <si>
    <t>LH4345</t>
  </si>
  <si>
    <t>L4523</t>
  </si>
  <si>
    <t>L4393</t>
  </si>
  <si>
    <t>L4512</t>
  </si>
  <si>
    <t>L4449</t>
  </si>
  <si>
    <t>LH4087</t>
  </si>
  <si>
    <t>L4494</t>
  </si>
  <si>
    <t>LH4336</t>
  </si>
  <si>
    <t>L4530</t>
  </si>
  <si>
    <t>L4502</t>
  </si>
  <si>
    <t>L4518</t>
  </si>
  <si>
    <t>L4465</t>
  </si>
  <si>
    <t>L4363</t>
  </si>
  <si>
    <t>L4436</t>
  </si>
  <si>
    <t>L4277</t>
  </si>
  <si>
    <t>L4398</t>
  </si>
  <si>
    <t>LH4265</t>
  </si>
  <si>
    <t>L4468</t>
  </si>
  <si>
    <t>L4422</t>
  </si>
  <si>
    <t>L4215</t>
  </si>
  <si>
    <t>L4236</t>
  </si>
  <si>
    <t>L4355</t>
  </si>
  <si>
    <t>LH4189</t>
  </si>
  <si>
    <t>L4172</t>
  </si>
  <si>
    <t>L4404</t>
  </si>
  <si>
    <t>L4437</t>
  </si>
  <si>
    <t>L4491</t>
  </si>
  <si>
    <t>L4424</t>
  </si>
  <si>
    <t>L4522</t>
  </si>
  <si>
    <t>L4464</t>
  </si>
  <si>
    <t>LH4107</t>
  </si>
  <si>
    <t>L4185</t>
  </si>
  <si>
    <t>L4203</t>
  </si>
  <si>
    <t>Traditional</t>
  </si>
  <si>
    <t>LSVT</t>
  </si>
  <si>
    <t>Mixed</t>
  </si>
  <si>
    <t>South East</t>
  </si>
  <si>
    <t>West Midlands</t>
  </si>
  <si>
    <t>East Midlands</t>
  </si>
  <si>
    <t>North West</t>
  </si>
  <si>
    <t>East of England</t>
  </si>
  <si>
    <t>Yorkshire &amp; the Humber</t>
  </si>
  <si>
    <t>South West</t>
  </si>
  <si>
    <t>North East</t>
  </si>
  <si>
    <t>London</t>
  </si>
  <si>
    <t>&gt; 12 Years</t>
  </si>
  <si>
    <t>&lt; 7 Years</t>
  </si>
  <si>
    <t>The raw data taken from the Global Accounts Entity Data tab is contained in columns with purple headers below. To view the raw cost data either select the '+' signs above or select "2" in the top left hand corner (above cell A1), to hide the raw data select the minus signs or "1" in the top left hand corner.</t>
  </si>
  <si>
    <t>Entity Unit Cost Data</t>
  </si>
  <si>
    <t>Group reference (SDR)</t>
  </si>
  <si>
    <t>Group code</t>
  </si>
  <si>
    <t>Group name</t>
  </si>
  <si>
    <t>None Owned</t>
  </si>
  <si>
    <t>Islington and Shoreditch Housing Association Limited</t>
  </si>
  <si>
    <t>Phoenix Community Housing Association (Bellingham and Downham) Limited</t>
  </si>
  <si>
    <t>The Christian Action (Enfield) Housing Association Limited</t>
  </si>
  <si>
    <t/>
  </si>
  <si>
    <t>7-12 Years</t>
  </si>
  <si>
    <t>No Data Available</t>
  </si>
  <si>
    <t>Sources &amp; notes on supplementary unit cost data</t>
  </si>
  <si>
    <t>Unit cost measures
(CPU, cost per unit; drawn exclusively from Global Accounts data)</t>
  </si>
  <si>
    <t>The unit cost measures are derived using Global Accounts data and are defined in the following way:</t>
  </si>
  <si>
    <r>
      <rPr>
        <b/>
        <sz val="10"/>
        <color theme="1"/>
        <rFont val="Arial"/>
        <family val="2"/>
      </rPr>
      <t>Management CPU</t>
    </r>
    <r>
      <rPr>
        <sz val="11"/>
        <color theme="1"/>
        <rFont val="Arial"/>
        <family val="2"/>
        <scheme val="minor"/>
      </rPr>
      <t xml:space="preserve"> = Management / Closing social housing units managed</t>
    </r>
  </si>
  <si>
    <r>
      <rPr>
        <b/>
        <sz val="10"/>
        <color theme="1"/>
        <rFont val="Arial"/>
        <family val="2"/>
      </rPr>
      <t>Service Charge CPU</t>
    </r>
    <r>
      <rPr>
        <sz val="11"/>
        <color theme="1"/>
        <rFont val="Arial"/>
        <family val="2"/>
        <scheme val="minor"/>
      </rPr>
      <t xml:space="preserve"> = Service charge costs / Closing social housing units managed</t>
    </r>
  </si>
  <si>
    <r>
      <rPr>
        <b/>
        <sz val="10"/>
        <color theme="1"/>
        <rFont val="Arial"/>
        <family val="2"/>
      </rPr>
      <t>Maintenance CPU</t>
    </r>
    <r>
      <rPr>
        <sz val="11"/>
        <color theme="1"/>
        <rFont val="Arial"/>
        <family val="2"/>
        <scheme val="minor"/>
      </rPr>
      <t xml:space="preserve"> = (Routine maintenance + Planned maintenance) / Closing social housing units managed</t>
    </r>
  </si>
  <si>
    <r>
      <rPr>
        <b/>
        <sz val="10"/>
        <color theme="1"/>
        <rFont val="Arial"/>
        <family val="2"/>
      </rPr>
      <t>Major Repairs CPU</t>
    </r>
    <r>
      <rPr>
        <sz val="11"/>
        <color theme="1"/>
        <rFont val="Arial"/>
        <family val="2"/>
        <scheme val="minor"/>
      </rPr>
      <t xml:space="preserve"> = (Major repairs expenditure + Capitalised major repairs expenditure for period) / Closing social housing units managed</t>
    </r>
  </si>
  <si>
    <t>Supplementary Information</t>
  </si>
  <si>
    <t>Supplementary information has been detailed in areas which have been shown to be key cost drivers.</t>
  </si>
  <si>
    <t>Tenure</t>
  </si>
  <si>
    <r>
      <t xml:space="preserve">Entity Level: </t>
    </r>
    <r>
      <rPr>
        <sz val="11"/>
        <color theme="1"/>
        <rFont val="Arial"/>
        <family val="2"/>
        <scheme val="minor"/>
      </rPr>
      <t xml:space="preserve">An entity has been defined as an LSVT if the total number of units transferred into the entity accounts for over 50% of their current social stock; otherwise they have been defined as Traditional. </t>
    </r>
  </si>
  <si>
    <r>
      <t xml:space="preserve">Consolidated Level: </t>
    </r>
    <r>
      <rPr>
        <sz val="11"/>
        <color theme="1"/>
        <rFont val="Arial"/>
        <family val="2"/>
        <scheme val="minor"/>
      </rPr>
      <t>A group has been defined as LSVT if all the constituent entities (that have completed an FVA) are LSVTs, Traditional if none of the entities are classified as LSVT and Mixed if the group includes both LSVT and Traditional entities.</t>
    </r>
  </si>
  <si>
    <r>
      <rPr>
        <b/>
        <sz val="10"/>
        <color theme="1"/>
        <rFont val="Arial"/>
        <family val="2"/>
      </rPr>
      <t>Date of Largest Transfer</t>
    </r>
    <r>
      <rPr>
        <sz val="11"/>
        <color theme="1"/>
        <rFont val="Arial"/>
        <family val="2"/>
        <scheme val="minor"/>
      </rPr>
      <t>: For entities defined as LSVT and groups defined as LSVT or Mixed. Where there has been more than one transfer into an entity it gives the date of the largest transfer, by tenanted stock, following HCA records of stock transfers.</t>
    </r>
  </si>
  <si>
    <r>
      <rPr>
        <b/>
        <sz val="10"/>
        <color theme="1"/>
        <rFont val="Arial"/>
        <family val="2"/>
      </rPr>
      <t>LSVT Age</t>
    </r>
    <r>
      <rPr>
        <sz val="11"/>
        <color theme="1"/>
        <rFont val="Arial"/>
        <family val="2"/>
        <scheme val="minor"/>
      </rPr>
      <t>: Uses the date of the largest transfer to band LSVT entities by age, as used in the unit cost analysis. The three bands used are &lt; 7 years, 7-12 years &amp; &gt; 12 years</t>
    </r>
  </si>
  <si>
    <t>Region</t>
  </si>
  <si>
    <r>
      <rPr>
        <b/>
        <sz val="10"/>
        <color theme="1"/>
        <rFont val="Arial"/>
        <family val="2"/>
      </rPr>
      <t>Headline Social Housing Cost CPU</t>
    </r>
    <r>
      <rPr>
        <sz val="11"/>
        <color theme="1"/>
        <rFont val="Arial"/>
        <family val="2"/>
        <scheme val="minor"/>
      </rPr>
      <t xml:space="preserve">  = (Management + Service charge costs + Routine maintenance + Planned maintenance + Major repairs expenditure + Capitalised major repairs expenditure for period + Other (SHL) costs + Other social housing activities: Other (Operating Costs) + Other social housing activities: Charges for Support Services (Operating Expenditure)+Other social housing activities Development Services (Operating Expenditure) + Other social housing activities Neighbourhood Services (Operating Expenditure)) / Closing social housing units managed</t>
    </r>
  </si>
  <si>
    <r>
      <rPr>
        <b/>
        <sz val="10"/>
        <color theme="1"/>
        <rFont val="Arial"/>
        <family val="2"/>
      </rPr>
      <t>Other Social Housing Costs CPU</t>
    </r>
    <r>
      <rPr>
        <sz val="11"/>
        <color theme="1"/>
        <rFont val="Arial"/>
        <family val="2"/>
        <scheme val="minor"/>
      </rPr>
      <t xml:space="preserve"> = (Other (SHL) costs + Other social housing activities: Other (Operating Costs) + Other social housing activities: Charges for Support Services (Operating Expenditure)+Other social housing activities Development Services (Operating Expenditure) + Other social housing activities Neighbourhood Services (Operating Expenditure)) / Closing social housing units managed</t>
    </r>
  </si>
  <si>
    <r>
      <rPr>
        <b/>
        <sz val="10"/>
        <color theme="1"/>
        <rFont val="Arial"/>
        <family val="2"/>
      </rPr>
      <t>% Supported Housing (Excl HOP)</t>
    </r>
    <r>
      <rPr>
        <sz val="11"/>
        <color theme="1"/>
        <rFont val="Arial"/>
        <family val="2"/>
        <scheme val="minor"/>
      </rPr>
      <t>: Number of Supported Housing, excluding HOP, units owned or managed divided by the Total Number of Social Housing units owned or managed, as reported in the 2017 SDR.</t>
    </r>
  </si>
  <si>
    <r>
      <rPr>
        <b/>
        <sz val="10"/>
        <color theme="1"/>
        <rFont val="Arial"/>
        <family val="2"/>
      </rPr>
      <t>% Housing for Older People:</t>
    </r>
    <r>
      <rPr>
        <sz val="11"/>
        <color theme="1"/>
        <rFont val="Arial"/>
        <family val="2"/>
        <scheme val="minor"/>
      </rPr>
      <t xml:space="preserve"> Number of Housing for Older People, including Care Home, units owned or managed divided by the Total Number of Social Housing units owned or managed, as reported in the 2017 SDR.</t>
    </r>
  </si>
  <si>
    <r>
      <rPr>
        <b/>
        <sz val="10"/>
        <color theme="1"/>
        <rFont val="Arial"/>
        <family val="2"/>
      </rPr>
      <t>Region with 50%+ of social stock owned:</t>
    </r>
    <r>
      <rPr>
        <sz val="11"/>
        <color theme="1"/>
        <rFont val="Arial"/>
        <family val="2"/>
        <scheme val="minor"/>
      </rPr>
      <t xml:space="preserve"> Defined as the region where the provider hold more than 50% of its owned Social Housing stock as reported in the 2017 SDR; if no such region exists then the provider is defined as "Mixed". </t>
    </r>
  </si>
  <si>
    <r>
      <rPr>
        <b/>
        <sz val="10"/>
        <color theme="1"/>
        <rFont val="Arial"/>
        <family val="2"/>
      </rPr>
      <t>ASHE Regional Wage Index (England = 1)</t>
    </r>
    <r>
      <rPr>
        <sz val="11"/>
        <color theme="1"/>
        <rFont val="Arial"/>
        <family val="2"/>
        <scheme val="minor"/>
      </rPr>
      <t xml:space="preserve">: An index calculated using data on relative regional administrative and construction sector earnings Annual Survey of Hours and Earnings (ASHE) for 2017 and information on Social Housing units owned by region as reported in the SDR. The England average is 1. </t>
    </r>
  </si>
  <si>
    <t>Median CPU</t>
  </si>
  <si>
    <t>Lower Quartile CPU</t>
  </si>
  <si>
    <t>Upper Quartile CPU</t>
  </si>
  <si>
    <t>Headline Social Housing CPU</t>
  </si>
  <si>
    <t>Other Social Housing CPU</t>
  </si>
  <si>
    <t>Mean CPU (weighted average)</t>
  </si>
  <si>
    <t>Consolidated Group Level</t>
  </si>
  <si>
    <t>Entity Level</t>
  </si>
  <si>
    <t>Overview of unit costs at consolidated group and entity level</t>
  </si>
  <si>
    <t>Unit Cost Summary</t>
  </si>
  <si>
    <r>
      <rPr>
        <b/>
        <sz val="11"/>
        <rFont val="Arial"/>
        <family val="2"/>
      </rPr>
      <t>(~) Units in Management - Social housing units transferred and other movements</t>
    </r>
    <r>
      <rPr>
        <sz val="11"/>
        <rFont val="Arial"/>
        <family val="2"/>
      </rPr>
      <t>. Column HS in the dataset relates to units transferred and other movements as submitted in FVA returns by providers. Where the acquisition method of accounting has been used for a business combination (merger), the transferring units not included in opening units, are included here.  This differs from 'transfers and dataset adjustments' shown in table 23 of the Global Accounts publication. The figure shown in the Global accounts also includes the difference between the closing units reported in 2016 and the opening units reported in 2017.</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</si>
</sst>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quot;£&quot;* #,##0.00_-;_-&quot;£&quot;* &quot;-&quot;??_-;_-@_-"/>
    <numFmt numFmtId="43" formatCode="_-* #,##0.00_-;\-* #,##0.00_-;_-* &quot;-&quot;??_-;_-@_-"/>
    <numFmt numFmtId="164" formatCode="#,##0;[Red]\(#,##0\)"/>
    <numFmt numFmtId="165" formatCode="#,##0.0;[Red]\(#,##0.0\)"/>
    <numFmt numFmtId="166" formatCode="#,##0;[Red]#,##0"/>
    <numFmt numFmtId="167" formatCode="yyyy"/>
  </numFmts>
  <fonts count="49" x14ac:knownFonts="1">
    <font>
      <sz val="11"/>
      <color theme="1"/>
      <name val="Arial"/>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sz val="11"/>
      <color indexed="8"/>
      <name val="Calibri"/>
      <family val="2"/>
    </font>
    <font>
      <sz val="10"/>
      <name val="Verdana"/>
      <family val="2"/>
    </font>
    <font>
      <sz val="11"/>
      <color theme="1"/>
      <name val="Arial"/>
      <family val="2"/>
      <scheme val="minor"/>
    </font>
    <font>
      <u/>
      <sz val="11"/>
      <color theme="10"/>
      <name val="Arial"/>
      <family val="2"/>
      <scheme val="minor"/>
    </font>
    <font>
      <b/>
      <i/>
      <sz val="11"/>
      <color theme="1"/>
      <name val="Arial"/>
      <family val="2"/>
    </font>
    <font>
      <b/>
      <sz val="10"/>
      <color theme="1"/>
      <name val="Arial"/>
      <family val="2"/>
    </font>
    <font>
      <sz val="11"/>
      <color theme="1"/>
      <name val="Arial"/>
      <family val="2"/>
    </font>
    <font>
      <b/>
      <sz val="18"/>
      <color theme="1"/>
      <name val="Arial"/>
      <family val="2"/>
    </font>
    <font>
      <b/>
      <sz val="14"/>
      <color theme="1"/>
      <name val="Arial"/>
      <family val="2"/>
    </font>
    <font>
      <b/>
      <sz val="11"/>
      <color theme="1"/>
      <name val="Arial"/>
      <family val="2"/>
    </font>
    <font>
      <b/>
      <i/>
      <sz val="10"/>
      <color theme="1"/>
      <name val="Arial"/>
      <family val="2"/>
    </font>
    <font>
      <b/>
      <sz val="22"/>
      <color theme="1"/>
      <name val="Arial"/>
      <family val="2"/>
    </font>
    <font>
      <sz val="10"/>
      <color rgb="FF9C0006"/>
      <name val="Arial"/>
      <family val="2"/>
    </font>
    <font>
      <sz val="10"/>
      <color theme="0"/>
      <name val="Arial"/>
      <family val="2"/>
    </font>
    <font>
      <sz val="12"/>
      <color theme="1"/>
      <name val="Arial"/>
      <family val="2"/>
    </font>
    <font>
      <b/>
      <u/>
      <sz val="16"/>
      <color theme="1"/>
      <name val="Arial"/>
      <family val="2"/>
    </font>
    <font>
      <u/>
      <sz val="12"/>
      <color theme="10"/>
      <name val="Arial"/>
      <family val="2"/>
    </font>
    <font>
      <sz val="10"/>
      <name val="MS Sans Serif"/>
      <family val="2"/>
    </font>
    <font>
      <b/>
      <sz val="26"/>
      <name val="Arial"/>
      <family val="2"/>
    </font>
    <font>
      <sz val="11"/>
      <name val="Arial"/>
      <family val="2"/>
    </font>
    <font>
      <sz val="24"/>
      <name val="Arial"/>
      <family val="2"/>
    </font>
    <font>
      <b/>
      <sz val="12"/>
      <name val="Arial"/>
      <family val="2"/>
    </font>
    <font>
      <b/>
      <sz val="11"/>
      <name val="Arial"/>
      <family val="2"/>
    </font>
    <font>
      <u/>
      <sz val="11"/>
      <color theme="11"/>
      <name val="Arial"/>
      <family val="2"/>
      <scheme val="minor"/>
    </font>
    <font>
      <u/>
      <sz val="11"/>
      <color theme="10"/>
      <name val="Arial"/>
      <family val="2"/>
    </font>
    <font>
      <b/>
      <sz val="12"/>
      <color theme="1"/>
      <name val="Arial"/>
      <family val="2"/>
    </font>
    <font>
      <u/>
      <sz val="10"/>
      <color theme="10"/>
      <name val="Arial"/>
      <family val="2"/>
    </font>
    <font>
      <sz val="9"/>
      <color rgb="FF000000"/>
      <name val="Arial"/>
      <family val="2"/>
    </font>
    <font>
      <b/>
      <i/>
      <sz val="11"/>
      <color rgb="FF000000"/>
      <name val="Arial"/>
      <family val="2"/>
    </font>
    <font>
      <sz val="10"/>
      <color theme="1"/>
      <name val="Arial"/>
      <family val="2"/>
      <scheme val="minor"/>
    </font>
    <font>
      <sz val="9"/>
      <color theme="0"/>
      <name val="Arial"/>
      <family val="2"/>
    </font>
    <font>
      <sz val="11"/>
      <name val="Arial"/>
      <family val="2"/>
      <scheme val="minor"/>
    </font>
    <font>
      <b/>
      <sz val="11"/>
      <color theme="1"/>
      <name val="Arial"/>
      <family val="2"/>
      <scheme val="minor"/>
    </font>
    <font>
      <b/>
      <sz val="10"/>
      <color theme="1"/>
      <name val="Arial"/>
      <family val="2"/>
      <scheme val="minor"/>
    </font>
    <font>
      <sz val="11"/>
      <color theme="0"/>
      <name val="Arial"/>
      <family val="2"/>
      <scheme val="minor"/>
    </font>
    <font>
      <b/>
      <sz val="18"/>
      <color theme="1"/>
      <name val="Arial"/>
      <family val="2"/>
      <scheme val="minor"/>
    </font>
    <font>
      <b/>
      <sz val="22"/>
      <color rgb="FF000000"/>
      <name val="Arial"/>
      <family val="2"/>
    </font>
    <font>
      <b/>
      <sz val="16"/>
      <color theme="1"/>
      <name val="Arial"/>
      <family val="2"/>
    </font>
    <font>
      <b/>
      <sz val="16"/>
      <color rgb="FF000000"/>
      <name val="Arial"/>
      <family val="2"/>
    </font>
  </fonts>
  <fills count="13">
    <fill>
      <patternFill patternType="none"/>
    </fill>
    <fill>
      <patternFill patternType="gray125"/>
    </fill>
    <fill>
      <patternFill patternType="solid">
        <fgColor rgb="FFFFC7CE"/>
      </patternFill>
    </fill>
    <fill>
      <patternFill patternType="solid">
        <fgColor rgb="FFFFFFCC"/>
      </patternFill>
    </fill>
    <fill>
      <patternFill patternType="solid">
        <fgColor theme="5"/>
      </patternFill>
    </fill>
    <fill>
      <patternFill patternType="solid">
        <fgColor theme="4" tint="0.59999389629810485"/>
        <bgColor indexed="64"/>
      </patternFill>
    </fill>
    <fill>
      <patternFill patternType="solid">
        <fgColor theme="5" tint="0.59999389629810485"/>
        <bgColor indexed="64"/>
      </patternFill>
    </fill>
    <fill>
      <patternFill patternType="solid">
        <fgColor rgb="FFEEEDF4"/>
        <bgColor theme="0"/>
      </patternFill>
    </fill>
    <fill>
      <patternFill patternType="solid">
        <fgColor rgb="FFECF3F3"/>
        <bgColor theme="0"/>
      </patternFill>
    </fill>
    <fill>
      <patternFill patternType="solid">
        <fgColor rgb="FF7030A0"/>
        <bgColor indexed="64"/>
      </patternFill>
    </fill>
    <fill>
      <patternFill patternType="solid">
        <fgColor rgb="FF3C8A8A"/>
        <bgColor indexed="64"/>
      </patternFill>
    </fill>
    <fill>
      <patternFill patternType="solid">
        <fgColor rgb="FF3C8A8A"/>
        <bgColor rgb="FF000000"/>
      </patternFill>
    </fill>
    <fill>
      <patternFill patternType="solid">
        <fgColor theme="4"/>
        <bgColor indexed="64"/>
      </patternFill>
    </fill>
  </fills>
  <borders count="39">
    <border>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auto="1"/>
      </left>
      <right style="hair">
        <color auto="1"/>
      </right>
      <top style="hair">
        <color auto="1"/>
      </top>
      <bottom style="hair">
        <color auto="1"/>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dashed">
        <color auto="1"/>
      </left>
      <right style="dashed">
        <color auto="1"/>
      </right>
      <top style="dashed">
        <color auto="1"/>
      </top>
      <bottom style="dashed">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right/>
      <top style="dashed">
        <color auto="1"/>
      </top>
      <bottom style="dashed">
        <color auto="1"/>
      </bottom>
      <diagonal/>
    </border>
    <border>
      <left style="hair">
        <color auto="1"/>
      </left>
      <right/>
      <top/>
      <bottom/>
      <diagonal/>
    </border>
    <border>
      <left style="hair">
        <color auto="1"/>
      </left>
      <right style="hair">
        <color auto="1"/>
      </right>
      <top style="hair">
        <color auto="1"/>
      </top>
      <bottom/>
      <diagonal/>
    </border>
    <border>
      <left style="hair">
        <color auto="1"/>
      </left>
      <right style="hair">
        <color auto="1"/>
      </right>
      <top/>
      <bottom style="dashed">
        <color auto="1"/>
      </bottom>
      <diagonal/>
    </border>
    <border>
      <left style="hair">
        <color auto="1"/>
      </left>
      <right/>
      <top style="dashed">
        <color auto="1"/>
      </top>
      <bottom/>
      <diagonal/>
    </border>
    <border>
      <left/>
      <right/>
      <top style="dashed">
        <color auto="1"/>
      </top>
      <bottom/>
      <diagonal/>
    </border>
    <border>
      <left style="hair">
        <color auto="1"/>
      </left>
      <right style="hair">
        <color auto="1"/>
      </right>
      <top style="dashed">
        <color auto="1"/>
      </top>
      <bottom/>
      <diagonal/>
    </border>
    <border>
      <left style="hair">
        <color auto="1"/>
      </left>
      <right/>
      <top style="hair">
        <color auto="1"/>
      </top>
      <bottom/>
      <diagonal/>
    </border>
    <border>
      <left style="hair">
        <color auto="1"/>
      </left>
      <right/>
      <top style="hair">
        <color auto="1"/>
      </top>
      <bottom style="hair">
        <color auto="1"/>
      </bottom>
      <diagonal/>
    </border>
    <border>
      <left/>
      <right/>
      <top style="hair">
        <color auto="1"/>
      </top>
      <bottom/>
      <diagonal/>
    </border>
    <border>
      <left/>
      <right/>
      <top style="hair">
        <color auto="1"/>
      </top>
      <bottom style="hair">
        <color auto="1"/>
      </bottom>
      <diagonal/>
    </border>
    <border>
      <left style="hair">
        <color auto="1"/>
      </left>
      <right style="hair">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dashed">
        <color auto="1"/>
      </left>
      <right/>
      <top style="thin">
        <color indexed="64"/>
      </top>
      <bottom style="dashed">
        <color auto="1"/>
      </bottom>
      <diagonal/>
    </border>
    <border>
      <left/>
      <right/>
      <top style="thin">
        <color indexed="64"/>
      </top>
      <bottom style="dashed">
        <color auto="1"/>
      </bottom>
      <diagonal/>
    </border>
    <border>
      <left/>
      <right style="dashed">
        <color auto="1"/>
      </right>
      <top style="thin">
        <color indexed="64"/>
      </top>
      <bottom style="dashed">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14">
    <xf numFmtId="0" fontId="0" fillId="0" borderId="0"/>
    <xf numFmtId="43" fontId="10"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 fillId="0" borderId="0"/>
    <xf numFmtId="0" fontId="9" fillId="0" borderId="0"/>
    <xf numFmtId="0" fontId="11" fillId="0" borderId="0"/>
    <xf numFmtId="0" fontId="9" fillId="0" borderId="0"/>
    <xf numFmtId="9" fontId="9" fillId="0" borderId="0" applyFont="0" applyFill="0" applyBorder="0" applyAlignment="0" applyProtection="0"/>
    <xf numFmtId="9" fontId="10" fillId="0" borderId="0" applyFont="0" applyFill="0" applyBorder="0" applyAlignment="0" applyProtection="0"/>
    <xf numFmtId="0" fontId="8" fillId="0" borderId="0"/>
    <xf numFmtId="0" fontId="13" fillId="0" borderId="0" applyNumberFormat="0" applyFill="0" applyBorder="0" applyAlignment="0" applyProtection="0"/>
    <xf numFmtId="0" fontId="12" fillId="0" borderId="0"/>
    <xf numFmtId="0" fontId="11" fillId="0" borderId="0"/>
    <xf numFmtId="0" fontId="9" fillId="0" borderId="0"/>
    <xf numFmtId="0" fontId="11" fillId="0" borderId="0"/>
    <xf numFmtId="0" fontId="12" fillId="0" borderId="0"/>
    <xf numFmtId="0" fontId="5" fillId="0" borderId="0"/>
    <xf numFmtId="0" fontId="34" fillId="0" borderId="0" applyNumberForma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3" fillId="4" borderId="0" applyNumberFormat="0" applyBorder="0" applyAlignment="0" applyProtection="0"/>
    <xf numFmtId="0" fontId="22" fillId="2" borderId="0" applyNumberFormat="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9" fillId="0" borderId="0" applyFont="0" applyFill="0" applyBorder="0" applyAlignment="0" applyProtection="0"/>
    <xf numFmtId="0" fontId="26" fillId="0" borderId="0" applyNumberFormat="0" applyFill="0" applyBorder="0" applyAlignment="0" applyProtection="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9" fillId="0" borderId="0"/>
    <xf numFmtId="0" fontId="9" fillId="0" borderId="0"/>
    <xf numFmtId="0" fontId="12" fillId="0" borderId="0"/>
    <xf numFmtId="0" fontId="11" fillId="0" borderId="0"/>
    <xf numFmtId="0" fontId="27" fillId="0" borderId="0"/>
    <xf numFmtId="0" fontId="12" fillId="0" borderId="0"/>
    <xf numFmtId="0" fontId="12" fillId="0" borderId="0"/>
    <xf numFmtId="0" fontId="5" fillId="0" borderId="0"/>
    <xf numFmtId="0" fontId="9"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12" fillId="0" borderId="0"/>
    <xf numFmtId="0" fontId="27"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24" fillId="0" borderId="0"/>
    <xf numFmtId="0" fontId="5" fillId="0" borderId="0"/>
    <xf numFmtId="0" fontId="9" fillId="0" borderId="0"/>
    <xf numFmtId="0" fontId="24" fillId="0" borderId="0"/>
    <xf numFmtId="0" fontId="24" fillId="0" borderId="0"/>
    <xf numFmtId="0" fontId="24" fillId="0" borderId="0"/>
    <xf numFmtId="0" fontId="24"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3" borderId="13" applyNumberFormat="0" applyFont="0" applyAlignment="0" applyProtection="0"/>
    <xf numFmtId="0" fontId="5" fillId="3" borderId="13"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 fillId="0" borderId="0"/>
    <xf numFmtId="0" fontId="9" fillId="0" borderId="0"/>
    <xf numFmtId="0" fontId="33" fillId="0" borderId="0" applyNumberFormat="0" applyFill="0" applyBorder="0" applyAlignment="0" applyProtection="0"/>
    <xf numFmtId="0" fontId="2" fillId="0" borderId="0"/>
    <xf numFmtId="0" fontId="36" fillId="0" borderId="0" applyNumberFormat="0" applyFill="0" applyBorder="0" applyAlignment="0" applyProtection="0"/>
  </cellStyleXfs>
  <cellXfs count="249">
    <xf numFmtId="0" fontId="0" fillId="0" borderId="0" xfId="0"/>
    <xf numFmtId="0" fontId="14" fillId="0" borderId="0" xfId="0" applyFont="1" applyFill="1" applyAlignment="1">
      <alignment horizontal="right" vertical="center" wrapText="1"/>
    </xf>
    <xf numFmtId="0" fontId="16" fillId="0" borderId="0" xfId="0" applyFont="1"/>
    <xf numFmtId="0" fontId="7" fillId="0" borderId="0" xfId="0" applyFont="1" applyAlignment="1">
      <alignment horizontal="left" vertical="top" wrapText="1"/>
    </xf>
    <xf numFmtId="0" fontId="7" fillId="0" borderId="0" xfId="0" applyFont="1"/>
    <xf numFmtId="164" fontId="7" fillId="0" borderId="8" xfId="0" applyNumberFormat="1" applyFont="1" applyBorder="1"/>
    <xf numFmtId="0" fontId="16" fillId="0" borderId="0" xfId="0" applyFont="1" applyAlignment="1">
      <alignment horizontal="left" vertical="top" wrapText="1"/>
    </xf>
    <xf numFmtId="0" fontId="7" fillId="0" borderId="8" xfId="0" applyFont="1" applyBorder="1" applyAlignment="1">
      <alignment horizontal="center" vertical="center" wrapText="1"/>
    </xf>
    <xf numFmtId="164" fontId="7" fillId="0" borderId="8" xfId="0" applyNumberFormat="1" applyFont="1" applyBorder="1" applyAlignment="1">
      <alignment horizontal="center"/>
    </xf>
    <xf numFmtId="0" fontId="0" fillId="0" borderId="0" xfId="0" applyBorder="1"/>
    <xf numFmtId="0" fontId="0" fillId="0" borderId="10" xfId="0" applyBorder="1"/>
    <xf numFmtId="0" fontId="18" fillId="0" borderId="0" xfId="0" applyFont="1" applyFill="1"/>
    <xf numFmtId="0" fontId="7" fillId="0" borderId="0" xfId="0" applyFont="1" applyFill="1"/>
    <xf numFmtId="0" fontId="20" fillId="0" borderId="11" xfId="0" applyFont="1" applyBorder="1"/>
    <xf numFmtId="0" fontId="7" fillId="0" borderId="9" xfId="0" applyFont="1" applyBorder="1"/>
    <xf numFmtId="165" fontId="7" fillId="0" borderId="0" xfId="0" applyNumberFormat="1" applyFont="1" applyBorder="1"/>
    <xf numFmtId="0" fontId="7" fillId="0" borderId="0" xfId="0" applyFont="1" applyBorder="1"/>
    <xf numFmtId="0" fontId="7" fillId="0" borderId="10" xfId="0" applyFont="1" applyBorder="1"/>
    <xf numFmtId="0" fontId="15" fillId="0" borderId="11" xfId="0" applyFont="1" applyBorder="1"/>
    <xf numFmtId="165" fontId="15" fillId="0" borderId="1" xfId="0" applyNumberFormat="1" applyFont="1" applyBorder="1"/>
    <xf numFmtId="0" fontId="7" fillId="0" borderId="1" xfId="0" applyFont="1" applyBorder="1"/>
    <xf numFmtId="0" fontId="7" fillId="0" borderId="12" xfId="0" applyFont="1" applyBorder="1"/>
    <xf numFmtId="0" fontId="7" fillId="0" borderId="11" xfId="0" applyFont="1" applyBorder="1"/>
    <xf numFmtId="0" fontId="7" fillId="0" borderId="5" xfId="0" applyFont="1" applyBorder="1"/>
    <xf numFmtId="165" fontId="7" fillId="0" borderId="6" xfId="0" applyNumberFormat="1" applyFont="1" applyBorder="1"/>
    <xf numFmtId="0" fontId="7" fillId="0" borderId="6" xfId="0" applyFont="1" applyBorder="1"/>
    <xf numFmtId="0" fontId="7" fillId="0" borderId="7" xfId="0" applyFont="1" applyBorder="1"/>
    <xf numFmtId="0" fontId="15" fillId="0" borderId="1" xfId="0" applyFont="1" applyBorder="1"/>
    <xf numFmtId="0" fontId="7" fillId="0" borderId="2" xfId="0" applyFont="1" applyBorder="1"/>
    <xf numFmtId="0" fontId="7" fillId="0" borderId="3" xfId="0" applyFont="1" applyBorder="1"/>
    <xf numFmtId="0" fontId="7" fillId="0" borderId="4" xfId="0" applyFont="1" applyBorder="1"/>
    <xf numFmtId="0" fontId="15" fillId="0" borderId="9" xfId="0" applyFont="1" applyBorder="1"/>
    <xf numFmtId="0" fontId="15" fillId="0" borderId="0" xfId="0" applyFont="1" applyBorder="1"/>
    <xf numFmtId="0" fontId="15" fillId="0" borderId="10" xfId="0" applyFont="1" applyBorder="1"/>
    <xf numFmtId="0" fontId="20" fillId="0" borderId="2" xfId="0" applyFont="1" applyBorder="1"/>
    <xf numFmtId="0" fontId="7" fillId="0" borderId="3" xfId="0" applyFont="1" applyBorder="1" applyAlignment="1">
      <alignment horizontal="right"/>
    </xf>
    <xf numFmtId="0" fontId="7" fillId="0" borderId="4" xfId="0" applyFont="1" applyBorder="1" applyAlignment="1">
      <alignment horizontal="right"/>
    </xf>
    <xf numFmtId="0" fontId="15" fillId="0" borderId="1" xfId="0" applyFont="1" applyBorder="1" applyAlignment="1">
      <alignment horizontal="right"/>
    </xf>
    <xf numFmtId="0" fontId="15" fillId="0" borderId="12" xfId="0" applyFont="1" applyBorder="1" applyAlignment="1">
      <alignment horizontal="right"/>
    </xf>
    <xf numFmtId="0" fontId="15" fillId="0" borderId="5" xfId="0" applyFont="1" applyBorder="1"/>
    <xf numFmtId="0" fontId="15" fillId="0" borderId="6" xfId="0" applyFont="1" applyBorder="1"/>
    <xf numFmtId="0" fontId="15" fillId="0" borderId="9" xfId="0" applyFont="1" applyBorder="1" applyAlignment="1">
      <alignment horizontal="left" indent="2"/>
    </xf>
    <xf numFmtId="0" fontId="7" fillId="0" borderId="9" xfId="0" applyFont="1" applyBorder="1" applyAlignment="1">
      <alignment horizontal="left" indent="2"/>
    </xf>
    <xf numFmtId="0" fontId="7" fillId="0" borderId="5" xfId="0" applyFont="1" applyBorder="1" applyAlignment="1">
      <alignment horizontal="left" indent="2"/>
    </xf>
    <xf numFmtId="0" fontId="15" fillId="0" borderId="11" xfId="0" applyFont="1" applyBorder="1" applyAlignment="1">
      <alignment horizontal="left" indent="2"/>
    </xf>
    <xf numFmtId="0" fontId="19" fillId="0" borderId="0" xfId="0" applyFont="1"/>
    <xf numFmtId="164" fontId="7" fillId="0" borderId="0" xfId="0" applyNumberFormat="1" applyFont="1" applyBorder="1"/>
    <xf numFmtId="0" fontId="19" fillId="0" borderId="0" xfId="0" applyFont="1" applyBorder="1"/>
    <xf numFmtId="164" fontId="15" fillId="0" borderId="6" xfId="0" applyNumberFormat="1" applyFont="1" applyBorder="1"/>
    <xf numFmtId="165" fontId="7" fillId="0" borderId="10" xfId="0" applyNumberFormat="1" applyFont="1" applyBorder="1"/>
    <xf numFmtId="165" fontId="15" fillId="0" borderId="12" xfId="0" applyNumberFormat="1" applyFont="1" applyBorder="1"/>
    <xf numFmtId="165" fontId="7" fillId="0" borderId="7" xfId="0" applyNumberFormat="1" applyFont="1" applyBorder="1"/>
    <xf numFmtId="0" fontId="19" fillId="0" borderId="10" xfId="0" applyFont="1" applyBorder="1"/>
    <xf numFmtId="164" fontId="7" fillId="0" borderId="10" xfId="0" applyNumberFormat="1" applyFont="1" applyBorder="1"/>
    <xf numFmtId="164" fontId="15" fillId="0" borderId="7" xfId="0" applyNumberFormat="1" applyFont="1" applyBorder="1"/>
    <xf numFmtId="0" fontId="21" fillId="0" borderId="0" xfId="0" applyFont="1" applyAlignment="1">
      <alignment vertical="center"/>
    </xf>
    <xf numFmtId="0" fontId="15" fillId="0" borderId="0" xfId="0" applyFont="1" applyAlignment="1">
      <alignment vertical="center"/>
    </xf>
    <xf numFmtId="0" fontId="5" fillId="0" borderId="0" xfId="0" applyFont="1"/>
    <xf numFmtId="0" fontId="15" fillId="0" borderId="0" xfId="19" applyFont="1"/>
    <xf numFmtId="0" fontId="5" fillId="0" borderId="0" xfId="19"/>
    <xf numFmtId="0" fontId="21" fillId="0" borderId="0" xfId="19" applyFont="1"/>
    <xf numFmtId="0" fontId="25" fillId="0" borderId="0" xfId="19" applyFont="1"/>
    <xf numFmtId="0" fontId="5" fillId="0" borderId="0" xfId="71"/>
    <xf numFmtId="0" fontId="28" fillId="0" borderId="0" xfId="210" applyFont="1" applyFill="1" applyBorder="1" applyAlignment="1">
      <alignment horizontal="left" vertical="top"/>
    </xf>
    <xf numFmtId="0" fontId="29" fillId="0" borderId="0" xfId="210" applyFont="1" applyFill="1" applyBorder="1" applyAlignment="1">
      <alignment horizontal="justify" vertical="top"/>
    </xf>
    <xf numFmtId="0" fontId="30" fillId="0" borderId="0" xfId="210" applyFont="1" applyFill="1" applyBorder="1" applyAlignment="1">
      <alignment horizontal="left" vertical="center"/>
    </xf>
    <xf numFmtId="0" fontId="31" fillId="0" borderId="0" xfId="210" applyFont="1" applyFill="1" applyBorder="1" applyAlignment="1">
      <alignment horizontal="left" vertical="center"/>
    </xf>
    <xf numFmtId="0" fontId="32" fillId="0" borderId="0" xfId="210" applyFont="1" applyFill="1" applyBorder="1" applyAlignment="1">
      <alignment horizontal="justify" vertical="top"/>
    </xf>
    <xf numFmtId="0" fontId="16" fillId="0" borderId="0" xfId="19" applyFont="1"/>
    <xf numFmtId="0" fontId="34" fillId="0" borderId="0" xfId="20"/>
    <xf numFmtId="0" fontId="33" fillId="0" borderId="0" xfId="211"/>
    <xf numFmtId="0" fontId="6" fillId="0" borderId="0" xfId="0" applyFont="1" applyAlignment="1">
      <alignment vertical="center"/>
    </xf>
    <xf numFmtId="0" fontId="6" fillId="0" borderId="0" xfId="0" applyNumberFormat="1" applyFont="1" applyAlignment="1">
      <alignment horizontal="center" vertical="center"/>
    </xf>
    <xf numFmtId="164" fontId="6" fillId="0" borderId="0" xfId="0" applyNumberFormat="1" applyFont="1" applyAlignment="1">
      <alignment vertical="center"/>
    </xf>
    <xf numFmtId="0" fontId="7" fillId="0" borderId="0" xfId="0" applyFont="1" applyAlignment="1">
      <alignment vertical="center"/>
    </xf>
    <xf numFmtId="0" fontId="7" fillId="0" borderId="0" xfId="0" applyFont="1" applyAlignment="1">
      <alignment horizontal="center" vertical="center"/>
    </xf>
    <xf numFmtId="164" fontId="7" fillId="0" borderId="0" xfId="0" applyNumberFormat="1" applyFont="1" applyAlignment="1">
      <alignment vertical="center"/>
    </xf>
    <xf numFmtId="0" fontId="35" fillId="0" borderId="0" xfId="19" applyFont="1"/>
    <xf numFmtId="166" fontId="7" fillId="0" borderId="1" xfId="0" applyNumberFormat="1" applyFont="1" applyBorder="1"/>
    <xf numFmtId="0" fontId="34" fillId="0" borderId="0" xfId="20" applyAlignment="1">
      <alignment horizontal="center"/>
    </xf>
    <xf numFmtId="0" fontId="4" fillId="0" borderId="9" xfId="0" applyFont="1" applyBorder="1"/>
    <xf numFmtId="0" fontId="36" fillId="0" borderId="9" xfId="20" applyFont="1" applyBorder="1"/>
    <xf numFmtId="0" fontId="36" fillId="5" borderId="0" xfId="20" applyFont="1" applyFill="1" applyAlignment="1">
      <alignment horizontal="left" vertical="top" wrapText="1"/>
    </xf>
    <xf numFmtId="0" fontId="7" fillId="0" borderId="9" xfId="0" applyFont="1" applyFill="1" applyBorder="1"/>
    <xf numFmtId="0" fontId="7" fillId="0" borderId="5" xfId="0" applyFont="1" applyFill="1" applyBorder="1"/>
    <xf numFmtId="0" fontId="29" fillId="0" borderId="0" xfId="210" applyFont="1" applyFill="1" applyBorder="1" applyAlignment="1">
      <alignment horizontal="justify" vertical="top" wrapText="1"/>
    </xf>
    <xf numFmtId="0" fontId="36" fillId="6" borderId="0" xfId="20" applyFont="1" applyFill="1" applyAlignment="1">
      <alignment horizontal="left" vertical="top" wrapText="1"/>
    </xf>
    <xf numFmtId="0" fontId="3" fillId="0" borderId="8" xfId="0" applyFont="1" applyBorder="1" applyAlignment="1">
      <alignment vertical="center"/>
    </xf>
    <xf numFmtId="164" fontId="3" fillId="0" borderId="8" xfId="0" applyNumberFormat="1" applyFont="1" applyBorder="1" applyAlignment="1">
      <alignment vertical="center"/>
    </xf>
    <xf numFmtId="0" fontId="3" fillId="7" borderId="8" xfId="0" applyFont="1" applyFill="1" applyBorder="1" applyAlignment="1">
      <alignment vertical="center"/>
    </xf>
    <xf numFmtId="164" fontId="3" fillId="7" borderId="8" xfId="0" applyNumberFormat="1" applyFont="1" applyFill="1" applyBorder="1" applyAlignment="1">
      <alignment vertical="center"/>
    </xf>
    <xf numFmtId="0" fontId="3" fillId="0" borderId="0" xfId="0" applyFont="1" applyFill="1" applyBorder="1" applyAlignment="1">
      <alignment horizontal="centerContinuous" vertical="center"/>
    </xf>
    <xf numFmtId="0" fontId="3" fillId="0" borderId="0" xfId="0" applyFont="1" applyFill="1" applyBorder="1"/>
    <xf numFmtId="0" fontId="3" fillId="0" borderId="9" xfId="0" applyFont="1" applyFill="1" applyBorder="1"/>
    <xf numFmtId="0" fontId="37" fillId="0" borderId="0" xfId="0" applyFont="1" applyFill="1" applyBorder="1" applyAlignment="1">
      <alignment horizontal="center" vertical="center" wrapText="1"/>
    </xf>
    <xf numFmtId="0" fontId="38" fillId="0" borderId="0" xfId="0" applyFont="1" applyFill="1" applyBorder="1" applyAlignment="1">
      <alignment horizontal="right" vertical="center" wrapText="1"/>
    </xf>
    <xf numFmtId="0" fontId="3" fillId="0" borderId="0" xfId="0" applyFont="1" applyFill="1" applyBorder="1" applyAlignment="1">
      <alignment vertical="center" wrapText="1"/>
    </xf>
    <xf numFmtId="0" fontId="3" fillId="0" borderId="0" xfId="0" applyFont="1" applyAlignment="1">
      <alignment horizontal="left" vertical="top" wrapText="1"/>
    </xf>
    <xf numFmtId="2" fontId="3" fillId="0" borderId="8" xfId="0" applyNumberFormat="1" applyFont="1" applyBorder="1" applyAlignment="1">
      <alignment vertical="center"/>
    </xf>
    <xf numFmtId="2" fontId="3" fillId="7" borderId="8" xfId="0" applyNumberFormat="1" applyFont="1" applyFill="1" applyBorder="1" applyAlignment="1">
      <alignment vertical="center"/>
    </xf>
    <xf numFmtId="10" fontId="3" fillId="0" borderId="8" xfId="0" applyNumberFormat="1" applyFont="1" applyBorder="1" applyAlignment="1">
      <alignment vertical="center"/>
    </xf>
    <xf numFmtId="10" fontId="3" fillId="7" borderId="8" xfId="0" applyNumberFormat="1" applyFont="1" applyFill="1" applyBorder="1" applyAlignment="1">
      <alignment vertical="center"/>
    </xf>
    <xf numFmtId="0" fontId="23" fillId="11" borderId="14" xfId="0" applyFont="1" applyFill="1" applyBorder="1" applyAlignment="1">
      <alignment horizontal="center" vertical="center" wrapText="1"/>
    </xf>
    <xf numFmtId="0" fontId="3" fillId="0" borderId="8" xfId="0" applyFont="1" applyBorder="1" applyAlignment="1">
      <alignment horizontal="center" vertical="center" wrapText="1"/>
    </xf>
    <xf numFmtId="3" fontId="0" fillId="0" borderId="0" xfId="0" applyNumberFormat="1"/>
    <xf numFmtId="3" fontId="39" fillId="0" borderId="8" xfId="0" applyNumberFormat="1" applyFont="1" applyBorder="1"/>
    <xf numFmtId="0" fontId="0" fillId="0" borderId="0" xfId="0" applyNumberFormat="1"/>
    <xf numFmtId="0" fontId="3" fillId="0" borderId="0" xfId="0" applyFont="1" applyFill="1" applyBorder="1" applyAlignment="1">
      <alignment wrapText="1"/>
    </xf>
    <xf numFmtId="0" fontId="3" fillId="0" borderId="9" xfId="0" applyFont="1" applyFill="1" applyBorder="1" applyAlignment="1">
      <alignment wrapText="1"/>
    </xf>
    <xf numFmtId="0" fontId="3" fillId="0" borderId="0" xfId="0" applyNumberFormat="1" applyFont="1" applyFill="1" applyBorder="1" applyAlignment="1">
      <alignment wrapText="1"/>
    </xf>
    <xf numFmtId="0" fontId="3" fillId="0" borderId="0" xfId="0" applyFont="1" applyFill="1" applyBorder="1" applyAlignment="1">
      <alignment horizontal="left"/>
    </xf>
    <xf numFmtId="167" fontId="3" fillId="0" borderId="8" xfId="0" applyNumberFormat="1" applyFont="1" applyBorder="1" applyAlignment="1">
      <alignment horizontal="left" vertical="center"/>
    </xf>
    <xf numFmtId="167" fontId="3" fillId="7" borderId="8" xfId="0" applyNumberFormat="1" applyFont="1" applyFill="1" applyBorder="1" applyAlignment="1">
      <alignment horizontal="left" vertical="center"/>
    </xf>
    <xf numFmtId="0" fontId="0" fillId="0" borderId="0" xfId="0" applyAlignment="1">
      <alignment horizontal="left"/>
    </xf>
    <xf numFmtId="0" fontId="3" fillId="0" borderId="0" xfId="0" applyFont="1" applyFill="1" applyBorder="1" applyAlignment="1">
      <alignment horizontal="left" wrapText="1"/>
    </xf>
    <xf numFmtId="167" fontId="3" fillId="0" borderId="0" xfId="0" applyNumberFormat="1" applyFont="1" applyFill="1" applyBorder="1" applyAlignment="1">
      <alignment horizontal="left" wrapText="1"/>
    </xf>
    <xf numFmtId="167" fontId="0" fillId="0" borderId="0" xfId="0" applyNumberFormat="1" applyAlignment="1">
      <alignment horizontal="left"/>
    </xf>
    <xf numFmtId="0" fontId="41" fillId="0" borderId="0" xfId="0" applyFont="1"/>
    <xf numFmtId="0" fontId="15" fillId="0" borderId="36" xfId="213" applyFont="1" applyBorder="1" applyAlignment="1">
      <alignment horizontal="center" vertical="center" wrapText="1"/>
    </xf>
    <xf numFmtId="0" fontId="17" fillId="0" borderId="35" xfId="0" applyFont="1" applyBorder="1" applyAlignment="1">
      <alignment horizontal="center" vertical="center"/>
    </xf>
    <xf numFmtId="0" fontId="18" fillId="0" borderId="35" xfId="0" applyFont="1" applyBorder="1" applyAlignment="1">
      <alignment horizontal="center" vertical="center" wrapText="1"/>
    </xf>
    <xf numFmtId="0" fontId="0" fillId="0" borderId="36" xfId="0" applyBorder="1" applyAlignment="1">
      <alignment horizontal="center" vertical="center" wrapText="1"/>
    </xf>
    <xf numFmtId="0" fontId="0" fillId="0" borderId="36" xfId="0" applyBorder="1" applyAlignment="1">
      <alignment horizontal="center" vertical="center"/>
    </xf>
    <xf numFmtId="0" fontId="0" fillId="0" borderId="37" xfId="0" applyBorder="1" applyAlignment="1">
      <alignment horizontal="center" vertical="center" wrapText="1"/>
    </xf>
    <xf numFmtId="0" fontId="35" fillId="0" borderId="36" xfId="0" applyFont="1" applyBorder="1" applyAlignment="1">
      <alignment horizontal="center" vertical="center" wrapText="1"/>
    </xf>
    <xf numFmtId="0" fontId="18" fillId="0" borderId="36" xfId="0" applyFont="1" applyBorder="1" applyAlignment="1">
      <alignment horizontal="center" vertical="center"/>
    </xf>
    <xf numFmtId="0" fontId="18" fillId="0" borderId="35" xfId="0" applyFont="1" applyBorder="1" applyAlignment="1">
      <alignment horizontal="center" vertical="center"/>
    </xf>
    <xf numFmtId="0" fontId="35" fillId="0" borderId="36" xfId="0" applyFont="1" applyBorder="1" applyAlignment="1">
      <alignment horizontal="center" vertical="center"/>
    </xf>
    <xf numFmtId="0" fontId="0" fillId="0" borderId="37" xfId="0" applyBorder="1" applyAlignment="1">
      <alignment horizontal="center" vertical="center"/>
    </xf>
    <xf numFmtId="0" fontId="0" fillId="0" borderId="0" xfId="0" applyAlignment="1">
      <alignment vertical="center"/>
    </xf>
    <xf numFmtId="2" fontId="0" fillId="0" borderId="0" xfId="0" applyNumberFormat="1"/>
    <xf numFmtId="0" fontId="15" fillId="7" borderId="8" xfId="0" applyFont="1" applyFill="1" applyBorder="1" applyAlignment="1">
      <alignment vertical="center"/>
    </xf>
    <xf numFmtId="0" fontId="15" fillId="0" borderId="8" xfId="0" applyFont="1" applyBorder="1" applyAlignment="1">
      <alignment vertical="center"/>
    </xf>
    <xf numFmtId="2" fontId="15" fillId="7" borderId="8" xfId="0" applyNumberFormat="1" applyFont="1" applyFill="1" applyBorder="1" applyAlignment="1">
      <alignment vertical="center"/>
    </xf>
    <xf numFmtId="164" fontId="15" fillId="7" borderId="8" xfId="0" applyNumberFormat="1" applyFont="1" applyFill="1" applyBorder="1" applyAlignment="1">
      <alignment vertical="center"/>
    </xf>
    <xf numFmtId="2" fontId="15" fillId="0" borderId="8" xfId="0" applyNumberFormat="1" applyFont="1" applyBorder="1" applyAlignment="1">
      <alignment vertical="center"/>
    </xf>
    <xf numFmtId="164" fontId="15" fillId="0" borderId="8" xfId="0" applyNumberFormat="1" applyFont="1" applyBorder="1" applyAlignment="1">
      <alignment vertical="center"/>
    </xf>
    <xf numFmtId="0" fontId="0" fillId="0" borderId="0" xfId="0" applyAlignment="1"/>
    <xf numFmtId="0" fontId="0" fillId="0" borderId="0" xfId="0" applyAlignment="1">
      <alignment wrapText="1"/>
    </xf>
    <xf numFmtId="0" fontId="44" fillId="10" borderId="38" xfId="0" applyFont="1" applyFill="1" applyBorder="1" applyAlignment="1">
      <alignment vertical="top" wrapText="1"/>
    </xf>
    <xf numFmtId="0" fontId="44" fillId="9" borderId="38" xfId="0" applyFont="1" applyFill="1" applyBorder="1" applyAlignment="1">
      <alignment vertical="top" wrapText="1"/>
    </xf>
    <xf numFmtId="2" fontId="0" fillId="0" borderId="0" xfId="0" applyNumberFormat="1" applyBorder="1" applyAlignment="1">
      <alignment horizontal="center"/>
    </xf>
    <xf numFmtId="2" fontId="0" fillId="0" borderId="38" xfId="0" applyNumberFormat="1" applyBorder="1" applyAlignment="1">
      <alignment horizontal="center" vertical="center"/>
    </xf>
    <xf numFmtId="0" fontId="0" fillId="0" borderId="0" xfId="0" applyAlignment="1">
      <alignment horizontal="left" vertical="center"/>
    </xf>
    <xf numFmtId="0" fontId="0" fillId="0" borderId="38" xfId="0" applyFont="1" applyBorder="1" applyAlignment="1">
      <alignment horizontal="left" vertical="center"/>
    </xf>
    <xf numFmtId="0" fontId="44" fillId="10" borderId="38" xfId="0" applyFont="1" applyFill="1" applyBorder="1" applyAlignment="1">
      <alignment horizontal="center" vertical="top" wrapText="1"/>
    </xf>
    <xf numFmtId="0" fontId="44" fillId="9" borderId="38" xfId="0" applyFont="1" applyFill="1" applyBorder="1" applyAlignment="1">
      <alignment horizontal="center" vertical="top" wrapText="1"/>
    </xf>
    <xf numFmtId="0" fontId="45" fillId="0" borderId="0" xfId="0" applyFont="1"/>
    <xf numFmtId="0" fontId="3" fillId="0" borderId="15" xfId="0" applyFont="1" applyFill="1" applyBorder="1" applyAlignment="1">
      <alignment vertical="top" wrapText="1"/>
    </xf>
    <xf numFmtId="0" fontId="1" fillId="0" borderId="17" xfId="0" applyFont="1" applyFill="1" applyBorder="1" applyAlignment="1">
      <alignment vertical="top" wrapText="1"/>
    </xf>
    <xf numFmtId="0" fontId="3" fillId="0" borderId="18" xfId="0" applyFont="1" applyFill="1" applyBorder="1" applyAlignment="1">
      <alignment vertical="top" wrapText="1"/>
    </xf>
    <xf numFmtId="0" fontId="40" fillId="0" borderId="0" xfId="0" applyFont="1" applyFill="1" applyBorder="1" applyAlignment="1">
      <alignment horizontal="left" vertical="top" wrapText="1"/>
    </xf>
    <xf numFmtId="0" fontId="23" fillId="12" borderId="14" xfId="0" applyFont="1" applyFill="1" applyBorder="1" applyAlignment="1">
      <alignment horizontal="center" vertical="center" wrapText="1"/>
    </xf>
    <xf numFmtId="0" fontId="3" fillId="0" borderId="8" xfId="0" applyFont="1" applyFill="1" applyBorder="1" applyAlignment="1">
      <alignment vertical="center"/>
    </xf>
    <xf numFmtId="0" fontId="3" fillId="0" borderId="8" xfId="0" applyFont="1" applyFill="1" applyBorder="1" applyAlignment="1">
      <alignment horizontal="center" vertical="center"/>
    </xf>
    <xf numFmtId="164" fontId="7" fillId="0" borderId="0" xfId="0" applyNumberFormat="1" applyFont="1" applyFill="1" applyAlignment="1">
      <alignment vertical="center"/>
    </xf>
    <xf numFmtId="164" fontId="3" fillId="0" borderId="8" xfId="0" applyNumberFormat="1" applyFont="1" applyFill="1" applyBorder="1" applyAlignment="1">
      <alignment vertical="center"/>
    </xf>
    <xf numFmtId="2" fontId="3" fillId="0" borderId="8" xfId="0" applyNumberFormat="1" applyFont="1" applyFill="1" applyBorder="1" applyAlignment="1">
      <alignment vertical="center"/>
    </xf>
    <xf numFmtId="10" fontId="3" fillId="0" borderId="8" xfId="0" applyNumberFormat="1" applyFont="1" applyFill="1" applyBorder="1" applyAlignment="1">
      <alignment vertical="center"/>
    </xf>
    <xf numFmtId="167" fontId="3" fillId="0" borderId="8" xfId="0" applyNumberFormat="1" applyFont="1" applyFill="1" applyBorder="1" applyAlignment="1">
      <alignment horizontal="left" vertical="center"/>
    </xf>
    <xf numFmtId="0" fontId="3" fillId="0" borderId="8" xfId="0" applyNumberFormat="1" applyFont="1" applyFill="1" applyBorder="1" applyAlignment="1">
      <alignment vertical="center"/>
    </xf>
    <xf numFmtId="0" fontId="3" fillId="0" borderId="19" xfId="0" applyFont="1" applyFill="1" applyBorder="1" applyAlignment="1">
      <alignment vertical="center"/>
    </xf>
    <xf numFmtId="0" fontId="3" fillId="0" borderId="19" xfId="0" applyFont="1" applyFill="1" applyBorder="1" applyAlignment="1">
      <alignment horizontal="center" vertical="center"/>
    </xf>
    <xf numFmtId="164" fontId="3" fillId="0" borderId="19" xfId="0" applyNumberFormat="1" applyFont="1" applyFill="1" applyBorder="1" applyAlignment="1">
      <alignment vertical="center"/>
    </xf>
    <xf numFmtId="2" fontId="3" fillId="0" borderId="19" xfId="0" applyNumberFormat="1" applyFont="1" applyFill="1" applyBorder="1" applyAlignment="1">
      <alignment vertical="center"/>
    </xf>
    <xf numFmtId="10" fontId="3" fillId="0" borderId="19" xfId="0" applyNumberFormat="1" applyFont="1" applyFill="1" applyBorder="1" applyAlignment="1">
      <alignment vertical="center"/>
    </xf>
    <xf numFmtId="167" fontId="3" fillId="0" borderId="19" xfId="0" applyNumberFormat="1" applyFont="1" applyFill="1" applyBorder="1" applyAlignment="1">
      <alignment horizontal="left" vertical="center"/>
    </xf>
    <xf numFmtId="0" fontId="46" fillId="0" borderId="0" xfId="0" applyFont="1" applyFill="1" applyBorder="1" applyAlignment="1">
      <alignment vertical="center"/>
    </xf>
    <xf numFmtId="3" fontId="39" fillId="8" borderId="8" xfId="0" applyNumberFormat="1" applyFont="1" applyFill="1" applyBorder="1"/>
    <xf numFmtId="2" fontId="39" fillId="8" borderId="8" xfId="0" applyNumberFormat="1" applyFont="1" applyFill="1" applyBorder="1"/>
    <xf numFmtId="2" fontId="39" fillId="0" borderId="8" xfId="0" applyNumberFormat="1" applyFont="1" applyBorder="1"/>
    <xf numFmtId="0" fontId="23" fillId="0" borderId="0" xfId="0" applyFont="1" applyFill="1" applyBorder="1" applyAlignment="1">
      <alignment horizontal="left" vertical="top" wrapText="1"/>
    </xf>
    <xf numFmtId="0" fontId="23" fillId="0" borderId="18" xfId="0" applyFont="1" applyFill="1" applyBorder="1" applyAlignment="1">
      <alignment horizontal="left" vertical="top" wrapText="1"/>
    </xf>
    <xf numFmtId="0" fontId="23" fillId="0" borderId="20" xfId="0" applyFont="1" applyFill="1" applyBorder="1" applyAlignment="1">
      <alignment horizontal="left" vertical="top" wrapText="1"/>
    </xf>
    <xf numFmtId="0" fontId="23" fillId="0" borderId="20" xfId="0" applyNumberFormat="1" applyFont="1" applyFill="1" applyBorder="1" applyAlignment="1">
      <alignment horizontal="left" vertical="top" wrapText="1"/>
    </xf>
    <xf numFmtId="167" fontId="23" fillId="0" borderId="20" xfId="0" applyNumberFormat="1" applyFont="1" applyFill="1" applyBorder="1" applyAlignment="1">
      <alignment horizontal="left" vertical="top" wrapText="1"/>
    </xf>
    <xf numFmtId="0" fontId="3" fillId="0" borderId="22" xfId="0" applyFont="1" applyFill="1" applyBorder="1" applyAlignment="1">
      <alignment horizontal="left" vertical="center"/>
    </xf>
    <xf numFmtId="0" fontId="3" fillId="0" borderId="21" xfId="0" applyFont="1" applyFill="1" applyBorder="1" applyAlignment="1">
      <alignment vertical="center"/>
    </xf>
    <xf numFmtId="0" fontId="3" fillId="0" borderId="21" xfId="0" applyNumberFormat="1" applyFont="1" applyFill="1" applyBorder="1" applyAlignment="1">
      <alignment horizontal="center" vertical="center"/>
    </xf>
    <xf numFmtId="164" fontId="3" fillId="0" borderId="21" xfId="0" applyNumberFormat="1" applyFont="1" applyFill="1" applyBorder="1" applyAlignment="1">
      <alignment vertical="center"/>
    </xf>
    <xf numFmtId="3" fontId="39" fillId="0" borderId="21" xfId="0" applyNumberFormat="1" applyFont="1" applyFill="1" applyBorder="1"/>
    <xf numFmtId="2" fontId="39" fillId="0" borderId="21" xfId="0" applyNumberFormat="1" applyFont="1" applyFill="1" applyBorder="1"/>
    <xf numFmtId="3" fontId="39" fillId="0" borderId="23" xfId="0" applyNumberFormat="1" applyFont="1" applyFill="1" applyBorder="1"/>
    <xf numFmtId="10" fontId="39" fillId="0" borderId="0" xfId="0" applyNumberFormat="1" applyFont="1" applyFill="1"/>
    <xf numFmtId="0" fontId="39" fillId="0" borderId="0" xfId="0" applyNumberFormat="1" applyFont="1" applyFill="1"/>
    <xf numFmtId="167" fontId="39" fillId="0" borderId="0" xfId="0" applyNumberFormat="1" applyFont="1" applyFill="1" applyAlignment="1">
      <alignment horizontal="left"/>
    </xf>
    <xf numFmtId="0" fontId="39" fillId="0" borderId="0" xfId="0" applyFont="1" applyFill="1" applyAlignment="1">
      <alignment horizontal="left"/>
    </xf>
    <xf numFmtId="0" fontId="39" fillId="0" borderId="0" xfId="0" applyFont="1" applyFill="1"/>
    <xf numFmtId="2" fontId="39" fillId="0" borderId="0" xfId="0" applyNumberFormat="1" applyFont="1" applyFill="1"/>
    <xf numFmtId="0" fontId="3" fillId="0" borderId="26" xfId="0" applyFont="1" applyFill="1" applyBorder="1" applyAlignment="1">
      <alignment horizontal="left" vertical="center"/>
    </xf>
    <xf numFmtId="0" fontId="3" fillId="0" borderId="24" xfId="0" applyFont="1" applyFill="1" applyBorder="1" applyAlignment="1">
      <alignment vertical="center"/>
    </xf>
    <xf numFmtId="0" fontId="3" fillId="0" borderId="24" xfId="0" applyNumberFormat="1" applyFont="1" applyFill="1" applyBorder="1" applyAlignment="1">
      <alignment horizontal="center" vertical="center"/>
    </xf>
    <xf numFmtId="164" fontId="3" fillId="0" borderId="24" xfId="0" applyNumberFormat="1" applyFont="1" applyFill="1" applyBorder="1" applyAlignment="1">
      <alignment vertical="center"/>
    </xf>
    <xf numFmtId="3" fontId="39" fillId="0" borderId="24" xfId="0" applyNumberFormat="1" applyFont="1" applyFill="1" applyBorder="1"/>
    <xf numFmtId="2" fontId="39" fillId="0" borderId="24" xfId="0" applyNumberFormat="1" applyFont="1" applyFill="1" applyBorder="1"/>
    <xf numFmtId="3" fontId="39" fillId="0" borderId="19" xfId="0" applyNumberFormat="1" applyFont="1" applyFill="1" applyBorder="1"/>
    <xf numFmtId="0" fontId="3" fillId="0" borderId="24" xfId="0" applyFont="1" applyFill="1" applyBorder="1" applyAlignment="1">
      <alignment horizontal="center" vertical="center"/>
    </xf>
    <xf numFmtId="0" fontId="3" fillId="0" borderId="26" xfId="0" applyNumberFormat="1" applyFont="1" applyFill="1" applyBorder="1" applyAlignment="1">
      <alignment horizontal="left" vertical="center"/>
    </xf>
    <xf numFmtId="0" fontId="3" fillId="0" borderId="27" xfId="0" applyFont="1" applyFill="1" applyBorder="1" applyAlignment="1">
      <alignment horizontal="left" vertical="center"/>
    </xf>
    <xf numFmtId="0" fontId="3" fillId="0" borderId="25" xfId="0" applyFont="1" applyFill="1" applyBorder="1" applyAlignment="1">
      <alignment vertical="center"/>
    </xf>
    <xf numFmtId="0" fontId="3" fillId="0" borderId="25" xfId="0" applyFont="1" applyFill="1" applyBorder="1" applyAlignment="1">
      <alignment horizontal="center" vertical="center"/>
    </xf>
    <xf numFmtId="164" fontId="3" fillId="0" borderId="25" xfId="0" applyNumberFormat="1" applyFont="1" applyFill="1" applyBorder="1" applyAlignment="1">
      <alignment vertical="center"/>
    </xf>
    <xf numFmtId="3" fontId="39" fillId="0" borderId="25" xfId="0" applyNumberFormat="1" applyFont="1" applyFill="1" applyBorder="1"/>
    <xf numFmtId="2" fontId="39" fillId="0" borderId="25" xfId="0" applyNumberFormat="1" applyFont="1" applyFill="1" applyBorder="1"/>
    <xf numFmtId="3" fontId="39" fillId="0" borderId="8" xfId="0" applyNumberFormat="1" applyFont="1" applyFill="1" applyBorder="1"/>
    <xf numFmtId="0" fontId="37" fillId="5" borderId="0" xfId="0" applyFont="1" applyFill="1" applyBorder="1" applyAlignment="1">
      <alignment horizontal="left" vertical="top" wrapText="1"/>
    </xf>
    <xf numFmtId="0" fontId="37" fillId="5" borderId="0" xfId="0" applyFont="1" applyFill="1" applyBorder="1" applyAlignment="1">
      <alignment vertical="top" wrapText="1"/>
    </xf>
    <xf numFmtId="3" fontId="9" fillId="6" borderId="18" xfId="0" applyNumberFormat="1" applyFont="1" applyFill="1" applyBorder="1" applyAlignment="1">
      <alignment horizontal="left" vertical="top" wrapText="1"/>
    </xf>
    <xf numFmtId="3" fontId="9" fillId="6" borderId="28" xfId="0" applyNumberFormat="1" applyFont="1" applyFill="1" applyBorder="1" applyAlignment="1">
      <alignment horizontal="left" vertical="top" wrapText="1"/>
    </xf>
    <xf numFmtId="0" fontId="21" fillId="0" borderId="0" xfId="0" applyFont="1"/>
    <xf numFmtId="0" fontId="47" fillId="0" borderId="0" xfId="0" applyFont="1" applyAlignment="1">
      <alignment vertical="top"/>
    </xf>
    <xf numFmtId="0" fontId="48" fillId="0" borderId="0" xfId="0" applyFont="1" applyFill="1" applyBorder="1" applyAlignment="1">
      <alignment vertical="top"/>
    </xf>
    <xf numFmtId="0" fontId="46" fillId="0" borderId="0" xfId="0" applyFont="1" applyFill="1" applyBorder="1" applyAlignment="1">
      <alignment horizontal="left" vertical="center"/>
    </xf>
    <xf numFmtId="0" fontId="48" fillId="0" borderId="0" xfId="0" applyFont="1" applyFill="1" applyBorder="1" applyAlignment="1">
      <alignment horizontal="left" vertical="top"/>
    </xf>
    <xf numFmtId="0" fontId="42" fillId="0" borderId="38" xfId="0" applyFont="1" applyBorder="1" applyAlignment="1">
      <alignment horizontal="left" vertical="center"/>
    </xf>
    <xf numFmtId="2" fontId="42" fillId="0" borderId="38" xfId="0" applyNumberFormat="1" applyFont="1" applyBorder="1" applyAlignment="1">
      <alignment horizontal="center" vertical="center"/>
    </xf>
    <xf numFmtId="0" fontId="3" fillId="8" borderId="8" xfId="0" applyFont="1" applyFill="1" applyBorder="1" applyAlignment="1">
      <alignment horizontal="left" vertical="center"/>
    </xf>
    <xf numFmtId="0" fontId="15" fillId="8" borderId="8" xfId="0" applyFont="1" applyFill="1" applyBorder="1" applyAlignment="1">
      <alignment vertical="center"/>
    </xf>
    <xf numFmtId="0" fontId="15" fillId="8" borderId="8" xfId="0" applyNumberFormat="1" applyFont="1" applyFill="1" applyBorder="1" applyAlignment="1">
      <alignment horizontal="center" vertical="center"/>
    </xf>
    <xf numFmtId="164" fontId="15" fillId="8" borderId="8" xfId="0" applyNumberFormat="1" applyFont="1" applyFill="1" applyBorder="1" applyAlignment="1">
      <alignment vertical="center"/>
    </xf>
    <xf numFmtId="3" fontId="43" fillId="8" borderId="8" xfId="0" applyNumberFormat="1" applyFont="1" applyFill="1" applyBorder="1"/>
    <xf numFmtId="2" fontId="43" fillId="8" borderId="8" xfId="0" applyNumberFormat="1" applyFont="1" applyFill="1" applyBorder="1"/>
    <xf numFmtId="0" fontId="3" fillId="0" borderId="8" xfId="0" applyFont="1" applyBorder="1" applyAlignment="1">
      <alignment horizontal="left" vertical="center"/>
    </xf>
    <xf numFmtId="0" fontId="15" fillId="0" borderId="8" xfId="0" applyNumberFormat="1" applyFont="1" applyBorder="1" applyAlignment="1">
      <alignment horizontal="center" vertical="center"/>
    </xf>
    <xf numFmtId="3" fontId="43" fillId="0" borderId="8" xfId="0" applyNumberFormat="1" applyFont="1" applyBorder="1"/>
    <xf numFmtId="2" fontId="43" fillId="0" borderId="8" xfId="0" applyNumberFormat="1" applyFont="1" applyBorder="1"/>
    <xf numFmtId="0" fontId="0" fillId="0" borderId="36" xfId="0" applyBorder="1" applyAlignment="1">
      <alignment horizontal="center" vertical="center" wrapText="1"/>
    </xf>
    <xf numFmtId="0" fontId="23" fillId="12" borderId="15" xfId="0" applyFont="1" applyFill="1" applyBorder="1" applyAlignment="1">
      <alignment horizontal="center" vertical="center" wrapText="1"/>
    </xf>
    <xf numFmtId="0" fontId="23" fillId="12" borderId="16"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23" fillId="12" borderId="17" xfId="0" applyFont="1" applyFill="1" applyBorder="1" applyAlignment="1">
      <alignment horizontal="center" vertical="center" wrapText="1"/>
    </xf>
    <xf numFmtId="0" fontId="23" fillId="12" borderId="32" xfId="0" applyFont="1" applyFill="1" applyBorder="1" applyAlignment="1">
      <alignment horizontal="center" vertical="center" wrapText="1"/>
    </xf>
    <xf numFmtId="0" fontId="23" fillId="12" borderId="33" xfId="0" applyFont="1" applyFill="1" applyBorder="1" applyAlignment="1">
      <alignment horizontal="center" vertical="center" wrapText="1"/>
    </xf>
    <xf numFmtId="0" fontId="23" fillId="12" borderId="34" xfId="0" applyFont="1" applyFill="1" applyBorder="1" applyAlignment="1">
      <alignment horizontal="center" vertical="center" wrapText="1"/>
    </xf>
    <xf numFmtId="0" fontId="23" fillId="11" borderId="15" xfId="0" applyFont="1" applyFill="1" applyBorder="1" applyAlignment="1">
      <alignment horizontal="center" vertical="center" wrapText="1"/>
    </xf>
    <xf numFmtId="0" fontId="23" fillId="11" borderId="16"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23" fillId="11" borderId="15" xfId="0" applyFont="1" applyFill="1" applyBorder="1" applyAlignment="1">
      <alignment horizontal="center" vertical="center"/>
    </xf>
    <xf numFmtId="0" fontId="23" fillId="11" borderId="16" xfId="0" applyFont="1" applyFill="1" applyBorder="1" applyAlignment="1">
      <alignment horizontal="center" vertical="center"/>
    </xf>
    <xf numFmtId="0" fontId="23" fillId="11" borderId="15" xfId="0" applyNumberFormat="1" applyFont="1" applyFill="1" applyBorder="1" applyAlignment="1">
      <alignment horizontal="center" vertical="center" wrapText="1"/>
    </xf>
    <xf numFmtId="0" fontId="23" fillId="11" borderId="17" xfId="0" applyNumberFormat="1" applyFont="1" applyFill="1" applyBorder="1" applyAlignment="1">
      <alignment horizontal="center" vertical="center" wrapText="1"/>
    </xf>
    <xf numFmtId="0" fontId="23" fillId="11" borderId="16" xfId="0" applyNumberFormat="1" applyFont="1" applyFill="1" applyBorder="1" applyAlignment="1">
      <alignment horizontal="center" vertical="center" wrapText="1"/>
    </xf>
    <xf numFmtId="0" fontId="23" fillId="11" borderId="29" xfId="0" applyFont="1" applyFill="1" applyBorder="1" applyAlignment="1">
      <alignment horizontal="center" vertical="center" wrapText="1"/>
    </xf>
    <xf numFmtId="0" fontId="23" fillId="11" borderId="30" xfId="0" applyFont="1" applyFill="1" applyBorder="1" applyAlignment="1">
      <alignment horizontal="center" vertical="center" wrapText="1"/>
    </xf>
    <xf numFmtId="0" fontId="23" fillId="11" borderId="31" xfId="0" applyFont="1" applyFill="1" applyBorder="1" applyAlignment="1">
      <alignment horizontal="center" vertical="center" wrapText="1"/>
    </xf>
  </cellXfs>
  <cellStyles count="214">
    <cellStyle name=" 1" xfId="21"/>
    <cellStyle name=" 1 2" xfId="22"/>
    <cellStyle name=" 1 2 2" xfId="23"/>
    <cellStyle name=" 1 2 2 2" xfId="24"/>
    <cellStyle name=" 1 2 2 3" xfId="25"/>
    <cellStyle name=" 1 2 2 4" xfId="26"/>
    <cellStyle name=" 1 2 2 5" xfId="27"/>
    <cellStyle name=" 1 2 3" xfId="28"/>
    <cellStyle name=" 1 2 4" xfId="29"/>
    <cellStyle name=" 1 2 5" xfId="30"/>
    <cellStyle name=" 1 2 6" xfId="31"/>
    <cellStyle name=" 1 3" xfId="32"/>
    <cellStyle name=" 1 3 2" xfId="33"/>
    <cellStyle name=" 1 3 3" xfId="34"/>
    <cellStyle name=" 1 3 4" xfId="35"/>
    <cellStyle name=" 1 3 5" xfId="36"/>
    <cellStyle name=" 1 4" xfId="37"/>
    <cellStyle name=" 1 5" xfId="38"/>
    <cellStyle name=" 1 6" xfId="39"/>
    <cellStyle name=" 1 7" xfId="40"/>
    <cellStyle name=" Writer Import]_x000d__x000a_Display Dialog=No_x000d__x000a__x000d__x000a_[Horizontal Arrange]_x000d__x000a_Dimensions Interlocking=Yes_x000d__x000a_Sum Hierarchy=Yes_x000d__x000a_Generate" xfId="41"/>
    <cellStyle name=" Writer Import]_x000d__x000a_Display Dialog=No_x000d__x000a__x000d__x000a_[Horizontal Arrange]_x000d__x000a_Dimensions Interlocking=Yes_x000d__x000a_Sum Hierarchy=Yes_x000d__x000a_Generate 2" xfId="42"/>
    <cellStyle name=" Writer Import]_x000d__x000a_Display Dialog=No_x000d__x000a__x000d__x000a_[Horizontal Arrange]_x000d__x000a_Dimensions Interlocking=Yes_x000d__x000a_Sum Hierarchy=Yes_x000d__x000a_Generate 2 2" xfId="43"/>
    <cellStyle name=" Writer Import]_x000d__x000a_Display Dialog=No_x000d__x000a__x000d__x000a_[Horizontal Arrange]_x000d__x000a_Dimensions Interlocking=Yes_x000d__x000a_Sum Hierarchy=Yes_x000d__x000a_Generate 2 3" xfId="44"/>
    <cellStyle name=" Writer Import]_x000d__x000a_Display Dialog=No_x000d__x000a__x000d__x000a_[Horizontal Arrange]_x000d__x000a_Dimensions Interlocking=Yes_x000d__x000a_Sum Hierarchy=Yes_x000d__x000a_Generate 2 4" xfId="45"/>
    <cellStyle name=" Writer Import]_x000d__x000a_Display Dialog=No_x000d__x000a__x000d__x000a_[Horizontal Arrange]_x000d__x000a_Dimensions Interlocking=Yes_x000d__x000a_Sum Hierarchy=Yes_x000d__x000a_Generate 2 5" xfId="46"/>
    <cellStyle name=" Writer Import]_x000d__x000a_Display Dialog=No_x000d__x000a__x000d__x000a_[Horizontal Arrange]_x000d__x000a_Dimensions Interlocking=Yes_x000d__x000a_Sum Hierarchy=Yes_x000d__x000a_Generate 3" xfId="47"/>
    <cellStyle name=" Writer Import]_x000d__x000a_Display Dialog=No_x000d__x000a__x000d__x000a_[Horizontal Arrange]_x000d__x000a_Dimensions Interlocking=Yes_x000d__x000a_Sum Hierarchy=Yes_x000d__x000a_Generate 4" xfId="48"/>
    <cellStyle name=" Writer Import]_x000d__x000a_Display Dialog=No_x000d__x000a__x000d__x000a_[Horizontal Arrange]_x000d__x000a_Dimensions Interlocking=Yes_x000d__x000a_Sum Hierarchy=Yes_x000d__x000a_Generate 5" xfId="49"/>
    <cellStyle name=" Writer Import]_x000d__x000a_Display Dialog=No_x000d__x000a__x000d__x000a_[Horizontal Arrange]_x000d__x000a_Dimensions Interlocking=Yes_x000d__x000a_Sum Hierarchy=Yes_x000d__x000a_Generate 6" xfId="50"/>
    <cellStyle name="%" xfId="51"/>
    <cellStyle name="%_charts tables TP-formatted " xfId="52"/>
    <cellStyle name="Accent2 2" xfId="53"/>
    <cellStyle name="Bad 2" xfId="54"/>
    <cellStyle name="Comma 2" xfId="1"/>
    <cellStyle name="Comma 2 2" xfId="55"/>
    <cellStyle name="Comma 2 3" xfId="56"/>
    <cellStyle name="Comma 2 4" xfId="57"/>
    <cellStyle name="Comma 3" xfId="2"/>
    <cellStyle name="Comma 3 2" xfId="58"/>
    <cellStyle name="Comma 3 2 2" xfId="59"/>
    <cellStyle name="Comma 3 3" xfId="60"/>
    <cellStyle name="Comma 3 4" xfId="61"/>
    <cellStyle name="Comma 4" xfId="3"/>
    <cellStyle name="Comma 4 2" xfId="62"/>
    <cellStyle name="Comma 4 3" xfId="63"/>
    <cellStyle name="Comma 5" xfId="64"/>
    <cellStyle name="Comma 5 2" xfId="65"/>
    <cellStyle name="Comma 6" xfId="66"/>
    <cellStyle name="Comma 6 2" xfId="67"/>
    <cellStyle name="Comma 7" xfId="68"/>
    <cellStyle name="Currency 2" xfId="4"/>
    <cellStyle name="Currency 2 2" xfId="69"/>
    <cellStyle name="Currency 3" xfId="5"/>
    <cellStyle name="Followed Hyperlink" xfId="211" builtinId="9"/>
    <cellStyle name="Hyperlink" xfId="20" builtinId="8" customBuiltin="1"/>
    <cellStyle name="Hyperlink 2" xfId="13"/>
    <cellStyle name="Hyperlink 3" xfId="70"/>
    <cellStyle name="Hyperlink 4" xfId="213"/>
    <cellStyle name="Normal" xfId="0" builtinId="0"/>
    <cellStyle name="Normal 10" xfId="71"/>
    <cellStyle name="Normal 10 2" xfId="72"/>
    <cellStyle name="Normal 10 4" xfId="73"/>
    <cellStyle name="Normal 102" xfId="74"/>
    <cellStyle name="Normal 11" xfId="75"/>
    <cellStyle name="Normal 11 2" xfId="76"/>
    <cellStyle name="Normal 11 2 2" xfId="77"/>
    <cellStyle name="Normal 11 2 2 2" xfId="78"/>
    <cellStyle name="Normal 11 2 2 2 2" xfId="79"/>
    <cellStyle name="Normal 11 2 2 3" xfId="80"/>
    <cellStyle name="Normal 11 2 3" xfId="81"/>
    <cellStyle name="Normal 11 2 3 2" xfId="82"/>
    <cellStyle name="Normal 11 2 4" xfId="83"/>
    <cellStyle name="Normal 11 3" xfId="84"/>
    <cellStyle name="Normal 11 3 2" xfId="85"/>
    <cellStyle name="Normal 11 3 2 2" xfId="86"/>
    <cellStyle name="Normal 11 3 2 2 2" xfId="87"/>
    <cellStyle name="Normal 11 3 2 3" xfId="88"/>
    <cellStyle name="Normal 11 3 3" xfId="89"/>
    <cellStyle name="Normal 11 3 3 2" xfId="90"/>
    <cellStyle name="Normal 11 3 4" xfId="91"/>
    <cellStyle name="Normal 11 3 4 2" xfId="92"/>
    <cellStyle name="Normal 11 3 5" xfId="93"/>
    <cellStyle name="Normal 11 4" xfId="94"/>
    <cellStyle name="Normal 12" xfId="95"/>
    <cellStyle name="Normal 12 2" xfId="96"/>
    <cellStyle name="Normal 12 2 2" xfId="97"/>
    <cellStyle name="Normal 12 2 2 2" xfId="98"/>
    <cellStyle name="Normal 12 2 2 2 2" xfId="99"/>
    <cellStyle name="Normal 12 2 2 3" xfId="100"/>
    <cellStyle name="Normal 12 2 3" xfId="101"/>
    <cellStyle name="Normal 12 2 3 2" xfId="102"/>
    <cellStyle name="Normal 12 2 4" xfId="103"/>
    <cellStyle name="Normal 12 3" xfId="104"/>
    <cellStyle name="Normal 13" xfId="105"/>
    <cellStyle name="Normal 13 2" xfId="106"/>
    <cellStyle name="Normal 14" xfId="107"/>
    <cellStyle name="Normal 14 2" xfId="108"/>
    <cellStyle name="Normal 15" xfId="109"/>
    <cellStyle name="Normal 15 2" xfId="110"/>
    <cellStyle name="Normal 16" xfId="111"/>
    <cellStyle name="Normal 16 2" xfId="112"/>
    <cellStyle name="Normal 17" xfId="113"/>
    <cellStyle name="Normal 17 2" xfId="114"/>
    <cellStyle name="Normal 17 2 2" xfId="115"/>
    <cellStyle name="Normal 17 3" xfId="116"/>
    <cellStyle name="Normal 18" xfId="14"/>
    <cellStyle name="Normal 18 2" xfId="117"/>
    <cellStyle name="Normal 18 3" xfId="118"/>
    <cellStyle name="Normal 19" xfId="119"/>
    <cellStyle name="Normal 19 2" xfId="120"/>
    <cellStyle name="Normal 2" xfId="6"/>
    <cellStyle name="Normal 2 10" xfId="121"/>
    <cellStyle name="Normal 2 12" xfId="122"/>
    <cellStyle name="Normal 2 2" xfId="15"/>
    <cellStyle name="Normal 2 2 2" xfId="123"/>
    <cellStyle name="Normal 2 3" xfId="16"/>
    <cellStyle name="Normal 2 3 2" xfId="124"/>
    <cellStyle name="Normal 2 3 3" xfId="125"/>
    <cellStyle name="Normal 2 4" xfId="126"/>
    <cellStyle name="Normal 2 4 2" xfId="127"/>
    <cellStyle name="Normal 2 5" xfId="128"/>
    <cellStyle name="Normal 2 6" xfId="129"/>
    <cellStyle name="Normal 2_Economy Tables" xfId="130"/>
    <cellStyle name="Normal 20" xfId="131"/>
    <cellStyle name="Normal 20 2" xfId="132"/>
    <cellStyle name="Normal 21" xfId="133"/>
    <cellStyle name="Normal 21 2" xfId="134"/>
    <cellStyle name="Normal 21 2 2" xfId="135"/>
    <cellStyle name="Normal 22" xfId="136"/>
    <cellStyle name="Normal 22 2" xfId="137"/>
    <cellStyle name="Normal 23" xfId="138"/>
    <cellStyle name="Normal 23 2" xfId="139"/>
    <cellStyle name="Normal 23 2 2" xfId="140"/>
    <cellStyle name="Normal 23 3" xfId="141"/>
    <cellStyle name="Normal 24" xfId="142"/>
    <cellStyle name="Normal 24 2" xfId="143"/>
    <cellStyle name="Normal 25" xfId="144"/>
    <cellStyle name="Normal 26" xfId="145"/>
    <cellStyle name="Normal 26 2" xfId="146"/>
    <cellStyle name="Normal 26 2 2" xfId="147"/>
    <cellStyle name="Normal 26 3" xfId="148"/>
    <cellStyle name="Normal 27" xfId="149"/>
    <cellStyle name="Normal 27 2" xfId="150"/>
    <cellStyle name="Normal 28" xfId="151"/>
    <cellStyle name="Normal 28 2" xfId="152"/>
    <cellStyle name="Normal 29" xfId="153"/>
    <cellStyle name="Normal 29 2" xfId="154"/>
    <cellStyle name="Normal 29 3" xfId="155"/>
    <cellStyle name="Normal 3" xfId="7"/>
    <cellStyle name="Normal 3 2" xfId="8"/>
    <cellStyle name="Normal 3 2 2" xfId="156"/>
    <cellStyle name="Normal 3 2 3" xfId="210"/>
    <cellStyle name="Normal 3 3" xfId="17"/>
    <cellStyle name="Normal 3 3 2" xfId="157"/>
    <cellStyle name="Normal 3 4" xfId="158"/>
    <cellStyle name="Normal 30" xfId="159"/>
    <cellStyle name="Normal 30 2" xfId="160"/>
    <cellStyle name="Normal 31" xfId="161"/>
    <cellStyle name="Normal 31 2" xfId="162"/>
    <cellStyle name="Normal 31 2 2" xfId="163"/>
    <cellStyle name="Normal 31 3" xfId="164"/>
    <cellStyle name="Normal 32" xfId="165"/>
    <cellStyle name="Normal 32 2" xfId="166"/>
    <cellStyle name="Normal 32 3" xfId="167"/>
    <cellStyle name="Normal 33" xfId="168"/>
    <cellStyle name="Normal 33 2" xfId="169"/>
    <cellStyle name="Normal 34" xfId="170"/>
    <cellStyle name="Normal 35" xfId="171"/>
    <cellStyle name="Normal 36" xfId="172"/>
    <cellStyle name="Normal 37" xfId="173"/>
    <cellStyle name="Normal 38" xfId="174"/>
    <cellStyle name="Normal 39" xfId="212"/>
    <cellStyle name="Normal 4" xfId="9"/>
    <cellStyle name="Normal 4 2" xfId="175"/>
    <cellStyle name="Normal 46" xfId="176"/>
    <cellStyle name="Normal 47" xfId="177"/>
    <cellStyle name="Normal 48" xfId="178"/>
    <cellStyle name="Normal 49" xfId="179"/>
    <cellStyle name="Normal 5" xfId="12"/>
    <cellStyle name="Normal 5 2" xfId="180"/>
    <cellStyle name="Normal 5 3" xfId="181"/>
    <cellStyle name="Normal 50" xfId="182"/>
    <cellStyle name="Normal 6" xfId="18"/>
    <cellStyle name="Normal 6 2" xfId="183"/>
    <cellStyle name="Normal 6 2 2" xfId="184"/>
    <cellStyle name="Normal 6 3" xfId="185"/>
    <cellStyle name="Normal 6 4" xfId="186"/>
    <cellStyle name="Normal 7" xfId="19"/>
    <cellStyle name="Normal 8" xfId="187"/>
    <cellStyle name="Normal 9" xfId="188"/>
    <cellStyle name="Normal 9 2" xfId="189"/>
    <cellStyle name="Note 2" xfId="190"/>
    <cellStyle name="Note 2 2" xfId="191"/>
    <cellStyle name="Percent 10" xfId="192"/>
    <cellStyle name="Percent 10 2" xfId="193"/>
    <cellStyle name="Percent 2" xfId="10"/>
    <cellStyle name="Percent 2 2" xfId="194"/>
    <cellStyle name="Percent 2 3" xfId="195"/>
    <cellStyle name="Percent 3" xfId="11"/>
    <cellStyle name="Percent 3 2" xfId="196"/>
    <cellStyle name="Percent 3 3" xfId="197"/>
    <cellStyle name="Percent 4" xfId="198"/>
    <cellStyle name="Percent 4 2" xfId="199"/>
    <cellStyle name="Percent 5" xfId="200"/>
    <cellStyle name="Percent 6" xfId="201"/>
    <cellStyle name="Percent 6 2" xfId="202"/>
    <cellStyle name="Percent 7" xfId="203"/>
    <cellStyle name="Percent 7 2" xfId="204"/>
    <cellStyle name="Percent 8" xfId="205"/>
    <cellStyle name="Percent 8 2" xfId="206"/>
    <cellStyle name="Percent 9" xfId="207"/>
    <cellStyle name="Percent 9 2" xfId="208"/>
    <cellStyle name="Style 1 2" xfId="209"/>
  </cellStyles>
  <dxfs count="1037">
    <dxf>
      <font>
        <strike val="0"/>
        <outline val="0"/>
        <shadow val="0"/>
        <u val="none"/>
        <vertAlign val="baseline"/>
        <sz val="10"/>
        <color theme="1"/>
        <name val="Arial"/>
        <scheme val="minor"/>
      </font>
      <numFmt numFmtId="0" formatCode="General"/>
      <fill>
        <patternFill patternType="none">
          <bgColor auto="1"/>
        </patternFill>
      </fill>
    </dxf>
    <dxf>
      <font>
        <strike val="0"/>
        <outline val="0"/>
        <shadow val="0"/>
        <u val="none"/>
        <vertAlign val="baseline"/>
        <sz val="10"/>
        <color theme="1"/>
        <name val="Arial"/>
        <scheme val="minor"/>
      </font>
      <numFmt numFmtId="0" formatCode="General"/>
      <fill>
        <patternFill patternType="none">
          <bgColor auto="1"/>
        </patternFill>
      </fill>
      <alignment horizontal="left" textRotation="0" indent="0" justifyLastLine="0" shrinkToFit="0" readingOrder="0"/>
    </dxf>
    <dxf>
      <font>
        <strike val="0"/>
        <outline val="0"/>
        <shadow val="0"/>
        <u val="none"/>
        <vertAlign val="baseline"/>
        <sz val="10"/>
        <color theme="1"/>
        <name val="Arial"/>
        <scheme val="minor"/>
      </font>
      <numFmt numFmtId="2" formatCode="0.00"/>
      <fill>
        <patternFill patternType="none">
          <bgColor auto="1"/>
        </patternFill>
      </fill>
    </dxf>
    <dxf>
      <font>
        <strike val="0"/>
        <outline val="0"/>
        <shadow val="0"/>
        <u val="none"/>
        <vertAlign val="baseline"/>
        <sz val="10"/>
        <color theme="1"/>
        <name val="Arial"/>
        <scheme val="minor"/>
      </font>
      <numFmt numFmtId="0" formatCode="General"/>
      <fill>
        <patternFill patternType="none">
          <bgColor auto="1"/>
        </patternFill>
      </fill>
    </dxf>
    <dxf>
      <font>
        <strike val="0"/>
        <outline val="0"/>
        <shadow val="0"/>
        <u val="none"/>
        <vertAlign val="baseline"/>
        <sz val="10"/>
        <color theme="1"/>
        <name val="Arial"/>
        <scheme val="minor"/>
      </font>
      <numFmt numFmtId="0" formatCode="General"/>
      <fill>
        <patternFill patternType="none">
          <bgColor auto="1"/>
        </patternFill>
      </fill>
      <alignment horizontal="left" textRotation="0" indent="0" justifyLastLine="0" shrinkToFit="0" readingOrder="0"/>
    </dxf>
    <dxf>
      <font>
        <strike val="0"/>
        <outline val="0"/>
        <shadow val="0"/>
        <u val="none"/>
        <vertAlign val="baseline"/>
        <sz val="10"/>
        <color theme="1"/>
        <name val="Arial"/>
        <scheme val="minor"/>
      </font>
      <numFmt numFmtId="167" formatCode="yyyy"/>
      <fill>
        <patternFill patternType="none">
          <bgColor auto="1"/>
        </patternFill>
      </fill>
      <alignment horizontal="left" textRotation="0" indent="0" justifyLastLine="0" shrinkToFit="0" readingOrder="0"/>
    </dxf>
    <dxf>
      <font>
        <strike val="0"/>
        <outline val="0"/>
        <shadow val="0"/>
        <u val="none"/>
        <vertAlign val="baseline"/>
        <sz val="10"/>
        <color theme="1"/>
        <name val="Arial"/>
        <scheme val="minor"/>
      </font>
      <numFmt numFmtId="0" formatCode="General"/>
      <fill>
        <patternFill patternType="none">
          <bgColor auto="1"/>
        </patternFill>
      </fill>
    </dxf>
    <dxf>
      <font>
        <strike val="0"/>
        <outline val="0"/>
        <shadow val="0"/>
        <u val="none"/>
        <vertAlign val="baseline"/>
        <sz val="10"/>
        <color theme="1"/>
        <name val="Arial"/>
        <scheme val="minor"/>
      </font>
      <numFmt numFmtId="14" formatCode="0.00%"/>
      <fill>
        <patternFill patternType="none">
          <bgColor auto="1"/>
        </patternFill>
      </fill>
    </dxf>
    <dxf>
      <font>
        <strike val="0"/>
        <outline val="0"/>
        <shadow val="0"/>
        <u val="none"/>
        <vertAlign val="baseline"/>
        <sz val="10"/>
        <color theme="1"/>
        <name val="Arial"/>
        <scheme val="minor"/>
      </font>
      <numFmt numFmtId="14" formatCode="0.00%"/>
      <fill>
        <patternFill patternType="none">
          <bgColor auto="1"/>
        </patternFill>
      </fill>
    </dxf>
    <dxf>
      <font>
        <strike val="0"/>
        <outline val="0"/>
        <shadow val="0"/>
        <u val="none"/>
        <vertAlign val="baseline"/>
        <sz val="10"/>
        <color theme="1"/>
        <name val="Arial"/>
        <scheme val="minor"/>
      </font>
      <numFmt numFmtId="3" formatCode="#,##0"/>
      <fill>
        <patternFill patternType="none">
          <bgColor auto="1"/>
        </patternFill>
      </fill>
      <border diagonalUp="0" diagonalDown="0" outline="0">
        <left style="hair">
          <color auto="1"/>
        </left>
        <right/>
        <top style="hair">
          <color auto="1"/>
        </top>
        <bottom/>
      </border>
    </dxf>
    <dxf>
      <font>
        <strike val="0"/>
        <outline val="0"/>
        <shadow val="0"/>
        <u val="none"/>
        <vertAlign val="baseline"/>
        <sz val="10"/>
        <color theme="1"/>
        <name val="Arial"/>
        <scheme val="minor"/>
      </font>
      <numFmt numFmtId="3" formatCode="#,##0"/>
      <fill>
        <patternFill patternType="none">
          <bgColor auto="1"/>
        </patternFill>
      </fill>
      <border diagonalUp="0" diagonalDown="0" outline="0">
        <left style="hair">
          <color auto="1"/>
        </left>
        <right/>
        <top style="hair">
          <color auto="1"/>
        </top>
        <bottom/>
      </border>
    </dxf>
    <dxf>
      <font>
        <strike val="0"/>
        <outline val="0"/>
        <shadow val="0"/>
        <u val="none"/>
        <vertAlign val="baseline"/>
        <sz val="10"/>
        <color theme="1"/>
        <name val="Arial"/>
        <scheme val="minor"/>
      </font>
      <numFmt numFmtId="3" formatCode="#,##0"/>
      <fill>
        <patternFill patternType="none">
          <bgColor auto="1"/>
        </patternFill>
      </fill>
      <border diagonalUp="0" diagonalDown="0" outline="0">
        <left style="hair">
          <color auto="1"/>
        </left>
        <right/>
        <top style="hair">
          <color auto="1"/>
        </top>
        <bottom/>
      </border>
    </dxf>
    <dxf>
      <font>
        <strike val="0"/>
        <outline val="0"/>
        <shadow val="0"/>
        <u val="none"/>
        <vertAlign val="baseline"/>
        <sz val="10"/>
        <color theme="1"/>
        <name val="Arial"/>
        <scheme val="minor"/>
      </font>
      <numFmt numFmtId="3" formatCode="#,##0"/>
      <fill>
        <patternFill patternType="none">
          <bgColor auto="1"/>
        </patternFill>
      </fill>
      <border diagonalUp="0" diagonalDown="0" outline="0">
        <left style="hair">
          <color auto="1"/>
        </left>
        <right/>
        <top style="hair">
          <color auto="1"/>
        </top>
        <bottom/>
      </border>
    </dxf>
    <dxf>
      <font>
        <strike val="0"/>
        <outline val="0"/>
        <shadow val="0"/>
        <u val="none"/>
        <vertAlign val="baseline"/>
        <sz val="10"/>
        <color theme="1"/>
        <name val="Arial"/>
        <scheme val="minor"/>
      </font>
      <numFmt numFmtId="3" formatCode="#,##0"/>
      <fill>
        <patternFill patternType="none">
          <bgColor auto="1"/>
        </patternFill>
      </fill>
      <border diagonalUp="0" diagonalDown="0" outline="0">
        <left/>
        <right/>
        <top style="hair">
          <color auto="1"/>
        </top>
        <bottom/>
      </border>
    </dxf>
    <dxf>
      <font>
        <strike val="0"/>
        <outline val="0"/>
        <shadow val="0"/>
        <u val="none"/>
        <vertAlign val="baseline"/>
        <sz val="10"/>
        <color theme="1"/>
        <name val="Arial"/>
        <scheme val="minor"/>
      </font>
      <numFmt numFmtId="2" formatCode="0.00"/>
      <fill>
        <patternFill patternType="none">
          <bgColor auto="1"/>
        </patternFill>
      </fill>
      <border diagonalUp="0" diagonalDown="0" outline="0">
        <left style="hair">
          <color auto="1"/>
        </left>
        <right/>
        <top style="hair">
          <color auto="1"/>
        </top>
        <bottom/>
      </border>
    </dxf>
    <dxf>
      <font>
        <strike val="0"/>
        <outline val="0"/>
        <shadow val="0"/>
        <u val="none"/>
        <vertAlign val="baseline"/>
        <sz val="10"/>
        <color theme="1"/>
        <name val="Arial"/>
        <scheme val="minor"/>
      </font>
      <numFmt numFmtId="3" formatCode="#,##0"/>
      <fill>
        <patternFill patternType="none">
          <bgColor auto="1"/>
        </patternFill>
      </fill>
      <border diagonalUp="0" diagonalDown="0" outline="0">
        <left style="hair">
          <color auto="1"/>
        </left>
        <right style="hair">
          <color auto="1"/>
        </right>
        <top style="hair">
          <color auto="1"/>
        </top>
        <bottom/>
      </border>
    </dxf>
    <dxf>
      <font>
        <strike val="0"/>
        <outline val="0"/>
        <shadow val="0"/>
        <u val="none"/>
        <vertAlign val="baseline"/>
        <sz val="10"/>
        <color theme="1"/>
        <name val="Arial"/>
        <scheme val="minor"/>
      </font>
      <numFmt numFmtId="3" formatCode="#,##0"/>
      <fill>
        <patternFill patternType="none">
          <bgColor auto="1"/>
        </patternFill>
      </fill>
      <border diagonalUp="0" diagonalDown="0" outline="0">
        <left/>
        <right/>
        <top style="hair">
          <color auto="1"/>
        </top>
        <bottom/>
      </border>
    </dxf>
    <dxf>
      <font>
        <strike val="0"/>
        <outline val="0"/>
        <shadow val="0"/>
        <u val="none"/>
        <vertAlign val="baseline"/>
        <sz val="10"/>
        <color theme="1"/>
        <name val="Arial"/>
        <scheme val="minor"/>
      </font>
      <numFmt numFmtId="2" formatCode="0.00"/>
      <fill>
        <patternFill patternType="none">
          <bgColor auto="1"/>
        </patternFill>
      </fill>
      <border diagonalUp="0" diagonalDown="0" outline="0">
        <left style="hair">
          <color auto="1"/>
        </left>
        <right/>
        <top style="hair">
          <color auto="1"/>
        </top>
        <bottom/>
      </border>
    </dxf>
    <dxf>
      <font>
        <strike val="0"/>
        <outline val="0"/>
        <shadow val="0"/>
        <u val="none"/>
        <vertAlign val="baseline"/>
        <sz val="10"/>
        <color theme="1"/>
        <name val="Arial"/>
        <scheme val="minor"/>
      </font>
      <numFmt numFmtId="3" formatCode="#,##0"/>
      <fill>
        <patternFill patternType="none">
          <bgColor auto="1"/>
        </patternFill>
      </fill>
      <border diagonalUp="0" diagonalDown="0" outline="0">
        <left style="hair">
          <color auto="1"/>
        </left>
        <right style="hair">
          <color auto="1"/>
        </right>
        <top style="hair">
          <color auto="1"/>
        </top>
        <bottom/>
      </border>
    </dxf>
    <dxf>
      <font>
        <strike val="0"/>
        <outline val="0"/>
        <shadow val="0"/>
        <u val="none"/>
        <vertAlign val="baseline"/>
        <sz val="10"/>
        <color theme="1"/>
        <name val="Arial"/>
        <scheme val="minor"/>
      </font>
      <numFmt numFmtId="3" formatCode="#,##0"/>
      <fill>
        <patternFill patternType="none">
          <bgColor auto="1"/>
        </patternFill>
      </fill>
      <border diagonalUp="0" diagonalDown="0" outline="0">
        <left/>
        <right/>
        <top style="hair">
          <color auto="1"/>
        </top>
        <bottom/>
      </border>
    </dxf>
    <dxf>
      <font>
        <strike val="0"/>
        <outline val="0"/>
        <shadow val="0"/>
        <u val="none"/>
        <vertAlign val="baseline"/>
        <sz val="10"/>
        <color theme="1"/>
        <name val="Arial"/>
        <scheme val="minor"/>
      </font>
      <numFmt numFmtId="2" formatCode="0.00"/>
      <fill>
        <patternFill patternType="none">
          <bgColor auto="1"/>
        </patternFill>
      </fill>
      <border diagonalUp="0" diagonalDown="0" outline="0">
        <left style="hair">
          <color auto="1"/>
        </left>
        <right/>
        <top style="hair">
          <color auto="1"/>
        </top>
        <bottom/>
      </border>
    </dxf>
    <dxf>
      <font>
        <strike val="0"/>
        <outline val="0"/>
        <shadow val="0"/>
        <u val="none"/>
        <vertAlign val="baseline"/>
        <sz val="10"/>
        <color theme="1"/>
        <name val="Arial"/>
        <scheme val="minor"/>
      </font>
      <numFmt numFmtId="3" formatCode="#,##0"/>
      <fill>
        <patternFill patternType="none">
          <bgColor auto="1"/>
        </patternFill>
      </fill>
      <border diagonalUp="0" diagonalDown="0" outline="0">
        <left style="hair">
          <color auto="1"/>
        </left>
        <right style="hair">
          <color auto="1"/>
        </right>
        <top style="hair">
          <color auto="1"/>
        </top>
        <bottom/>
      </border>
    </dxf>
    <dxf>
      <font>
        <strike val="0"/>
        <outline val="0"/>
        <shadow val="0"/>
        <u val="none"/>
        <vertAlign val="baseline"/>
        <sz val="10"/>
        <color theme="1"/>
        <name val="Arial"/>
        <scheme val="minor"/>
      </font>
      <numFmt numFmtId="2" formatCode="0.00"/>
      <fill>
        <patternFill patternType="none">
          <bgColor auto="1"/>
        </patternFill>
      </fill>
      <border diagonalUp="0" diagonalDown="0" outline="0">
        <left style="hair">
          <color auto="1"/>
        </left>
        <right/>
        <top style="hair">
          <color auto="1"/>
        </top>
        <bottom/>
      </border>
    </dxf>
    <dxf>
      <font>
        <strike val="0"/>
        <outline val="0"/>
        <shadow val="0"/>
        <u val="none"/>
        <vertAlign val="baseline"/>
        <sz val="10"/>
        <color theme="1"/>
        <name val="Arial"/>
        <scheme val="minor"/>
      </font>
      <numFmt numFmtId="3" formatCode="#,##0"/>
      <fill>
        <patternFill patternType="none">
          <bgColor auto="1"/>
        </patternFill>
      </fill>
      <border diagonalUp="0" diagonalDown="0" outline="0">
        <left style="hair">
          <color auto="1"/>
        </left>
        <right/>
        <top style="hair">
          <color auto="1"/>
        </top>
        <bottom/>
      </border>
    </dxf>
    <dxf>
      <font>
        <strike val="0"/>
        <outline val="0"/>
        <shadow val="0"/>
        <u val="none"/>
        <vertAlign val="baseline"/>
        <sz val="10"/>
        <color theme="1"/>
        <name val="Arial"/>
        <scheme val="minor"/>
      </font>
      <numFmt numFmtId="2" formatCode="0.00"/>
      <fill>
        <patternFill patternType="none">
          <bgColor auto="1"/>
        </patternFill>
      </fill>
      <border diagonalUp="0" diagonalDown="0" outline="0">
        <left style="hair">
          <color auto="1"/>
        </left>
        <right/>
        <top style="hair">
          <color auto="1"/>
        </top>
        <bottom/>
      </border>
    </dxf>
    <dxf>
      <font>
        <strike val="0"/>
        <outline val="0"/>
        <shadow val="0"/>
        <u val="none"/>
        <vertAlign val="baseline"/>
        <sz val="10"/>
        <color theme="1"/>
        <name val="Arial"/>
        <scheme val="minor"/>
      </font>
      <numFmt numFmtId="2" formatCode="0.00"/>
      <fill>
        <patternFill patternType="none">
          <bgColor auto="1"/>
        </patternFill>
      </fill>
      <border diagonalUp="0" diagonalDown="0" outline="0">
        <left style="hair">
          <color auto="1"/>
        </left>
        <right/>
        <top style="hair">
          <color auto="1"/>
        </top>
        <bottom/>
      </border>
    </dxf>
    <dxf>
      <font>
        <strike val="0"/>
        <outline val="0"/>
        <shadow val="0"/>
        <u val="none"/>
        <vertAlign val="baseline"/>
        <sz val="10"/>
        <color theme="1"/>
        <name val="Arial"/>
        <scheme val="minor"/>
      </font>
      <numFmt numFmtId="3" formatCode="#,##0"/>
      <fill>
        <patternFill patternType="none">
          <bgColor auto="1"/>
        </patternFill>
      </fill>
      <border diagonalUp="0" diagonalDown="0" outline="0">
        <left style="hair">
          <color auto="1"/>
        </left>
        <right/>
        <top style="hair">
          <color auto="1"/>
        </top>
        <bottom/>
      </border>
    </dxf>
    <dxf>
      <font>
        <b val="0"/>
        <i val="0"/>
        <strike val="0"/>
        <condense val="0"/>
        <extend val="0"/>
        <outline val="0"/>
        <shadow val="0"/>
        <u val="none"/>
        <vertAlign val="baseline"/>
        <sz val="10"/>
        <color theme="1"/>
        <name val="Arial"/>
        <scheme val="none"/>
      </font>
      <numFmt numFmtId="164" formatCode="#,##0;[Red]\(#,##0\)"/>
      <fill>
        <patternFill patternType="none">
          <bgColor auto="1"/>
        </patternFill>
      </fill>
      <alignment horizontal="general" vertical="center" textRotation="0" wrapText="0" indent="0" justifyLastLine="0" shrinkToFit="0" readingOrder="0"/>
      <border diagonalUp="0" diagonalDown="0" outline="0">
        <left style="hair">
          <color auto="1"/>
        </left>
        <right/>
        <top style="hair">
          <color auto="1"/>
        </top>
        <bottom/>
      </border>
    </dxf>
    <dxf>
      <fill>
        <patternFill patternType="none">
          <bgColor auto="1"/>
        </patternFill>
      </fill>
    </dxf>
    <dxf>
      <font>
        <b val="0"/>
        <i val="0"/>
        <strike val="0"/>
        <condense val="0"/>
        <extend val="0"/>
        <outline val="0"/>
        <shadow val="0"/>
        <u val="none"/>
        <vertAlign val="baseline"/>
        <sz val="10"/>
        <color theme="1"/>
        <name val="Arial"/>
        <scheme val="none"/>
      </font>
      <fill>
        <patternFill patternType="none">
          <bgColor auto="1"/>
        </patternFill>
      </fill>
      <alignment horizontal="general" vertical="center" textRotation="0" wrapText="0" indent="0" justifyLastLine="0" shrinkToFit="0" readingOrder="0"/>
      <border diagonalUp="0" diagonalDown="0" outline="0">
        <left/>
        <right/>
        <top style="hair">
          <color auto="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left" vertical="center" textRotation="0" wrapText="0" indent="0" justifyLastLine="0" shrinkToFit="0" readingOrder="0"/>
      <border diagonalUp="0" diagonalDown="0" outline="0">
        <left/>
        <right/>
        <top style="hair">
          <color auto="1"/>
        </top>
        <bottom/>
      </border>
    </dxf>
    <dxf>
      <border outline="0">
        <left style="hair">
          <color auto="1"/>
        </left>
        <top style="dashed">
          <color auto="1"/>
        </top>
      </border>
    </dxf>
    <dxf>
      <fill>
        <patternFill patternType="none">
          <bgColor auto="1"/>
        </patternFill>
      </fill>
    </dxf>
    <dxf>
      <font>
        <b val="0"/>
        <i val="0"/>
        <strike val="0"/>
        <condense val="0"/>
        <extend val="0"/>
        <outline val="0"/>
        <shadow val="0"/>
        <u val="none"/>
        <vertAlign val="baseline"/>
        <sz val="10"/>
        <color theme="0"/>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hair">
          <color auto="1"/>
        </left>
        <right style="hair">
          <color auto="1"/>
        </right>
        <top/>
        <bottom/>
      </border>
    </dxf>
    <dxf>
      <font>
        <b val="0"/>
        <i val="0"/>
        <strike val="0"/>
        <condense val="0"/>
        <extend val="0"/>
        <outline val="0"/>
        <shadow val="0"/>
        <u val="none"/>
        <vertAlign val="baseline"/>
        <sz val="10"/>
        <color auto="1"/>
        <name val="Arial"/>
        <scheme val="none"/>
      </font>
      <numFmt numFmtId="2" formatCode="0.00"/>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numFmt numFmtId="2" formatCode="0.00"/>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numFmt numFmtId="164" formatCode="#,##0;[Red]\(#,##0\)"/>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left"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numFmt numFmtId="14" formatCode="0.00%"/>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numFmt numFmtId="14" formatCode="0.00%"/>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center"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fill>
        <patternFill patternType="none">
          <bgColor auto="1"/>
        </patternFill>
      </fill>
    </dxf>
    <dxf>
      <font>
        <b val="0"/>
        <i val="0"/>
        <strike val="0"/>
        <condense val="0"/>
        <extend val="0"/>
        <outline val="0"/>
        <shadow val="0"/>
        <u val="none"/>
        <vertAlign val="baseline"/>
        <sz val="10"/>
        <color auto="1"/>
        <name val="Arial"/>
        <scheme val="none"/>
      </font>
      <fill>
        <patternFill patternType="solid">
          <fgColor theme="0"/>
          <bgColor rgb="FFEEEDF4"/>
        </patternFill>
      </fill>
      <alignment horizontal="general" vertical="center" textRotation="0" wrapText="0" indent="0" justifyLastLine="0" shrinkToFit="0" readingOrder="0"/>
      <border diagonalUp="0" diagonalDown="0" outline="0">
        <left style="hair">
          <color auto="1"/>
        </left>
        <right style="hair">
          <color auto="1"/>
        </right>
        <top/>
        <bottom/>
      </border>
    </dxf>
    <dxf>
      <numFmt numFmtId="0" formatCode="General"/>
      <fill>
        <patternFill patternType="none">
          <bgColor auto="1"/>
        </patternFill>
      </fill>
      <alignment horizontal="general" textRotation="0" indent="0" justifyLastLine="0" shrinkToFit="0" readingOrder="0"/>
    </dxf>
    <dxf>
      <font>
        <strike val="0"/>
        <outline val="0"/>
        <shadow val="0"/>
        <u val="none"/>
        <vertAlign val="baseline"/>
        <color auto="1"/>
        <name val="Arial"/>
      </font>
    </dxf>
    <dxf>
      <border outline="0">
        <bottom style="hair">
          <color auto="1"/>
        </bottom>
      </border>
    </dxf>
    <dxf>
      <font>
        <b val="0"/>
        <i val="0"/>
        <strike val="0"/>
        <condense val="0"/>
        <extend val="0"/>
        <outline val="0"/>
        <shadow val="0"/>
        <u val="none"/>
        <vertAlign val="baseline"/>
        <sz val="10"/>
        <color theme="1"/>
        <name val="Arial"/>
        <scheme val="none"/>
      </font>
      <fill>
        <patternFill patternType="none">
          <fgColor theme="0"/>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000000"/>
        <name val="Arial"/>
        <scheme val="none"/>
      </font>
      <fill>
        <patternFill patternType="none">
          <fgColor indexed="64"/>
          <bgColor auto="1"/>
        </patternFill>
      </fill>
      <alignment horizontal="left" vertical="top" textRotation="0" wrapText="1" indent="0" justifyLastLine="0" shrinkToFit="0" readingOrder="0"/>
    </dxf>
    <dxf>
      <font>
        <b/>
        <i/>
        <color theme="8"/>
      </font>
      <fill>
        <patternFill>
          <bgColor theme="8" tint="0.79998168889431442"/>
        </patternFill>
      </fill>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horizontal="general"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b val="0"/>
        <i val="0"/>
        <strike val="0"/>
        <condense val="0"/>
        <extend val="0"/>
        <outline val="0"/>
        <shadow val="0"/>
        <u val="none"/>
        <vertAlign val="baseline"/>
        <sz val="10"/>
        <color theme="1"/>
        <name val="Arial"/>
        <scheme val="none"/>
      </font>
      <numFmt numFmtId="164" formatCode="#,##0;[Red]\(#,##0\)"/>
      <alignment horizontal="general"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horizontal="general"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font>
        <strike val="0"/>
        <outline val="0"/>
        <shadow val="0"/>
        <u val="none"/>
        <vertAlign val="baseline"/>
        <sz val="10"/>
        <color theme="1"/>
        <name val="Arial"/>
        <scheme val="none"/>
      </font>
      <numFmt numFmtId="0" formatCode="General"/>
      <alignment horizontal="center" vertical="center" textRotation="0" wrapText="0" indent="0" justifyLastLine="0" shrinkToFit="0" readingOrder="0"/>
    </dxf>
    <dxf>
      <font>
        <strike val="0"/>
        <outline val="0"/>
        <shadow val="0"/>
        <u val="none"/>
        <vertAlign val="baseline"/>
        <sz val="10"/>
        <color theme="1"/>
        <name val="Arial"/>
        <scheme val="none"/>
      </font>
      <numFmt numFmtId="0" formatCode="General"/>
      <alignment horizontal="center" vertical="center" textRotation="0" wrapText="0" indent="0" justifyLastLine="0" shrinkToFit="0" readingOrder="0"/>
    </dxf>
    <dxf>
      <font>
        <strike val="0"/>
        <outline val="0"/>
        <shadow val="0"/>
        <u val="none"/>
        <vertAlign val="baseline"/>
        <sz val="10"/>
        <color theme="1"/>
        <name val="Arial"/>
        <scheme val="none"/>
      </font>
      <alignment vertical="center" textRotation="0" wrapText="0" indent="0" justifyLastLine="0" shrinkToFit="0" readingOrder="0"/>
    </dxf>
    <dxf>
      <font>
        <strike val="0"/>
        <outline val="0"/>
        <shadow val="0"/>
        <u val="none"/>
        <vertAlign val="baseline"/>
        <sz val="10"/>
        <color theme="1"/>
        <name val="Arial"/>
        <scheme val="none"/>
      </font>
      <alignment vertical="center" textRotation="0" wrapText="0" indent="0" justifyLastLine="0" shrinkToFit="0" readingOrder="0"/>
    </dxf>
    <dxf>
      <font>
        <strike val="0"/>
        <outline val="0"/>
        <shadow val="0"/>
        <u val="none"/>
        <vertAlign val="baseline"/>
        <sz val="10"/>
        <color rgb="FF000000"/>
        <name val="Arial"/>
        <scheme val="none"/>
      </font>
    </dxf>
    <dxf>
      <font>
        <strike val="0"/>
        <outline val="0"/>
        <shadow val="0"/>
        <u val="none"/>
        <vertAlign val="baseline"/>
        <sz val="10"/>
        <color rgb="FF000000"/>
        <name val="Arial"/>
        <scheme val="none"/>
      </font>
      <alignment vertical="center" textRotation="0" wrapText="0" indent="0" justifyLastLine="0" shrinkToFit="0" readingOrder="0"/>
    </dxf>
    <dxf>
      <font>
        <strike val="0"/>
        <outline val="0"/>
        <shadow val="0"/>
        <u val="none"/>
        <vertAlign val="baseline"/>
        <sz val="10"/>
        <color theme="1"/>
        <name val="Arial"/>
        <scheme val="none"/>
      </font>
      <alignment horizontal="left" vertical="top" textRotation="0" wrapText="1" indent="0" justifyLastLine="0" shrinkToFit="0" readingOrder="0"/>
    </dxf>
    <dxf>
      <font>
        <b/>
        <i/>
        <color theme="8"/>
      </font>
      <fill>
        <patternFill>
          <bgColor theme="8" tint="0.79998168889431442"/>
        </patternFill>
      </fill>
    </dxf>
    <dxf>
      <font>
        <b/>
        <i/>
        <color theme="8"/>
      </font>
      <fill>
        <patternFill>
          <bgColor theme="8" tint="0.79998168889431442"/>
        </patternFill>
      </fill>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horizontal="general"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b val="0"/>
        <i val="0"/>
        <strike val="0"/>
        <condense val="0"/>
        <extend val="0"/>
        <outline val="0"/>
        <shadow val="0"/>
        <u val="none"/>
        <vertAlign val="baseline"/>
        <sz val="10"/>
        <color theme="1"/>
        <name val="Arial"/>
        <scheme val="none"/>
      </font>
      <numFmt numFmtId="164" formatCode="#,##0;[Red]\(#,##0\)"/>
      <alignment horizontal="general"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horizontal="general" vertical="center" textRotation="0" wrapText="0" indent="0" justifyLastLine="0" shrinkToFit="0" readingOrder="0"/>
    </dxf>
    <dxf>
      <numFmt numFmtId="168" formatCode="#,##0;\(#,##0\)"/>
    </dxf>
    <dxf>
      <font>
        <strike val="0"/>
        <outline val="0"/>
        <shadow val="0"/>
        <u val="none"/>
        <vertAlign val="baseline"/>
        <sz val="10"/>
        <color theme="1"/>
        <name val="Arial"/>
        <scheme val="none"/>
      </font>
      <numFmt numFmtId="164" formatCode="#,##0;[Red]\(#,##0\)"/>
      <alignment vertical="center" textRotation="0" wrapText="0" indent="0" justifyLastLine="0" shrinkToFit="0" readingOrder="0"/>
    </dxf>
    <dxf>
      <font>
        <strike val="0"/>
        <outline val="0"/>
        <shadow val="0"/>
        <u val="none"/>
        <vertAlign val="baseline"/>
        <sz val="10"/>
        <color theme="1"/>
        <name val="Arial"/>
        <scheme val="none"/>
      </font>
      <numFmt numFmtId="0" formatCode="General"/>
      <alignment horizontal="center" vertical="center" textRotation="0" wrapText="0" indent="0" justifyLastLine="0" shrinkToFit="0" readingOrder="0"/>
    </dxf>
    <dxf>
      <font>
        <strike val="0"/>
        <outline val="0"/>
        <shadow val="0"/>
        <u val="none"/>
        <vertAlign val="baseline"/>
        <sz val="10"/>
        <color theme="1"/>
        <name val="Arial"/>
        <scheme val="none"/>
      </font>
      <numFmt numFmtId="0" formatCode="General"/>
      <alignment horizontal="center" vertical="center" textRotation="0" wrapText="0" indent="0" justifyLastLine="0" shrinkToFit="0" readingOrder="0"/>
    </dxf>
    <dxf>
      <font>
        <strike val="0"/>
        <outline val="0"/>
        <shadow val="0"/>
        <u val="none"/>
        <vertAlign val="baseline"/>
        <sz val="10"/>
        <color theme="1"/>
        <name val="Arial"/>
        <scheme val="none"/>
      </font>
      <alignment vertical="center" textRotation="0" wrapText="0" indent="0" justifyLastLine="0" shrinkToFit="0" readingOrder="0"/>
    </dxf>
    <dxf>
      <font>
        <strike val="0"/>
        <outline val="0"/>
        <shadow val="0"/>
        <u val="none"/>
        <vertAlign val="baseline"/>
        <sz val="10"/>
        <color theme="1"/>
        <name val="Arial"/>
        <scheme val="none"/>
      </font>
      <alignment vertical="center" textRotation="0" wrapText="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vertical="center" textRotation="0" wrapText="0" indent="0" justifyLastLine="0" shrinkToFit="0" readingOrder="0"/>
    </dxf>
    <dxf>
      <font>
        <strike val="0"/>
        <outline val="0"/>
        <shadow val="0"/>
        <u val="none"/>
        <vertAlign val="baseline"/>
        <sz val="10"/>
        <color theme="1"/>
        <name val="Arial"/>
        <scheme val="none"/>
      </font>
      <alignment horizontal="left" vertical="top" textRotation="0" wrapText="1" indent="0" justifyLastLine="0" shrinkToFit="0" readingOrder="0"/>
    </dxf>
    <dxf>
      <font>
        <b/>
        <i/>
        <color theme="8"/>
      </font>
      <fill>
        <patternFill>
          <bgColor theme="8" tint="0.79998168889431442"/>
        </patternFill>
      </fill>
    </dxf>
    <dxf>
      <font>
        <b/>
        <i/>
        <color theme="8"/>
      </font>
      <fill>
        <patternFill>
          <bgColor theme="8" tint="0.79998168889431442"/>
        </patternFill>
      </fill>
    </dxf>
    <dxf>
      <fill>
        <patternFill patternType="solid">
          <fgColor theme="0"/>
          <bgColor rgb="FFECF3F3"/>
        </patternFill>
      </fill>
    </dxf>
    <dxf>
      <font>
        <b/>
        <i val="0"/>
      </font>
      <fill>
        <patternFill patternType="mediumGray">
          <fgColor theme="0" tint="-4.9989318521683403E-2"/>
        </patternFill>
      </fill>
    </dxf>
    <dxf>
      <font>
        <b/>
        <i val="0"/>
        <color theme="0"/>
      </font>
      <fill>
        <patternFill patternType="solid">
          <fgColor auto="1"/>
          <bgColor theme="5"/>
        </patternFill>
      </fill>
      <border>
        <top style="dashed">
          <color auto="1"/>
        </top>
        <bottom style="dashed">
          <color auto="1"/>
        </bottom>
      </border>
    </dxf>
    <dxf>
      <font>
        <b val="0"/>
        <i val="0"/>
        <color theme="0"/>
      </font>
      <fill>
        <patternFill patternType="solid">
          <fgColor auto="1"/>
          <bgColor theme="5"/>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solid">
          <fgColor theme="0"/>
          <bgColor rgb="FFEEEDF4"/>
        </patternFill>
      </fill>
    </dxf>
    <dxf>
      <font>
        <b/>
        <i val="0"/>
      </font>
      <fill>
        <patternFill patternType="mediumGray">
          <fgColor theme="0" tint="-4.9989318521683403E-2"/>
        </patternFill>
      </fill>
    </dxf>
    <dxf>
      <font>
        <b/>
        <i val="0"/>
        <color theme="0"/>
      </font>
      <fill>
        <patternFill patternType="solid">
          <fgColor auto="1"/>
          <bgColor theme="4"/>
        </patternFill>
      </fill>
      <border>
        <top style="dashed">
          <color auto="1"/>
        </top>
        <bottom style="dashed">
          <color auto="1"/>
        </bottom>
      </border>
    </dxf>
    <dxf>
      <font>
        <b val="0"/>
        <i val="0"/>
        <color theme="0"/>
      </font>
      <fill>
        <patternFill patternType="solid">
          <fgColor auto="1"/>
          <bgColor theme="4"/>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s>
  <tableStyles count="2" defaultTableStyle="TableStyleMedium2" defaultPivotStyle="PivotStyleLight16">
    <tableStyle name="Rob 3" pivot="0" count="5">
      <tableStyleElement type="wholeTable" dxfId="1036"/>
      <tableStyleElement type="headerRow" dxfId="1035"/>
      <tableStyleElement type="totalRow" dxfId="1034"/>
      <tableStyleElement type="firstColumn" dxfId="1033"/>
      <tableStyleElement type="secondRowStripe" dxfId="1032"/>
    </tableStyle>
    <tableStyle name="Rob 4" pivot="0" count="5">
      <tableStyleElement type="wholeTable" dxfId="1031"/>
      <tableStyleElement type="headerRow" dxfId="1030"/>
      <tableStyleElement type="totalRow" dxfId="1029"/>
      <tableStyleElement type="firstColumn" dxfId="1028"/>
      <tableStyleElement type="secondRowStripe" dxfId="1027"/>
    </tableStyle>
  </tableStyles>
  <colors>
    <mruColors>
      <color rgb="FF3C8A8A"/>
      <color rgb="FFCCE8E7"/>
      <color rgb="FFECF3F3"/>
      <color rgb="FFEEEDF4"/>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133351</xdr:colOff>
      <xdr:row>0</xdr:row>
      <xdr:rowOff>85724</xdr:rowOff>
    </xdr:from>
    <xdr:to>
      <xdr:col>5</xdr:col>
      <xdr:colOff>246821</xdr:colOff>
      <xdr:row>3</xdr:row>
      <xdr:rowOff>65642</xdr:rowOff>
    </xdr:to>
    <xdr:pic>
      <xdr:nvPicPr>
        <xdr:cNvPr id="2" name="Picture 1" title="HCA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91226" y="85724"/>
          <a:ext cx="1332670" cy="10562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orecast\hist20\HIS19FI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12" name="Data_Consolidated" displayName="Data_Consolidated" ref="A5:HX241" headerRowDxfId="1024" dataDxfId="1023" totalsRowDxfId="1022">
  <autoFilter ref="A5:HX241"/>
  <tableColumns count="232">
    <tableColumn id="1" name="RP_Code" totalsRowLabel="Total" dataDxfId="1021"/>
    <tableColumn id="2" name="RP_Name" dataDxfId="1020"/>
    <tableColumn id="3" name="FYE" dataDxfId="1019"/>
    <tableColumn id="244" name="Months covered by Accounts" dataDxfId="1018"/>
    <tableColumn id="4" name="Turnover" totalsRowFunction="sum" dataDxfId="1017" totalsRowDxfId="1016"/>
    <tableColumn id="6" name="Cost of sales" totalsRowFunction="sum" dataDxfId="1015" totalsRowDxfId="1014"/>
    <tableColumn id="5" name="Operating expenditure" totalsRowFunction="sum" dataDxfId="1013" totalsRowDxfId="1012"/>
    <tableColumn id="7" name="Operating Surplus/(Deficit)" totalsRowFunction="sum" dataDxfId="1011" totalsRowDxfId="1010"/>
    <tableColumn id="8" name="Gain/(Loss) on disposal of fixed assets" totalsRowFunction="sum" dataDxfId="1009" totalsRowDxfId="1008"/>
    <tableColumn id="9" name="Gift aid" totalsRowFunction="sum" dataDxfId="1007" totalsRowDxfId="1006"/>
    <tableColumn id="10" name="Other items" totalsRowFunction="sum" dataDxfId="1005" totalsRowDxfId="1004"/>
    <tableColumn id="11" name="Share of Op Surplus/(Deficit) in JV or Assoc" totalsRowFunction="sum" dataDxfId="1003" totalsRowDxfId="1002"/>
    <tableColumn id="12" name="Interest receivable" totalsRowFunction="sum" dataDxfId="1001" totalsRowDxfId="1000"/>
    <tableColumn id="13" name="Interest payable &amp; financing costs" totalsRowFunction="sum" dataDxfId="999" totalsRowDxfId="998"/>
    <tableColumn id="14" name="Movement in fair value - investment properties" totalsRowFunction="sum" dataDxfId="997" totalsRowDxfId="996"/>
    <tableColumn id="15" name="Movement in fair value - fin. Instruments" totalsRowFunction="sum" dataDxfId="995" totalsRowDxfId="994"/>
    <tableColumn id="16" name="Movement in valuation of housing properties" totalsRowFunction="sum" dataDxfId="993" totalsRowDxfId="992"/>
    <tableColumn id="17" name="Reversal of previous decrease in val. housing props." totalsRowFunction="sum" dataDxfId="991" totalsRowDxfId="990"/>
    <tableColumn id="18" name="Surplus/(Deficit) before tax" totalsRowFunction="sum" dataDxfId="989" totalsRowDxfId="988"/>
    <tableColumn id="19" name="Taxation" totalsRowFunction="sum" dataDxfId="987" totalsRowDxfId="986"/>
    <tableColumn id="20" name="Surplus/(Deficit) for the period" totalsRowFunction="sum" dataDxfId="985" totalsRowDxfId="984"/>
    <tableColumn id="21" name="Unrealised Sur/(Def) on reval. Housing Props" totalsRowFunction="sum" dataDxfId="983" totalsRowDxfId="982"/>
    <tableColumn id="22" name="Actuarial Gain/(Loss) pension schemes" totalsRowFunction="sum" dataDxfId="981" totalsRowDxfId="980"/>
    <tableColumn id="23" name="Change in fair value of hedged inst" totalsRowFunction="sum" dataDxfId="979" totalsRowDxfId="978"/>
    <tableColumn id="24" name="Other remeasurements" totalsRowFunction="sum" dataDxfId="977" totalsRowDxfId="976"/>
    <tableColumn id="25" name="Total Comp Income" totalsRowFunction="sum" dataDxfId="975" totalsRowDxfId="974"/>
    <tableColumn id="26" name="Rents" totalsRowFunction="sum" dataDxfId="973" totalsRowDxfId="972"/>
    <tableColumn id="27" name="Service charge income" totalsRowFunction="sum" dataDxfId="971" totalsRowDxfId="970"/>
    <tableColumn id="28" name="Net rental income" totalsRowFunction="sum" dataDxfId="969" totalsRowDxfId="968"/>
    <tableColumn id="29" name="Amortised gov. grants" totalsRowFunction="sum" dataDxfId="967" totalsRowDxfId="966"/>
    <tableColumn id="30" name="Gov grants taken to income" totalsRowFunction="sum" dataDxfId="965" totalsRowDxfId="964"/>
    <tableColumn id="31" name="Other grants" totalsRowFunction="sum" dataDxfId="963" totalsRowDxfId="962"/>
    <tableColumn id="32" name="Other SHL income" totalsRowFunction="sum" dataDxfId="961" totalsRowDxfId="960"/>
    <tableColumn id="33" name="Turnover from SHL" totalsRowFunction="sum" dataDxfId="959" totalsRowDxfId="958"/>
    <tableColumn id="34" name="Management" totalsRowFunction="sum" dataDxfId="957" totalsRowDxfId="956"/>
    <tableColumn id="35" name="Service charge costs" totalsRowFunction="sum" dataDxfId="955" totalsRowDxfId="954"/>
    <tableColumn id="36" name="Routine maintenance" totalsRowFunction="sum" dataDxfId="953" totalsRowDxfId="952"/>
    <tableColumn id="37" name="Planned maintenance" totalsRowFunction="sum" dataDxfId="951" totalsRowDxfId="950"/>
    <tableColumn id="38" name="Major repairs expenditure" totalsRowFunction="sum" dataDxfId="949" totalsRowDxfId="948"/>
    <tableColumn id="39" name="Bad debts" totalsRowFunction="sum" dataDxfId="947" totalsRowDxfId="946"/>
    <tableColumn id="40" name="Depreciation of housing properties" totalsRowFunction="sum" dataDxfId="945" totalsRowDxfId="944"/>
    <tableColumn id="41" name="Impairment of housing properties" totalsRowFunction="sum" dataDxfId="943" totalsRowDxfId="942"/>
    <tableColumn id="42" name="Other costs" totalsRowFunction="sum" dataDxfId="941" totalsRowDxfId="940"/>
    <tableColumn id="43" name="Expenditure on SHL" totalsRowFunction="sum" dataDxfId="939" totalsRowDxfId="938"/>
    <tableColumn id="44" name="Operating Surplus/(Def) on SHL" totalsRowFunction="sum" dataDxfId="937" totalsRowDxfId="936"/>
    <tableColumn id="45" name="Void Losses" totalsRowFunction="sum" dataDxfId="935" totalsRowDxfId="934"/>
    <tableColumn id="46" name="Housing properties at cost" totalsRowFunction="sum" dataDxfId="933" totalsRowDxfId="932"/>
    <tableColumn id="47" name="Housing properties at valuation" totalsRowFunction="sum" dataDxfId="931" totalsRowDxfId="930"/>
    <tableColumn id="49" name="Other tangible fixed assets" totalsRowFunction="sum" dataDxfId="929" totalsRowDxfId="928"/>
    <tableColumn id="50" name="Intangible fixed assets &amp; goodwill" totalsRowFunction="sum" dataDxfId="927" totalsRowDxfId="926"/>
    <tableColumn id="51" name="HomeBuy loans receivable" totalsRowFunction="sum" dataDxfId="925" totalsRowDxfId="924"/>
    <tableColumn id="52" name="Investment properties" totalsRowFunction="sum" dataDxfId="923" totalsRowDxfId="922"/>
    <tableColumn id="53" name="Investment in Joint Ventures" totalsRowFunction="sum" dataDxfId="921" totalsRowDxfId="920"/>
    <tableColumn id="54" name="Investment in associates" totalsRowFunction="sum" dataDxfId="919" totalsRowDxfId="918"/>
    <tableColumn id="55" name="Amounts owed by group undertakings" totalsRowFunction="sum" dataDxfId="917" totalsRowDxfId="916"/>
    <tableColumn id="56" name="Other investments" totalsRowFunction="sum" dataDxfId="915" totalsRowDxfId="914"/>
    <tableColumn id="57" name="Total fixed assets" totalsRowFunction="sum" dataDxfId="913" totalsRowDxfId="912"/>
    <tableColumn id="58" name="Properties held for sale" totalsRowFunction="sum" dataDxfId="911" totalsRowDxfId="910"/>
    <tableColumn id="59" name="Trade &amp; other debtors" totalsRowFunction="sum" dataDxfId="909" totalsRowDxfId="908"/>
    <tableColumn id="60" name="Cash &amp; cash equiv." totalsRowFunction="sum" dataDxfId="907" totalsRowDxfId="906"/>
    <tableColumn id="61" name="Short term investments" totalsRowFunction="sum" dataDxfId="905" totalsRowDxfId="904"/>
    <tableColumn id="62" name="Other current assets" totalsRowFunction="sum" dataDxfId="903" totalsRowDxfId="902"/>
    <tableColumn id="63" name="Total current assets" totalsRowFunction="sum" dataDxfId="901" totalsRowDxfId="900"/>
    <tableColumn id="64" name="Short term loans" totalsRowFunction="sum" dataDxfId="899" totalsRowDxfId="898"/>
    <tableColumn id="65" name="Bank overdrafts" totalsRowFunction="sum" dataDxfId="897" totalsRowDxfId="896"/>
    <tableColumn id="66" name="Deferred capital grant (short term)" totalsRowFunction="sum" dataDxfId="895" totalsRowDxfId="894"/>
    <tableColumn id="67" name="Other creditors due within 1 year" totalsRowFunction="sum" dataDxfId="893" totalsRowDxfId="892"/>
    <tableColumn id="68" name="Total creditors due within 1 year" totalsRowFunction="sum" dataDxfId="891" totalsRowDxfId="890"/>
    <tableColumn id="69" name="Net Current Assets/Liabilities" totalsRowFunction="sum" dataDxfId="889" totalsRowDxfId="888"/>
    <tableColumn id="70" name="Total assets less current liabilities" totalsRowFunction="sum" dataDxfId="887" totalsRowDxfId="886"/>
    <tableColumn id="71" name="Long term loans" totalsRowFunction="sum" dataDxfId="885" totalsRowDxfId="884"/>
    <tableColumn id="72" name="Amounts owed to group undertakings" totalsRowFunction="sum" dataDxfId="883" totalsRowDxfId="882"/>
    <tableColumn id="73" name="Finance lease obligations" totalsRowFunction="sum" dataDxfId="881" totalsRowDxfId="880"/>
    <tableColumn id="74" name="Deferred capital grant (long term)" totalsRowFunction="sum" dataDxfId="879" totalsRowDxfId="878"/>
    <tableColumn id="75" name="HomeBuy grant deferred income" totalsRowFunction="sum" dataDxfId="877" totalsRowDxfId="876"/>
    <tableColumn id="76" name="Fair value of derivative financial instruments - SOFP" totalsRowFunction="sum" dataDxfId="875" totalsRowDxfId="874"/>
    <tableColumn id="77" name="Other long term creditors" totalsRowFunction="sum" dataDxfId="873" totalsRowDxfId="872"/>
    <tableColumn id="78" name="Total creditors due after 1 year" totalsRowFunction="sum" dataDxfId="871" totalsRowDxfId="870"/>
    <tableColumn id="79" name="Pension provision" totalsRowFunction="sum" dataDxfId="869" totalsRowDxfId="868"/>
    <tableColumn id="80" name="Other provisions" totalsRowFunction="sum" dataDxfId="867" totalsRowDxfId="866"/>
    <tableColumn id="81" name="Total net assets" totalsRowFunction="sum" dataDxfId="865" totalsRowDxfId="864"/>
    <tableColumn id="82" name="Income &amp; expenditure reserve" totalsRowFunction="sum" dataDxfId="863" totalsRowDxfId="862"/>
    <tableColumn id="83" name="Revaluation reserve" totalsRowFunction="sum" dataDxfId="861" totalsRowDxfId="860"/>
    <tableColumn id="84" name="Restricted reserve" totalsRowFunction="sum" dataDxfId="859" totalsRowDxfId="858"/>
    <tableColumn id="85" name="Cashflow Hedge Reserve" totalsRowFunction="sum" dataDxfId="857" totalsRowDxfId="856"/>
    <tableColumn id="86" name="Other reserves" totalsRowFunction="sum" dataDxfId="855" totalsRowDxfId="854"/>
    <tableColumn id="87" name="Total reserves" totalsRowFunction="sum" dataDxfId="853" totalsRowDxfId="852"/>
    <tableColumn id="88" name="Other social housing activities - 1st Tranche LCHO Sales - Turnover" totalsRowFunction="sum" dataDxfId="851" totalsRowDxfId="850"/>
    <tableColumn id="89" name="Other social housing activities - 1st Tranche LCHO Sales - Cost of Sales" totalsRowFunction="sum" dataDxfId="849" totalsRowDxfId="848"/>
    <tableColumn id="90" name="Other social housing activities - 1st Tranche LCHO Sales - Operating Expenditure" totalsRowFunction="sum" dataDxfId="847" totalsRowDxfId="846"/>
    <tableColumn id="91" name="Other social housing activities - 1st Tranche LCHO Sales - Op. Surplus/(Def.)" totalsRowFunction="sum" dataDxfId="845" totalsRowDxfId="844"/>
    <tableColumn id="92" name="Other social housing activities - Charges for Support Services - Turnover" totalsRowFunction="sum" dataDxfId="843" totalsRowDxfId="842"/>
    <tableColumn id="93" name="Other social housing activities - Charges for Support Services - Cost of Sales" totalsRowFunction="sum" dataDxfId="841" totalsRowDxfId="840"/>
    <tableColumn id="94" name="Other social housing activities - Charges for Support Services - Operating Expenditure" totalsRowFunction="sum" dataDxfId="839" totalsRowDxfId="838"/>
    <tableColumn id="95" name="Other social housing activities - Charges for Support Services - Op. Surplus/(Def.)" totalsRowFunction="sum" dataDxfId="837" totalsRowDxfId="836"/>
    <tableColumn id="96" name="Other social housing activities - Development Services - Turnover" totalsRowFunction="sum" dataDxfId="835" totalsRowDxfId="834"/>
    <tableColumn id="97" name="Other social housing activities - Development Services - Cost of Sales" totalsRowFunction="sum" dataDxfId="833" totalsRowDxfId="832"/>
    <tableColumn id="98" name="Other social housing activities - Development Services - Operating Expenditure" totalsRowFunction="sum" dataDxfId="831" totalsRowDxfId="830"/>
    <tableColumn id="99" name="Other social housing activities - Development Services - Op. Surplus/(Def.)" totalsRowFunction="sum" dataDxfId="829" totalsRowDxfId="828"/>
    <tableColumn id="100" name="Other social housing activities - Neighbourhood Services - Turnover" totalsRowFunction="sum" dataDxfId="827" totalsRowDxfId="826"/>
    <tableColumn id="101" name="Other social housing activities - Neighbourhood Services - Cost of Sales" totalsRowFunction="sum" dataDxfId="825" totalsRowDxfId="824"/>
    <tableColumn id="102" name="Other social housing activities - Neighbourhood Services - Operating Expenditure" totalsRowFunction="sum" dataDxfId="823" totalsRowDxfId="822"/>
    <tableColumn id="103" name="Other social housing activities - Neighbourhood Services - Op. Surplus/(Def.)" totalsRowFunction="sum" dataDxfId="821" totalsRowDxfId="820"/>
    <tableColumn id="104" name="Other social housing activities - Other - Turnover" totalsRowFunction="sum" dataDxfId="819" totalsRowDxfId="818"/>
    <tableColumn id="105" name="Other social housing activities - Other - Cost of Sales" totalsRowFunction="sum" dataDxfId="817" totalsRowDxfId="816"/>
    <tableColumn id="106" name="Other social housing activities - Other - Operating Costs" totalsRowFunction="sum" dataDxfId="815" totalsRowDxfId="814"/>
    <tableColumn id="107" name="Other social housing activities - Other - Op. Surplus/(Def.)" totalsRowFunction="sum" dataDxfId="813" totalsRowDxfId="812"/>
    <tableColumn id="108" name="Total other social housing activities - Turnover" totalsRowFunction="sum" dataDxfId="811" totalsRowDxfId="810"/>
    <tableColumn id="109" name="Total other social housing activities - Cost of sales" totalsRowFunction="sum" dataDxfId="809" totalsRowDxfId="808"/>
    <tableColumn id="110" name="Total other social housing activities - Operating expenditure" totalsRowFunction="sum" dataDxfId="807" totalsRowDxfId="806"/>
    <tableColumn id="111" name="Total other social housing activities - Op. Surplus/{Def.)" totalsRowFunction="sum" dataDxfId="805" totalsRowDxfId="804"/>
    <tableColumn id="112" name="Non-social housing - Prop. built for sale - Turnover" totalsRowFunction="sum" dataDxfId="803" totalsRowDxfId="802"/>
    <tableColumn id="113" name="Non-social housing - Prop. built for sale - Cost of sales" totalsRowFunction="sum" dataDxfId="801" totalsRowDxfId="800"/>
    <tableColumn id="114" name="Non-social housing - Prop. built for sale - Operating expenditure" totalsRowFunction="sum" dataDxfId="799" totalsRowDxfId="798"/>
    <tableColumn id="115" name="Non-social housing - Prop. built for sale - Op. Surplus/(Def.)" totalsRowFunction="sum" dataDxfId="797" totalsRowDxfId="796"/>
    <tableColumn id="116" name="Non-social housing - Student accom. - Turnover" totalsRowFunction="sum" dataDxfId="795" totalsRowDxfId="794"/>
    <tableColumn id="117" name="Non-social housing - Student accom. - Cost of sales" totalsRowFunction="sum" dataDxfId="793" totalsRowDxfId="792"/>
    <tableColumn id="118" name="Non-social housing - Student accom. - Operating expenditure" totalsRowFunction="sum" dataDxfId="791" totalsRowDxfId="790"/>
    <tableColumn id="119" name="Non-social housing - Student accom. - Op. Surplus/(Def.)" totalsRowFunction="sum" dataDxfId="789" totalsRowDxfId="788"/>
    <tableColumn id="120" name="Non-social housing - Nursing homes - Turnover" totalsRowFunction="sum" dataDxfId="787" totalsRowDxfId="786"/>
    <tableColumn id="121" name="Non-social housing - Nursing homes - Cost of sales" totalsRowFunction="sum" dataDxfId="785" totalsRowDxfId="784"/>
    <tableColumn id="122" name="Non-social housing - Nursing homes - Operating expenditure" totalsRowFunction="sum" dataDxfId="783" totalsRowDxfId="782"/>
    <tableColumn id="123" name="Non-social housing - Nursing homes - Op. Surplus/(Def.)" totalsRowFunction="sum" dataDxfId="781" totalsRowDxfId="780"/>
    <tableColumn id="124" name="Non-social housing - Market rent - Turnover" totalsRowFunction="sum" dataDxfId="779" totalsRowDxfId="778"/>
    <tableColumn id="125" name="Non-social housing - Market rent - Cost of sales" totalsRowFunction="sum" dataDxfId="777" totalsRowDxfId="776"/>
    <tableColumn id="126" name="Non-social housing - Market rent - Operating expenditure" totalsRowFunction="sum" dataDxfId="775" totalsRowDxfId="774"/>
    <tableColumn id="127" name="Non-social housing - Market rent - Op. Surplus/(Def.)" totalsRowFunction="sum" dataDxfId="773" totalsRowDxfId="772"/>
    <tableColumn id="128" name="Non-social housing - Support services - Turnover" totalsRowFunction="sum" dataDxfId="771" totalsRowDxfId="770"/>
    <tableColumn id="129" name="Non-social housing - Support services - Cost of sales" totalsRowFunction="sum" dataDxfId="769" totalsRowDxfId="768"/>
    <tableColumn id="130" name="Non-social housing - Support services - Operating expenditure" totalsRowFunction="sum" dataDxfId="767" totalsRowDxfId="766"/>
    <tableColumn id="131" name="Non-social housing - Support services - Op. Surplus/(Def.)" totalsRowFunction="sum" dataDxfId="765" totalsRowDxfId="764"/>
    <tableColumn id="132" name="Non-social housing - Other - Turnover" totalsRowFunction="sum" dataDxfId="763" totalsRowDxfId="762"/>
    <tableColumn id="133" name="Non-social housing - Other - Cost of sales" totalsRowFunction="sum" dataDxfId="761" totalsRowDxfId="760"/>
    <tableColumn id="134" name="Non-social housing - Other - Operating expenditure" totalsRowFunction="sum" dataDxfId="759" totalsRowDxfId="758"/>
    <tableColumn id="135" name="Non-social housing - Other - Op. Surplus/(Def.)" totalsRowFunction="sum" dataDxfId="757" totalsRowDxfId="756"/>
    <tableColumn id="136" name="Total non-social housing activity - Turnover" totalsRowFunction="sum" dataDxfId="755" totalsRowDxfId="754"/>
    <tableColumn id="137" name="Total non-social housing activity - Cost of sales" totalsRowFunction="sum" dataDxfId="753" totalsRowDxfId="752"/>
    <tableColumn id="138" name="Total non-social housing activity - Operating expenditure" totalsRowFunction="sum" dataDxfId="751" totalsRowDxfId="750"/>
    <tableColumn id="139" name="Total non-social housing activity - Op. Surplus/(Def.)" totalsRowFunction="sum" dataDxfId="749" totalsRowDxfId="748"/>
    <tableColumn id="140" name="Total activity other than SHL - Turnover" totalsRowFunction="sum" dataDxfId="747" totalsRowDxfId="746"/>
    <tableColumn id="141" name="Total activity other than SHL - Cost of sales" totalsRowFunction="sum" dataDxfId="745" totalsRowDxfId="744"/>
    <tableColumn id="142" name="Total activity other than SHL - Operating expenditure" totalsRowFunction="sum" dataDxfId="743" totalsRowDxfId="742"/>
    <tableColumn id="143" name="Total activity other than SHL - Op. Surplus/(Def.)" totalsRowFunction="sum" dataDxfId="741" totalsRowDxfId="740"/>
    <tableColumn id="158" name="Gross arrears Current" totalsRowFunction="sum" dataDxfId="739" totalsRowDxfId="738"/>
    <tableColumn id="159" name="Gross arrears Former" totalsRowFunction="sum" dataDxfId="737" totalsRowDxfId="736"/>
    <tableColumn id="160" name="Provision for bad/doubtful debts Current" totalsRowFunction="sum" dataDxfId="735" totalsRowDxfId="734"/>
    <tableColumn id="161" name="Provision for bad/doubtful debts Former" totalsRowFunction="sum" dataDxfId="733" totalsRowDxfId="732"/>
    <tableColumn id="162" name="Properties held at cost (opening)" totalsRowFunction="sum" dataDxfId="731" totalsRowDxfId="730"/>
    <tableColumn id="163" name="Properties held at valuation (opening)" totalsRowFunction="sum" dataDxfId="729" totalsRowDxfId="728"/>
    <tableColumn id="164" name="Total properties held at start of period" totalsRowFunction="sum" dataDxfId="727" totalsRowDxfId="726"/>
    <tableColumn id="165" name="Additions" totalsRowFunction="sum" dataDxfId="725" totalsRowDxfId="724"/>
    <tableColumn id="172" name="Disposals" totalsRowFunction="sum" dataDxfId="723" totalsRowDxfId="722"/>
    <tableColumn id="148" name="Transfer treated as acquisition (#)" dataDxfId="721" totalsRowDxfId="720"/>
    <tableColumn id="173" name="Inter-company transfers" totalsRowFunction="sum" dataDxfId="719" totalsRowDxfId="718"/>
    <tableColumn id="171" name="Revaluation and Other" totalsRowFunction="sum" dataDxfId="717" totalsRowDxfId="716"/>
    <tableColumn id="175" name="Total properties held at end of period" totalsRowFunction="sum" dataDxfId="715" totalsRowDxfId="714"/>
    <tableColumn id="176" name="Depreciation &amp; Impairment at start of period" totalsRowFunction="sum" dataDxfId="713" totalsRowDxfId="712"/>
    <tableColumn id="177" name="Depreciation charged in period" totalsRowFunction="sum" dataDxfId="711" totalsRowDxfId="710"/>
    <tableColumn id="178" name="Impairment charged in period" totalsRowFunction="sum" dataDxfId="709" totalsRowDxfId="708"/>
    <tableColumn id="179" name="Revaluation (dep. &amp; imp.)" totalsRowFunction="sum" dataDxfId="707" totalsRowDxfId="706"/>
    <tableColumn id="180" name="Released on disposal" totalsRowFunction="sum" dataDxfId="705" totalsRowDxfId="704"/>
    <tableColumn id="181" name="Inter-company transfers (depn. &amp; imp.)" totalsRowFunction="sum" dataDxfId="703" totalsRowDxfId="702"/>
    <tableColumn id="182" name="Other Dep. &amp; Imp." totalsRowFunction="sum" dataDxfId="701" totalsRowDxfId="700"/>
    <tableColumn id="183" name="Depreciation &amp; Impairment at end of period" totalsRowFunction="sum" dataDxfId="699" totalsRowDxfId="698"/>
    <tableColumn id="184" name="Net book value at end of period" totalsRowFunction="sum" dataDxfId="697" totalsRowDxfId="696"/>
    <tableColumn id="185" name="Net book value at start of period" totalsRowFunction="sum" dataDxfId="695" totalsRowDxfId="694"/>
    <tableColumn id="186" name="Shared ownership staircasing - Proceeds" totalsRowFunction="sum" dataDxfId="693" totalsRowDxfId="692"/>
    <tableColumn id="187" name="Shared ownership staircasing - Cost of sales" totalsRowFunction="sum" dataDxfId="691" totalsRowDxfId="690"/>
    <tableColumn id="188" name="Shared ownership staircasing - Surplus" totalsRowFunction="sum" dataDxfId="689" totalsRowDxfId="688"/>
    <tableColumn id="189" name="Right to Buy - Proceeds" totalsRowFunction="sum" dataDxfId="687" totalsRowDxfId="686"/>
    <tableColumn id="190" name="Right to Buy - Cost of sales" totalsRowFunction="sum" dataDxfId="685" totalsRowDxfId="684"/>
    <tableColumn id="191" name="Right to Buy - Surplus" totalsRowFunction="sum" dataDxfId="683" totalsRowDxfId="682"/>
    <tableColumn id="192" name="Right to Acquire - Proceeds" totalsRowFunction="sum" dataDxfId="681" totalsRowDxfId="680"/>
    <tableColumn id="193" name="Right to Acquire - Cost of sales" totalsRowFunction="sum" dataDxfId="679" totalsRowDxfId="678"/>
    <tableColumn id="194" name="Right to Acquire - Surplus" totalsRowFunction="sum" dataDxfId="677" totalsRowDxfId="676"/>
    <tableColumn id="195" name="Other social housing sales - Proceeds" totalsRowFunction="sum" dataDxfId="675" totalsRowDxfId="674"/>
    <tableColumn id="196" name="Other social housing sales - Cost of sales" totalsRowFunction="sum" dataDxfId="673" totalsRowDxfId="672"/>
    <tableColumn id="197" name="Other social housing sales - Surplus" totalsRowFunction="sum" dataDxfId="671" totalsRowDxfId="670"/>
    <tableColumn id="198" name="Sale to other RPs - Proceeds" totalsRowFunction="sum" dataDxfId="669" totalsRowDxfId="668"/>
    <tableColumn id="199" name="Sale to other RPs - Cost of sales" totalsRowFunction="sum" dataDxfId="667" totalsRowDxfId="666"/>
    <tableColumn id="200" name="Sale to other RPs - Surplus" totalsRowFunction="sum" dataDxfId="665" totalsRowDxfId="664"/>
    <tableColumn id="201" name="Sale of other assets - Proceeds" totalsRowFunction="sum" dataDxfId="663" totalsRowDxfId="662"/>
    <tableColumn id="202" name="Sale of other assets - Cost of sales" totalsRowFunction="sum" dataDxfId="661" totalsRowDxfId="660"/>
    <tableColumn id="203" name="Sale of other assets - Surplus" totalsRowFunction="sum" dataDxfId="659" totalsRowDxfId="658"/>
    <tableColumn id="204" name="Profit/(Loss) on sale of fixed assets - Proceeds" totalsRowFunction="sum" dataDxfId="657" totalsRowDxfId="656"/>
    <tableColumn id="205" name="Profit/(Loss) on sale of fixed assets - Cost of sales" totalsRowFunction="sum" dataDxfId="655" totalsRowDxfId="654"/>
    <tableColumn id="206" name="Profit/(Loss) on sale of fixed assets - Surplus" totalsRowFunction="sum" dataDxfId="653" totalsRowDxfId="652"/>
    <tableColumn id="207" name="Amounts owed by group undertakings (within 1 year)" totalsRowFunction="sum" dataDxfId="651" totalsRowDxfId="650"/>
    <tableColumn id="208" name="Loans to employees" totalsRowFunction="sum" dataDxfId="649" totalsRowDxfId="648"/>
    <tableColumn id="209" name="Grants receivable" totalsRowFunction="sum" dataDxfId="647" totalsRowDxfId="646"/>
    <tableColumn id="210" name="Refurbishment obligation" totalsRowFunction="sum" dataDxfId="645" totalsRowDxfId="644"/>
    <tableColumn id="211" name="Fair value of derivative financial instruments - Current Assets" totalsRowFunction="sum" dataDxfId="643" totalsRowDxfId="642"/>
    <tableColumn id="212" name="Other debtors and prepayments" totalsRowFunction="sum" dataDxfId="641" totalsRowDxfId="640"/>
    <tableColumn id="213" name="Total other current assets" totalsRowFunction="sum" dataDxfId="639" totalsRowDxfId="638"/>
    <tableColumn id="214" name="Trade creditors" totalsRowFunction="sum" dataDxfId="637" totalsRowDxfId="636"/>
    <tableColumn id="215" name="Rent and service charges received in advance" totalsRowFunction="sum" dataDxfId="635" totalsRowDxfId="634"/>
    <tableColumn id="216" name="Amount owed to group undertakings (within 1 year)" totalsRowFunction="sum" dataDxfId="633" totalsRowDxfId="632"/>
    <tableColumn id="217" name="Recycled capital grant fund" totalsRowFunction="sum" dataDxfId="631" totalsRowDxfId="630"/>
    <tableColumn id="218" name="Disposal proceeds fund" totalsRowFunction="sum" dataDxfId="629" totalsRowDxfId="628"/>
    <tableColumn id="219" name="Accruals and deferred income" totalsRowFunction="sum" dataDxfId="627" totalsRowDxfId="626"/>
    <tableColumn id="220" name="Obligations under finance leases" totalsRowFunction="sum" dataDxfId="625" totalsRowDxfId="624"/>
    <tableColumn id="221" name="Short term refurbishment liability" totalsRowFunction="sum" dataDxfId="623" totalsRowDxfId="622"/>
    <tableColumn id="222" name="Pension deficit contribution liability - current" totalsRowFunction="sum" dataDxfId="621" totalsRowDxfId="620"/>
    <tableColumn id="223" name="Fair value of derivative financial instruments - Current Liabilities" totalsRowFunction="sum" dataDxfId="619" totalsRowDxfId="618"/>
    <tableColumn id="224" name="Other creditors" totalsRowFunction="sum" dataDxfId="617" totalsRowDxfId="616"/>
    <tableColumn id="225" name="Total other current liabilities" totalsRowFunction="sum" dataDxfId="615" totalsRowDxfId="614"/>
    <tableColumn id="226" name="OLTC - Recycled capital grant fund" totalsRowFunction="sum" dataDxfId="613" totalsRowDxfId="612"/>
    <tableColumn id="227" name="OLTC - Disposal proceeds fund" totalsRowFunction="sum" dataDxfId="611" totalsRowDxfId="610"/>
    <tableColumn id="228" name="Pension deficit contribution liability - Long Term" totalsRowFunction="sum" dataDxfId="609" totalsRowDxfId="608"/>
    <tableColumn id="229" name="OLTC - Other creditors" totalsRowFunction="sum" dataDxfId="607" totalsRowDxfId="606"/>
    <tableColumn id="230" name="Total other long term creditors" totalsRowFunction="sum" dataDxfId="605" totalsRowDxfId="604"/>
    <tableColumn id="231" name="Refurbishment provision" totalsRowFunction="sum" dataDxfId="603" totalsRowDxfId="602"/>
    <tableColumn id="232" name="Other provisions - other" totalsRowFunction="sum" dataDxfId="601" totalsRowDxfId="600"/>
    <tableColumn id="233" name="Total other provisions" totalsRowFunction="sum" dataDxfId="599" totalsRowDxfId="598"/>
    <tableColumn id="234" name="Interest payable on liabilities" totalsRowFunction="sum" dataDxfId="597" totalsRowDxfId="596"/>
    <tableColumn id="235" name="Amortisation of loan premiums and arrangement costs" totalsRowFunction="sum" dataDxfId="595" totalsRowDxfId="594"/>
    <tableColumn id="236" name="Defined benefit pension charges" totalsRowFunction="sum" dataDxfId="593" totalsRowDxfId="592"/>
    <tableColumn id="237" name="Accruals on DPF and RCGF" totalsRowFunction="sum" dataDxfId="591" totalsRowDxfId="590"/>
    <tableColumn id="238" name="Other amounts payable" totalsRowFunction="sum" dataDxfId="589" totalsRowDxfId="588"/>
    <tableColumn id="239" name="Less: interest capitalised in housing properties" totalsRowFunction="sum" dataDxfId="587" totalsRowDxfId="586"/>
    <tableColumn id="240" name="Total interest payable and financing costs" totalsRowFunction="sum" dataDxfId="585" totalsRowDxfId="584"/>
    <tableColumn id="241" name="Capitalised major repairs expenditure for period" totalsRowFunction="sum" dataDxfId="583" totalsRowDxfId="582"/>
    <tableColumn id="242" name="Total depreciation charge for period" totalsRowFunction="sum" dataDxfId="581" totalsRowDxfId="580"/>
    <tableColumn id="243" name="Total impairment charged/(released) for the period" totalsRowFunction="sum" dataDxfId="579" totalsRowDxfId="578"/>
    <tableColumn id="145" name="Social housing units acquired or developed" totalsRowFunction="sum" dataDxfId="577" totalsRowDxfId="576"/>
    <tableColumn id="146" name="Social housing units sold / demolished" totalsRowFunction="sum" dataDxfId="575" totalsRowDxfId="574"/>
    <tableColumn id="147" name="Social housing units transferred and other movements (~)" totalsRowFunction="sum" dataDxfId="573" totalsRowDxfId="572"/>
    <tableColumn id="150" name="Closing social housing units managed" totalsRowFunction="sum" dataDxfId="571" totalsRowDxfId="570"/>
    <tableColumn id="152" name="Non-social housing units acquired or developed" totalsRowFunction="sum" dataDxfId="569" totalsRowDxfId="568"/>
    <tableColumn id="153" name="Non-social housing units sold / demolished" totalsRowFunction="sum" dataDxfId="567" totalsRowDxfId="566"/>
    <tableColumn id="154" name="Non-social housing units transferred and other movements" totalsRowFunction="sum" dataDxfId="565" totalsRowDxfId="564"/>
    <tableColumn id="157" name="Closing non-social housing units managed" totalsRowFunction="sum" dataDxfId="563" totalsRowDxfId="562"/>
  </tableColumns>
  <tableStyleInfo name="Rob 3" showFirstColumn="0" showLastColumn="0" showRowStripes="1" showColumnStripes="0"/>
  <extLst>
    <ext xmlns:x14="http://schemas.microsoft.com/office/spreadsheetml/2009/9/main" uri="{504A1905-F514-4f6f-8877-14C23A59335A}">
      <x14:table altText="GA2017 Consolidated" altTextSummary="Table containing source data for the Global Accounts 2017 at consolidated group level."/>
    </ext>
  </extLst>
</table>
</file>

<file path=xl/tables/table2.xml><?xml version="1.0" encoding="utf-8"?>
<table xmlns="http://schemas.openxmlformats.org/spreadsheetml/2006/main" id="14" name="Data_Entity" displayName="Data_Entity" ref="A5:HX324" headerRowDxfId="559" dataDxfId="558" totalsRowDxfId="557">
  <autoFilter ref="A5:HX324"/>
  <tableColumns count="232">
    <tableColumn id="1" name="RP_Code" totalsRowLabel="Total" dataDxfId="556"/>
    <tableColumn id="2" name="RP_Name" dataDxfId="555"/>
    <tableColumn id="3" name="FYE" dataDxfId="554"/>
    <tableColumn id="244" name="Months covered by Accounts" dataDxfId="553"/>
    <tableColumn id="4" name="Turnover" totalsRowFunction="sum" dataDxfId="552" totalsRowDxfId="551"/>
    <tableColumn id="6" name="Cost of sales" totalsRowFunction="sum" dataDxfId="550" totalsRowDxfId="549"/>
    <tableColumn id="5" name="Operating expenditure" totalsRowFunction="sum" dataDxfId="548" totalsRowDxfId="547"/>
    <tableColumn id="7" name="Operating Surplus/(Deficit)" totalsRowFunction="sum" dataDxfId="546" totalsRowDxfId="545"/>
    <tableColumn id="8" name="Gain/(Loss) on disposal of fixed assets" totalsRowFunction="sum" dataDxfId="544" totalsRowDxfId="543"/>
    <tableColumn id="9" name="Gift aid" totalsRowFunction="sum" dataDxfId="542" totalsRowDxfId="541"/>
    <tableColumn id="10" name="Other items" totalsRowFunction="sum" dataDxfId="540" totalsRowDxfId="539"/>
    <tableColumn id="11" name="Share of Op Surplus/(Deficit) in JV or Assoc" totalsRowFunction="sum" dataDxfId="538" totalsRowDxfId="537"/>
    <tableColumn id="12" name="Interest receivable" totalsRowFunction="sum" dataDxfId="536" totalsRowDxfId="535"/>
    <tableColumn id="13" name="Interest payable &amp; financing costs" totalsRowFunction="sum" dataDxfId="534" totalsRowDxfId="533"/>
    <tableColumn id="14" name="Movement in fair value - investment properties" totalsRowFunction="sum" dataDxfId="532" totalsRowDxfId="531"/>
    <tableColumn id="15" name="Movement in fair value - fin. Instruments" totalsRowFunction="sum" dataDxfId="530" totalsRowDxfId="529"/>
    <tableColumn id="16" name="Movement in valuation of housing properties" totalsRowFunction="sum" dataDxfId="528" totalsRowDxfId="527"/>
    <tableColumn id="17" name="Reversal of previous decrease in val. housing props." totalsRowFunction="sum" dataDxfId="526" totalsRowDxfId="525"/>
    <tableColumn id="18" name="Surplus/(Deficit) before tax" totalsRowFunction="sum" dataDxfId="524" totalsRowDxfId="523"/>
    <tableColumn id="19" name="Taxation" totalsRowFunction="sum" dataDxfId="522" totalsRowDxfId="521"/>
    <tableColumn id="20" name="Surplus/(Deficit) for the period" totalsRowFunction="sum" dataDxfId="520" totalsRowDxfId="519"/>
    <tableColumn id="21" name="Unrealised Sur/(Def) on reval. Housing Props" totalsRowFunction="sum" dataDxfId="518" totalsRowDxfId="517"/>
    <tableColumn id="22" name="Actuarial Gain/(Loss) pension schemes" totalsRowFunction="sum" dataDxfId="516" totalsRowDxfId="515"/>
    <tableColumn id="23" name="Change in fair value of hedged inst" totalsRowFunction="sum" dataDxfId="514" totalsRowDxfId="513"/>
    <tableColumn id="24" name="Other remeasurements" totalsRowFunction="sum" dataDxfId="512" totalsRowDxfId="511"/>
    <tableColumn id="25" name="Total Comp Income" totalsRowFunction="sum" dataDxfId="510" totalsRowDxfId="509"/>
    <tableColumn id="26" name="Rents" totalsRowFunction="sum" dataDxfId="508" totalsRowDxfId="507"/>
    <tableColumn id="27" name="Service charge income" totalsRowFunction="sum" dataDxfId="506" totalsRowDxfId="505"/>
    <tableColumn id="28" name="Net rental income" totalsRowFunction="sum" dataDxfId="504" totalsRowDxfId="503"/>
    <tableColumn id="29" name="Amortised gov. grants" totalsRowFunction="sum" dataDxfId="502" totalsRowDxfId="501"/>
    <tableColumn id="30" name="Gov grants taken to income" totalsRowFunction="sum" dataDxfId="500" totalsRowDxfId="499"/>
    <tableColumn id="31" name="Other grants" totalsRowFunction="sum" dataDxfId="498" totalsRowDxfId="497"/>
    <tableColumn id="32" name="Other SHL income" totalsRowFunction="sum" dataDxfId="496" totalsRowDxfId="495"/>
    <tableColumn id="33" name="Turnover from SHL" totalsRowFunction="sum" dataDxfId="494" totalsRowDxfId="493"/>
    <tableColumn id="34" name="Management" totalsRowFunction="sum" dataDxfId="492" totalsRowDxfId="491"/>
    <tableColumn id="35" name="Service charge costs" totalsRowFunction="sum" dataDxfId="490" totalsRowDxfId="489"/>
    <tableColumn id="36" name="Routine maintenance" totalsRowFunction="sum" dataDxfId="488" totalsRowDxfId="487"/>
    <tableColumn id="37" name="Planned maintenance" totalsRowFunction="sum" dataDxfId="486" totalsRowDxfId="485"/>
    <tableColumn id="38" name="Major repairs expenditure" totalsRowFunction="sum" dataDxfId="484" totalsRowDxfId="483"/>
    <tableColumn id="39" name="Bad debts" totalsRowFunction="sum" dataDxfId="482" totalsRowDxfId="481"/>
    <tableColumn id="40" name="Depreciation of housing properties" totalsRowFunction="sum" dataDxfId="480" totalsRowDxfId="479"/>
    <tableColumn id="41" name="Impairment of housing properties" totalsRowFunction="sum" dataDxfId="478" totalsRowDxfId="477"/>
    <tableColumn id="42" name="Other costs" totalsRowFunction="sum" dataDxfId="476" totalsRowDxfId="475"/>
    <tableColumn id="43" name="Expenditure on SHL" totalsRowFunction="sum" dataDxfId="474" totalsRowDxfId="473"/>
    <tableColumn id="44" name="Operating Surplus/(Def) on SHL" totalsRowFunction="sum" dataDxfId="472" totalsRowDxfId="471"/>
    <tableColumn id="45" name="Void Losses" totalsRowFunction="sum" dataDxfId="470" totalsRowDxfId="469"/>
    <tableColumn id="46" name="Housing properties at cost" totalsRowFunction="sum" dataDxfId="468" totalsRowDxfId="467"/>
    <tableColumn id="47" name="Housing properties at valuation" totalsRowFunction="sum" dataDxfId="466" totalsRowDxfId="465"/>
    <tableColumn id="49" name="Other tangible fixed assets" totalsRowFunction="sum" dataDxfId="464" totalsRowDxfId="463"/>
    <tableColumn id="50" name="Intangible fixed assets &amp; goodwill" totalsRowFunction="sum" dataDxfId="462" totalsRowDxfId="461"/>
    <tableColumn id="51" name="HomeBuy loans receivable" totalsRowFunction="sum" dataDxfId="460" totalsRowDxfId="459"/>
    <tableColumn id="52" name="Investment properties" totalsRowFunction="sum" dataDxfId="458" totalsRowDxfId="457"/>
    <tableColumn id="53" name="Investment in Joint Ventures" totalsRowFunction="sum" dataDxfId="456" totalsRowDxfId="455"/>
    <tableColumn id="54" name="Investment in associates" totalsRowFunction="sum" dataDxfId="454" totalsRowDxfId="453"/>
    <tableColumn id="55" name="Amounts owed by group undertakings" totalsRowFunction="sum" dataDxfId="452" totalsRowDxfId="451"/>
    <tableColumn id="56" name="Other investments" totalsRowFunction="sum" dataDxfId="450" totalsRowDxfId="449"/>
    <tableColumn id="57" name="Total fixed assets" totalsRowFunction="sum" dataDxfId="448" totalsRowDxfId="447"/>
    <tableColumn id="58" name="Properties held for sale" totalsRowFunction="sum" dataDxfId="446" totalsRowDxfId="445"/>
    <tableColumn id="59" name="Trade &amp; other debtors" totalsRowFunction="sum" dataDxfId="444" totalsRowDxfId="443"/>
    <tableColumn id="60" name="Cash &amp; cash equiv." totalsRowFunction="sum" dataDxfId="442" totalsRowDxfId="441"/>
    <tableColumn id="61" name="Short term investments" totalsRowFunction="sum" dataDxfId="440" totalsRowDxfId="439"/>
    <tableColumn id="62" name="Other current assets" totalsRowFunction="sum" dataDxfId="438" totalsRowDxfId="437"/>
    <tableColumn id="63" name="Total current assets" totalsRowFunction="sum" dataDxfId="436" totalsRowDxfId="435"/>
    <tableColumn id="64" name="Short term loans" totalsRowFunction="sum" dataDxfId="434" totalsRowDxfId="433"/>
    <tableColumn id="65" name="Bank overdrafts" totalsRowFunction="sum" dataDxfId="432" totalsRowDxfId="431"/>
    <tableColumn id="66" name="Deferred capital grant (short term)" totalsRowFunction="sum" dataDxfId="430" totalsRowDxfId="429"/>
    <tableColumn id="67" name="Other creditors due within 1 year" totalsRowFunction="sum" dataDxfId="428" totalsRowDxfId="427"/>
    <tableColumn id="68" name="Total creditors due within 1 year" totalsRowFunction="sum" dataDxfId="426" totalsRowDxfId="425"/>
    <tableColumn id="69" name="Net Current Assets/Liabilities" totalsRowFunction="sum" dataDxfId="424" totalsRowDxfId="423"/>
    <tableColumn id="70" name="Total assets less current liabilities" totalsRowFunction="sum" dataDxfId="422" totalsRowDxfId="421"/>
    <tableColumn id="71" name="Long term loans" totalsRowFunction="sum" dataDxfId="420" totalsRowDxfId="419"/>
    <tableColumn id="72" name="Amounts owed to group undertakings" totalsRowFunction="sum" dataDxfId="418" totalsRowDxfId="417"/>
    <tableColumn id="73" name="Finance lease obligations" totalsRowFunction="sum" dataDxfId="416" totalsRowDxfId="415"/>
    <tableColumn id="74" name="Deferred capital grant (long term)" totalsRowFunction="sum" dataDxfId="414" totalsRowDxfId="413"/>
    <tableColumn id="75" name="HomeBuy grant deferred income" totalsRowFunction="sum" dataDxfId="412" totalsRowDxfId="411"/>
    <tableColumn id="76" name="Fair value of derivative financial instruments - SOFP" totalsRowFunction="sum" dataDxfId="410" totalsRowDxfId="409"/>
    <tableColumn id="77" name="Other long term creditors" totalsRowFunction="sum" dataDxfId="408" totalsRowDxfId="407"/>
    <tableColumn id="78" name="Total creditors due after 1 year" totalsRowFunction="sum" dataDxfId="406" totalsRowDxfId="405"/>
    <tableColumn id="79" name="Pension provision" totalsRowFunction="sum" dataDxfId="404" totalsRowDxfId="403"/>
    <tableColumn id="80" name="Other provisions" totalsRowFunction="sum" dataDxfId="402" totalsRowDxfId="401"/>
    <tableColumn id="81" name="Total net assets" totalsRowFunction="sum" dataDxfId="400" totalsRowDxfId="399"/>
    <tableColumn id="82" name="Income &amp; expenditure reserve" totalsRowFunction="sum" dataDxfId="398" totalsRowDxfId="397"/>
    <tableColumn id="83" name="Revaluation reserve" totalsRowFunction="sum" dataDxfId="396" totalsRowDxfId="395"/>
    <tableColumn id="84" name="Restricted reserve" totalsRowFunction="sum" dataDxfId="394" totalsRowDxfId="393"/>
    <tableColumn id="85" name="Cashflow Hedge Reserve" totalsRowFunction="sum" dataDxfId="392" totalsRowDxfId="391"/>
    <tableColumn id="86" name="Other reserves" totalsRowFunction="sum" dataDxfId="390" totalsRowDxfId="389"/>
    <tableColumn id="87" name="Total reserves" totalsRowFunction="sum" dataDxfId="388" totalsRowDxfId="387"/>
    <tableColumn id="88" name="Other social housing activities - 1st Tranche LCHO Sales - Turnover" totalsRowFunction="sum" dataDxfId="386" totalsRowDxfId="385"/>
    <tableColumn id="89" name="Other social housing activities - 1st Tranche LCHO Sales - Cost of Sales" totalsRowFunction="sum" dataDxfId="384" totalsRowDxfId="383"/>
    <tableColumn id="90" name="Other social housing activities - 1st Tranche LCHO Sales - Operating Expenditure" totalsRowFunction="sum" dataDxfId="382" totalsRowDxfId="381"/>
    <tableColumn id="91" name="Other social housing activities - 1st Tranche LCHO Sales - Op. Surplus/(Def.)" totalsRowFunction="sum" dataDxfId="380" totalsRowDxfId="379"/>
    <tableColumn id="92" name="Other social housing activities - Charges for Support Services - Turnover" totalsRowFunction="sum" dataDxfId="378" totalsRowDxfId="377"/>
    <tableColumn id="93" name="Other social housing activities - Charges for Support Services - Cost of Sales" totalsRowFunction="sum" dataDxfId="376" totalsRowDxfId="375"/>
    <tableColumn id="94" name="Other social housing activities - Charges for Support Services - Operating Expenditure" totalsRowFunction="sum" dataDxfId="374" totalsRowDxfId="373"/>
    <tableColumn id="95" name="Other social housing activities - Charges for Support Services - Op. Surplus/(Def.)" totalsRowFunction="sum" dataDxfId="372" totalsRowDxfId="371"/>
    <tableColumn id="96" name="Other social housing activities - Development Services - Turnover" totalsRowFunction="sum" dataDxfId="370" totalsRowDxfId="369"/>
    <tableColumn id="97" name="Other social housing activities - Development Services - Cost of Sales" totalsRowFunction="sum" dataDxfId="368" totalsRowDxfId="367"/>
    <tableColumn id="98" name="Other social housing activities - Development Services - Operating Expenditure" totalsRowFunction="sum" dataDxfId="366" totalsRowDxfId="365"/>
    <tableColumn id="99" name="Other social housing activities - Development Services - Op. Surplus/(Def.)" totalsRowFunction="sum" dataDxfId="364" totalsRowDxfId="363"/>
    <tableColumn id="100" name="Other social housing activities - Neighbourhood Services - Turnover" totalsRowFunction="sum" dataDxfId="362" totalsRowDxfId="361"/>
    <tableColumn id="101" name="Other social housing activities - Neighbourhood Services - Cost of Sales" totalsRowFunction="sum" dataDxfId="360" totalsRowDxfId="359"/>
    <tableColumn id="102" name="Other social housing activities - Neighbourhood Services - Operating Expenditure" totalsRowFunction="sum" dataDxfId="358" totalsRowDxfId="357"/>
    <tableColumn id="103" name="Other social housing activities - Neighbourhood Services - Op. Surplus/(Def.)" totalsRowFunction="sum" dataDxfId="356" totalsRowDxfId="355"/>
    <tableColumn id="104" name="Other social housing activities - Other - Turnover" totalsRowFunction="sum" dataDxfId="354" totalsRowDxfId="353"/>
    <tableColumn id="105" name="Other social housing activities - Other - Cost of Sales" totalsRowFunction="sum" dataDxfId="352" totalsRowDxfId="351"/>
    <tableColumn id="106" name="Other social housing activities - Other - Operating Costs" totalsRowFunction="sum" dataDxfId="350" totalsRowDxfId="349"/>
    <tableColumn id="107" name="Other social housing activities - Other - Op. Surplus/(Def.)" totalsRowFunction="sum" dataDxfId="348" totalsRowDxfId="347"/>
    <tableColumn id="108" name="Total other social housing activities - Turnover" totalsRowFunction="sum" dataDxfId="346" totalsRowDxfId="345"/>
    <tableColumn id="109" name="Total other social housing activities - Cost of sales" totalsRowFunction="sum" dataDxfId="344" totalsRowDxfId="343"/>
    <tableColumn id="110" name="Total other social housing activities - Operating expenditure" totalsRowFunction="sum" dataDxfId="342" totalsRowDxfId="341"/>
    <tableColumn id="111" name="Total other social housing activities - Op. Surplus/{Def.)" totalsRowFunction="sum" dataDxfId="340" totalsRowDxfId="339"/>
    <tableColumn id="112" name="Non-social housing - Prop. built for sale - Turnover" totalsRowFunction="sum" dataDxfId="338" totalsRowDxfId="337"/>
    <tableColumn id="113" name="Non-social housing - Prop. built for sale - Cost of sales" totalsRowFunction="sum" dataDxfId="336" totalsRowDxfId="335"/>
    <tableColumn id="114" name="Non-social housing - Prop. built for sale - Operating expenditure" totalsRowFunction="sum" dataDxfId="334" totalsRowDxfId="333"/>
    <tableColumn id="115" name="Non-social housing - Prop. built for sale - Op. Surplus/(Def.)" totalsRowFunction="sum" dataDxfId="332" totalsRowDxfId="331"/>
    <tableColumn id="116" name="Non-social housing - Student accom. - Turnover" totalsRowFunction="sum" dataDxfId="330" totalsRowDxfId="329"/>
    <tableColumn id="117" name="Non-social housing - Student accom. - Cost of sales" totalsRowFunction="sum" dataDxfId="328" totalsRowDxfId="327"/>
    <tableColumn id="118" name="Non-social housing - Student accom. - Operating expenditure" totalsRowFunction="sum" dataDxfId="326" totalsRowDxfId="325"/>
    <tableColumn id="119" name="Non-social housing - Student accom. - Op. Surplus/(Def.)" totalsRowFunction="sum" dataDxfId="324" totalsRowDxfId="323"/>
    <tableColumn id="120" name="Non-social housing - Nursing homes - Turnover" totalsRowFunction="sum" dataDxfId="322" totalsRowDxfId="321"/>
    <tableColumn id="121" name="Non-social housing - Nursing homes - Cost of sales" totalsRowFunction="sum" dataDxfId="320" totalsRowDxfId="319"/>
    <tableColumn id="122" name="Non-social housing - Nursing homes - Operating expenditure" totalsRowFunction="sum" dataDxfId="318" totalsRowDxfId="317"/>
    <tableColumn id="123" name="Non-social housing - Nursing homes - Op. Surplus/(Def.)" totalsRowFunction="sum" dataDxfId="316" totalsRowDxfId="315"/>
    <tableColumn id="124" name="Non-social housing - Market rent - Turnover" totalsRowFunction="sum" dataDxfId="314" totalsRowDxfId="313"/>
    <tableColumn id="125" name="Non-social housing - Market rent - Cost of sales" totalsRowFunction="sum" dataDxfId="312" totalsRowDxfId="311"/>
    <tableColumn id="126" name="Non-social housing - Market rent - Operating expenditure" totalsRowFunction="sum" dataDxfId="310" totalsRowDxfId="309"/>
    <tableColumn id="127" name="Non-social housing - Market rent - Op. Surplus/(Def.)" totalsRowFunction="sum" dataDxfId="308" totalsRowDxfId="307"/>
    <tableColumn id="128" name="Non-social housing - Support services - Turnover" totalsRowFunction="sum" dataDxfId="306" totalsRowDxfId="305"/>
    <tableColumn id="129" name="Non-social housing - Support services - Cost of sales" totalsRowFunction="sum" dataDxfId="304" totalsRowDxfId="303"/>
    <tableColumn id="130" name="Non-social housing - Support services - Operating expenditure" totalsRowFunction="sum" dataDxfId="302" totalsRowDxfId="301"/>
    <tableColumn id="131" name="Non-social housing - Support services - Op. Surplus/(Def.)" totalsRowFunction="sum" dataDxfId="300" totalsRowDxfId="299"/>
    <tableColumn id="132" name="Non-social housing - Other - Turnover" totalsRowFunction="sum" dataDxfId="298" totalsRowDxfId="297"/>
    <tableColumn id="133" name="Non-social housing - Other - Cost of sales" totalsRowFunction="sum" dataDxfId="296" totalsRowDxfId="295"/>
    <tableColumn id="134" name="Non-social housing - Other - Operating expenditure" totalsRowFunction="sum" dataDxfId="294" totalsRowDxfId="293"/>
    <tableColumn id="135" name="Non-social housing - Other - Op. Surplus/(Def.)" totalsRowFunction="sum" dataDxfId="292" totalsRowDxfId="291"/>
    <tableColumn id="136" name="Total non-social housing activity - Turnover" totalsRowFunction="sum" dataDxfId="290" totalsRowDxfId="289"/>
    <tableColumn id="137" name="Total non-social housing activity - Cost of sales" totalsRowFunction="sum" dataDxfId="288" totalsRowDxfId="287"/>
    <tableColumn id="138" name="Total non-social housing activity - Operating expenditure" totalsRowFunction="sum" dataDxfId="286" totalsRowDxfId="285"/>
    <tableColumn id="139" name="Total non-social housing activity - Op. Surplus/(Def.)" totalsRowFunction="sum" dataDxfId="284" totalsRowDxfId="283"/>
    <tableColumn id="140" name="Total activity other than SHL - Turnover" totalsRowFunction="sum" dataDxfId="282" totalsRowDxfId="281"/>
    <tableColumn id="141" name="Total activity other than SHL - Cost of sales" totalsRowFunction="sum" dataDxfId="280" totalsRowDxfId="279"/>
    <tableColumn id="142" name="Total activity other than SHL - Operating expenditure" totalsRowFunction="sum" dataDxfId="278" totalsRowDxfId="277"/>
    <tableColumn id="143" name="Total activity other than SHL - Op. Surplus/(Def.)" totalsRowFunction="sum" dataDxfId="276" totalsRowDxfId="275"/>
    <tableColumn id="158" name="Gross arrears Current" totalsRowFunction="sum" dataDxfId="274" totalsRowDxfId="273"/>
    <tableColumn id="159" name="Gross arrears Former" totalsRowFunction="sum" dataDxfId="272" totalsRowDxfId="271"/>
    <tableColumn id="160" name="Provision for bad/doubtful debts Current" totalsRowFunction="sum" dataDxfId="270" totalsRowDxfId="269"/>
    <tableColumn id="161" name="Provision for bad/doubtful debts Former" totalsRowFunction="sum" dataDxfId="268" totalsRowDxfId="267"/>
    <tableColumn id="162" name="Properties held at cost (opening)" totalsRowFunction="sum" dataDxfId="266" totalsRowDxfId="265"/>
    <tableColumn id="163" name="Properties held at valuation (opening)" totalsRowFunction="sum" dataDxfId="264" totalsRowDxfId="263"/>
    <tableColumn id="164" name="Total properties held at start of period" totalsRowFunction="sum" dataDxfId="262" totalsRowDxfId="261"/>
    <tableColumn id="165" name="Additions" totalsRowFunction="sum" dataDxfId="260" totalsRowDxfId="259"/>
    <tableColumn id="172" name="Disposals" totalsRowFunction="sum" dataDxfId="258" totalsRowDxfId="257"/>
    <tableColumn id="148" name="Transfer treated as acquisition (#)" dataDxfId="256" totalsRowDxfId="255"/>
    <tableColumn id="173" name="Inter-company transfers" totalsRowFunction="sum" dataDxfId="254" totalsRowDxfId="253"/>
    <tableColumn id="171" name="Revaluation and Other" totalsRowFunction="sum" dataDxfId="252" totalsRowDxfId="251"/>
    <tableColumn id="175" name="Total properties held at end of period" totalsRowFunction="sum" dataDxfId="250" totalsRowDxfId="249"/>
    <tableColumn id="176" name="Depreciation &amp; Impairment at start of period" totalsRowFunction="sum" dataDxfId="248" totalsRowDxfId="247"/>
    <tableColumn id="177" name="Depreciation charged in period" totalsRowFunction="sum" dataDxfId="246" totalsRowDxfId="245"/>
    <tableColumn id="178" name="Impairment charged in period" totalsRowFunction="sum" dataDxfId="244" totalsRowDxfId="243"/>
    <tableColumn id="179" name="Revaluation (dep. &amp; imp.)" totalsRowFunction="sum" dataDxfId="242" totalsRowDxfId="241"/>
    <tableColumn id="180" name="Released on disposal" totalsRowFunction="sum" dataDxfId="240" totalsRowDxfId="239"/>
    <tableColumn id="181" name="Inter-company transfers (depn. &amp; imp.)" totalsRowFunction="sum" dataDxfId="238" totalsRowDxfId="237"/>
    <tableColumn id="182" name="Other Dep. &amp; Imp." totalsRowFunction="sum" dataDxfId="236" totalsRowDxfId="235"/>
    <tableColumn id="183" name="Depreciation &amp; Impairment at end of period" totalsRowFunction="sum" dataDxfId="234" totalsRowDxfId="233"/>
    <tableColumn id="184" name="Net book value at end of period" totalsRowFunction="sum" dataDxfId="232" totalsRowDxfId="231"/>
    <tableColumn id="185" name="Net book value at start of period" totalsRowFunction="sum" dataDxfId="230" totalsRowDxfId="229"/>
    <tableColumn id="186" name="Shared ownership staircasing - Proceeds" totalsRowFunction="sum" dataDxfId="228" totalsRowDxfId="227"/>
    <tableColumn id="187" name="Shared ownership staircasing - Cost of sales" totalsRowFunction="sum" dataDxfId="226" totalsRowDxfId="225"/>
    <tableColumn id="188" name="Shared ownership staircasing - Surplus" totalsRowFunction="sum" dataDxfId="224" totalsRowDxfId="223"/>
    <tableColumn id="189" name="Right to Buy - Proceeds" totalsRowFunction="sum" dataDxfId="222" totalsRowDxfId="221"/>
    <tableColumn id="190" name="Right to Buy - Cost of sales" totalsRowFunction="sum" dataDxfId="220" totalsRowDxfId="219"/>
    <tableColumn id="191" name="Right to Buy - Surplus" totalsRowFunction="sum" dataDxfId="218" totalsRowDxfId="217"/>
    <tableColumn id="192" name="Right to Acquire - Proceeds" totalsRowFunction="sum" dataDxfId="216" totalsRowDxfId="215"/>
    <tableColumn id="193" name="Right to Acquire - Cost of sales" totalsRowFunction="sum" dataDxfId="214" totalsRowDxfId="213"/>
    <tableColumn id="194" name="Right to Acquire - Surplus" totalsRowFunction="sum" dataDxfId="212" totalsRowDxfId="211"/>
    <tableColumn id="195" name="Other social housing sales - Proceeds" totalsRowFunction="sum" dataDxfId="210" totalsRowDxfId="209"/>
    <tableColumn id="196" name="Other social housing sales - Cost of sales" totalsRowFunction="sum" dataDxfId="208" totalsRowDxfId="207"/>
    <tableColumn id="197" name="Other social housing sales - Surplus" totalsRowFunction="sum" dataDxfId="206" totalsRowDxfId="205"/>
    <tableColumn id="198" name="Sale to other RPs - Proceeds" totalsRowFunction="sum" dataDxfId="204" totalsRowDxfId="203"/>
    <tableColumn id="199" name="Sale to other RPs - Cost of sales" totalsRowFunction="sum" dataDxfId="202" totalsRowDxfId="201"/>
    <tableColumn id="200" name="Sale to other RPs - Surplus" totalsRowFunction="sum" dataDxfId="200" totalsRowDxfId="199"/>
    <tableColumn id="201" name="Sale of other assets - Proceeds" totalsRowFunction="sum" dataDxfId="198" totalsRowDxfId="197"/>
    <tableColumn id="202" name="Sale of other assets - Cost of sales" totalsRowFunction="sum" dataDxfId="196" totalsRowDxfId="195"/>
    <tableColumn id="203" name="Sale of other assets - Surplus" totalsRowFunction="sum" dataDxfId="194" totalsRowDxfId="193"/>
    <tableColumn id="204" name="Profit/(Loss) on sale of fixed assets - Proceeds" totalsRowFunction="sum" dataDxfId="192" totalsRowDxfId="191"/>
    <tableColumn id="205" name="Profit/(Loss) on sale of fixed assets - Cost of sales" totalsRowFunction="sum" dataDxfId="190" totalsRowDxfId="189"/>
    <tableColumn id="206" name="Profit/(Loss) on sale of fixed assets - Surplus" totalsRowFunction="sum" dataDxfId="188" totalsRowDxfId="187"/>
    <tableColumn id="207" name="Amounts owed by group undertakings (within 1 year)" totalsRowFunction="sum" dataDxfId="186" totalsRowDxfId="185"/>
    <tableColumn id="208" name="Loans to employees" totalsRowFunction="sum" dataDxfId="184" totalsRowDxfId="183"/>
    <tableColumn id="209" name="Grants receivable" totalsRowFunction="sum" dataDxfId="182" totalsRowDxfId="181"/>
    <tableColumn id="210" name="Refurbishment obligation" totalsRowFunction="sum" dataDxfId="180" totalsRowDxfId="179"/>
    <tableColumn id="211" name="Fair value of derivative financial instruments - Current Assets" totalsRowFunction="sum" dataDxfId="178" totalsRowDxfId="177"/>
    <tableColumn id="212" name="Other debtors and prepayments" totalsRowFunction="sum" dataDxfId="176" totalsRowDxfId="175"/>
    <tableColumn id="213" name="Total other current assets" totalsRowFunction="sum" dataDxfId="174" totalsRowDxfId="173"/>
    <tableColumn id="214" name="Trade creditors" totalsRowFunction="sum" dataDxfId="172" totalsRowDxfId="171"/>
    <tableColumn id="215" name="Rent and service charges received in advance" totalsRowFunction="sum" dataDxfId="170" totalsRowDxfId="169"/>
    <tableColumn id="216" name="Amount owed to group undertakings (within 1 year)" totalsRowFunction="sum" dataDxfId="168" totalsRowDxfId="167"/>
    <tableColumn id="217" name="Recycled capital grant fund" totalsRowFunction="sum" dataDxfId="166" totalsRowDxfId="165"/>
    <tableColumn id="218" name="Disposal proceeds fund" totalsRowFunction="sum" dataDxfId="164" totalsRowDxfId="163"/>
    <tableColumn id="219" name="Accruals and deferred income" totalsRowFunction="sum" dataDxfId="162" totalsRowDxfId="161"/>
    <tableColumn id="220" name="Obligations under finance leases" totalsRowFunction="sum" dataDxfId="160" totalsRowDxfId="159"/>
    <tableColumn id="221" name="Short term refurbishment liability" totalsRowFunction="sum" dataDxfId="158" totalsRowDxfId="157"/>
    <tableColumn id="222" name="Pension deficit contribution liability - current" totalsRowFunction="sum" dataDxfId="156" totalsRowDxfId="155"/>
    <tableColumn id="223" name="Fair value of derivative financial instruments - Current Liabilities" totalsRowFunction="sum" dataDxfId="154" totalsRowDxfId="153"/>
    <tableColumn id="224" name="Other creditors" totalsRowFunction="sum" dataDxfId="152" totalsRowDxfId="151"/>
    <tableColumn id="225" name="Total other current liabilities" totalsRowFunction="sum" dataDxfId="150" totalsRowDxfId="149"/>
    <tableColumn id="226" name="OLTC - Recycled capital grant fund" totalsRowFunction="sum" dataDxfId="148" totalsRowDxfId="147"/>
    <tableColumn id="227" name="OLTC - Disposal proceeds fund" totalsRowFunction="sum" dataDxfId="146" totalsRowDxfId="145"/>
    <tableColumn id="228" name="Pension deficit contribution liability - Long Term" totalsRowFunction="sum" dataDxfId="144" totalsRowDxfId="143"/>
    <tableColumn id="229" name="OLTC - Other creditors" totalsRowFunction="sum" dataDxfId="142" totalsRowDxfId="141"/>
    <tableColumn id="230" name="Total other long term creditors" totalsRowFunction="sum" dataDxfId="140" totalsRowDxfId="139"/>
    <tableColumn id="231" name="Refurbishment provision" totalsRowFunction="sum" dataDxfId="138" totalsRowDxfId="137"/>
    <tableColumn id="232" name="Other provisions - other" totalsRowFunction="sum" dataDxfId="136" totalsRowDxfId="135"/>
    <tableColumn id="233" name="Total other provisions" totalsRowFunction="sum" dataDxfId="134" totalsRowDxfId="133"/>
    <tableColumn id="234" name="Interest payable on liabilities" totalsRowFunction="sum" dataDxfId="132" totalsRowDxfId="131"/>
    <tableColumn id="235" name="Amortisation of loan premiums and arrangement costs" totalsRowFunction="sum" dataDxfId="130" totalsRowDxfId="129"/>
    <tableColumn id="236" name="Defined benefit pension charges" totalsRowFunction="sum" dataDxfId="128" totalsRowDxfId="127"/>
    <tableColumn id="237" name="Accruals on DPF and RCGF" totalsRowFunction="sum" dataDxfId="126" totalsRowDxfId="125"/>
    <tableColumn id="238" name="Other amounts payable" totalsRowFunction="sum" dataDxfId="124" totalsRowDxfId="123"/>
    <tableColumn id="239" name="Less: interest capitalised in housing properties" totalsRowFunction="sum" dataDxfId="122" totalsRowDxfId="121"/>
    <tableColumn id="240" name="Total interest payable and financing costs" totalsRowFunction="sum" dataDxfId="120" totalsRowDxfId="119"/>
    <tableColumn id="241" name="Capitalised major repairs expenditure for period" totalsRowFunction="sum" dataDxfId="118" totalsRowDxfId="117"/>
    <tableColumn id="242" name="Total depreciation charge for period" totalsRowFunction="sum" dataDxfId="116" totalsRowDxfId="115"/>
    <tableColumn id="243" name="Total impairment charged/(released) for the period" totalsRowFunction="sum" dataDxfId="114" totalsRowDxfId="113"/>
    <tableColumn id="145" name="Social housing units acquired or developed" totalsRowFunction="sum" dataDxfId="112" totalsRowDxfId="111"/>
    <tableColumn id="146" name="Social housing units sold / demolished" totalsRowFunction="sum" dataDxfId="110" totalsRowDxfId="109"/>
    <tableColumn id="147" name="Social housing units transferred and other movements (~)" totalsRowFunction="sum" dataDxfId="108" totalsRowDxfId="107"/>
    <tableColumn id="150" name="Closing social housing units managed" totalsRowFunction="sum" dataDxfId="106" totalsRowDxfId="105"/>
    <tableColumn id="152" name="Non-social housing units acquired or developed" totalsRowFunction="sum" dataDxfId="104" totalsRowDxfId="103"/>
    <tableColumn id="153" name="Non-social housing units sold / demolished" totalsRowFunction="sum" dataDxfId="102" totalsRowDxfId="101"/>
    <tableColumn id="154" name="Non-social housing units transferred and other movements" totalsRowFunction="sum" dataDxfId="100" totalsRowDxfId="99"/>
    <tableColumn id="157" name="Closing non-social housing units managed" totalsRowFunction="sum" dataDxfId="98" totalsRowDxfId="97"/>
  </tableColumns>
  <tableStyleInfo name="Rob 4" showFirstColumn="0" showLastColumn="0" showRowStripes="1" showColumnStripes="0"/>
  <extLst>
    <ext xmlns:x14="http://schemas.microsoft.com/office/spreadsheetml/2009/9/main" uri="{504A1905-F514-4f6f-8877-14C23A59335A}">
      <x14:table altText="GA2017 - Entity Data" altTextSummary="Table containing source data for the Global Accounts 2017 at entity level."/>
    </ext>
  </extLst>
</table>
</file>

<file path=xl/tables/table3.xml><?xml version="1.0" encoding="utf-8"?>
<table xmlns="http://schemas.openxmlformats.org/spreadsheetml/2006/main" id="2" name="Cons_Unit_Costs" displayName="Cons_Unit_Costs" ref="A3:AC239" headerRowDxfId="95" dataDxfId="94" totalsRowDxfId="92" tableBorderDxfId="93">
  <tableColumns count="29">
    <tableColumn id="1" name="RP_Code" totalsRowLabel="Total" dataDxfId="91" totalsRowDxfId="90"/>
    <tableColumn id="2" name="RP_Name" dataDxfId="89" totalsRowDxfId="88"/>
    <tableColumn id="3" name="FYE" dataDxfId="87" totalsRowDxfId="86"/>
    <tableColumn id="4" name="Closing social housing units managed" dataDxfId="85" totalsRowDxfId="84"/>
    <tableColumn id="5" name="Headline Social Housing Cost" dataDxfId="83" totalsRowDxfId="82">
      <calculatedColumnFormula>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alculatedColumnFormula>
    </tableColumn>
    <tableColumn id="6" name="Headline Social Housing Costs per Unit" dataDxfId="81" totalsRowDxfId="80">
      <calculatedColumnFormula>IF(Cons_Unit_Costs[[#This Row],[Closing social housing units managed]]&gt;0,Cons_Unit_Costs[[#This Row],[Headline Social Housing Cost]]/Cons_Unit_Costs[[#This Row],[Closing social housing units managed]],"")</calculatedColumnFormula>
    </tableColumn>
    <tableColumn id="7" name="Management CPU" dataDxfId="79" totalsRowDxfId="78">
      <calculatedColumnFormula>IF(Cons_Unit_Costs[[#This Row],[Closing social housing units managed]]&gt;0,Cons_Unit_Costs[[#This Row],[Management]]/Cons_Unit_Costs[[#This Row],[Closing social housing units managed]],"")</calculatedColumnFormula>
    </tableColumn>
    <tableColumn id="8" name="Management" dataDxfId="77" totalsRowDxfId="76"/>
    <tableColumn id="9" name="Service Charge CPU" dataDxfId="75" totalsRowDxfId="74">
      <calculatedColumnFormula>IF(Cons_Unit_Costs[[#This Row],[Closing social housing units managed]]&gt;0,Cons_Unit_Costs[[#This Row],[Service charge costs]]/Cons_Unit_Costs[[#This Row],[Closing social housing units managed]],"")</calculatedColumnFormula>
    </tableColumn>
    <tableColumn id="10" name="Service charge costs" dataDxfId="73" totalsRowDxfId="72"/>
    <tableColumn id="11" name="Maintenance CPU" dataDxfId="71" totalsRowDxfId="70">
      <calculatedColumnFormula>IF(Cons_Unit_Costs[[#This Row],[Closing social housing units managed]]&gt;0,(Cons_Unit_Costs[[#This Row],[Routine maintenance]]+Cons_Unit_Costs[[#This Row],[Planned maintenance]])/Cons_Unit_Costs[[#This Row],[Closing social housing units managed]],"")</calculatedColumnFormula>
    </tableColumn>
    <tableColumn id="12" name="Routine maintenance" dataDxfId="69" totalsRowDxfId="68"/>
    <tableColumn id="13" name="Planned maintenance" dataDxfId="67" totalsRowDxfId="66"/>
    <tableColumn id="14" name="Major Repairs CPU" dataDxfId="65" totalsRowDxfId="64">
      <calculatedColumnFormula>IF(Cons_Unit_Costs[[#This Row],[Closing social housing units managed]]&gt;0,(Cons_Unit_Costs[[#This Row],[Major repairs expenditure]]+Cons_Unit_Costs[[#This Row],[Capitalised major repairs expenditure for period]])/Cons_Unit_Costs[[#This Row],[Closing social housing units managed]],"")</calculatedColumnFormula>
    </tableColumn>
    <tableColumn id="15" name="Major repairs expenditure" dataDxfId="63" totalsRowDxfId="62"/>
    <tableColumn id="16" name="Capitalised major repairs expenditure for period" dataDxfId="61" totalsRowDxfId="60"/>
    <tableColumn id="17" name="Other Social Housing CPU" dataDxfId="59" totalsRowDxfId="58">
      <calculatedColumnFormula>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calculatedColumnFormula>
    </tableColumn>
    <tableColumn id="18" name="Other costs" dataDxfId="57" totalsRowDxfId="56"/>
    <tableColumn id="19" name="Other social housing activities - Charges for Support Services - Operating Expenditure" dataDxfId="55" totalsRowDxfId="54"/>
    <tableColumn id="20" name="Other social housing activities - Other - Operating Costs" dataDxfId="53" totalsRowDxfId="52"/>
    <tableColumn id="28" name="Other social housing activities - Development Services - Operating Expenditure" dataDxfId="51" totalsRowDxfId="50"/>
    <tableColumn id="29" name="Other social housing activities - Neighbourhood Services - Operating Expenditure" dataDxfId="49" totalsRowDxfId="48"/>
    <tableColumn id="21" name="% Supported housing (excl. HOP)" dataDxfId="47" totalsRowDxfId="46"/>
    <tableColumn id="22" name="% Housing for older people" dataDxfId="45" totalsRowDxfId="44"/>
    <tableColumn id="23" name="Type " dataDxfId="43" totalsRowDxfId="42"/>
    <tableColumn id="24" name="Date of largest transfer" dataDxfId="41" totalsRowDxfId="40"/>
    <tableColumn id="25" name="LSVT age" dataDxfId="39" totalsRowDxfId="38"/>
    <tableColumn id="26" name="Region with 50%+ of social stock owned" dataDxfId="37" totalsRowDxfId="36"/>
    <tableColumn id="27" name="ASHE regional wage index (England = 1)" totalsRowFunction="sum" dataDxfId="35" totalsRowDxfId="34"/>
  </tableColumns>
  <tableStyleInfo name="Rob 3" showFirstColumn="0" showLastColumn="0" showRowStripes="1" showColumnStripes="0"/>
</table>
</file>

<file path=xl/tables/table4.xml><?xml version="1.0" encoding="utf-8"?>
<table xmlns="http://schemas.openxmlformats.org/spreadsheetml/2006/main" id="7" name="Entity_Unit_Costs" displayName="Entity_Unit_Costs" ref="A3:AE322" totalsRowShown="0" headerRowDxfId="33" dataDxfId="32" tableBorderDxfId="31">
  <tableColumns count="31">
    <tableColumn id="1" name="RP_Code" dataDxfId="30"/>
    <tableColumn id="2" name="RP_Name" dataDxfId="29"/>
    <tableColumn id="3" name="FYE" dataDxfId="28"/>
    <tableColumn id="4" name="Closing social housing units managed" dataDxfId="27"/>
    <tableColumn id="5" name="Headline Social Housing Cost" dataDxfId="26">
      <calculatedColumnFormula>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calculatedColumnFormula>
    </tableColumn>
    <tableColumn id="6" name="Headline Social Housing Costs per Unit" dataDxfId="25">
      <calculatedColumnFormula>IF(Entity_Unit_Costs[[#This Row],[Closing social housing units managed]]&gt;0,Entity_Unit_Costs[[#This Row],[Headline Social Housing Cost]]/Entity_Unit_Costs[[#This Row],[Closing social housing units managed]],"")</calculatedColumnFormula>
    </tableColumn>
    <tableColumn id="7" name="Management CPU" dataDxfId="24">
      <calculatedColumnFormula>IF(Entity_Unit_Costs[[#This Row],[Closing social housing units managed]]&gt;0,Entity_Unit_Costs[[#This Row],[Management]]/Entity_Unit_Costs[[#This Row],[Closing social housing units managed]],"")</calculatedColumnFormula>
    </tableColumn>
    <tableColumn id="8" name="Management" dataDxfId="23"/>
    <tableColumn id="9" name="Service Charge CPU" dataDxfId="22">
      <calculatedColumnFormula>IF(Entity_Unit_Costs[[#This Row],[Closing social housing units managed]]&gt;0,Entity_Unit_Costs[[#This Row],[Service charge costs]]/Entity_Unit_Costs[[#This Row],[Closing social housing units managed]],"")</calculatedColumnFormula>
    </tableColumn>
    <tableColumn id="10" name="Service charge costs" dataDxfId="21"/>
    <tableColumn id="11" name="Maintenance CPU" dataDxfId="20">
      <calculatedColumnFormula>IF(Entity_Unit_Costs[[#This Row],[Closing social housing units managed]]&gt;0,(Entity_Unit_Costs[[#This Row],[Routine maintenance]]+Entity_Unit_Costs[[#This Row],[Planned maintenance]])/Entity_Unit_Costs[[#This Row],[Closing social housing units managed]],"")</calculatedColumnFormula>
    </tableColumn>
    <tableColumn id="12" name="Routine maintenance" dataDxfId="19"/>
    <tableColumn id="13" name="Planned maintenance" dataDxfId="18"/>
    <tableColumn id="14" name="Major Repairs CPU" dataDxfId="17">
      <calculatedColumnFormula>IF(Entity_Unit_Costs[[#This Row],[Closing social housing units managed]]&gt;0,(Entity_Unit_Costs[[#This Row],[Major repairs expenditure]]+Entity_Unit_Costs[[#This Row],[Capitalised major repairs expenditure for period]])/Entity_Unit_Costs[[#This Row],[Closing social housing units managed]],"")</calculatedColumnFormula>
    </tableColumn>
    <tableColumn id="15" name="Major repairs expenditure" dataDxfId="16"/>
    <tableColumn id="16" name="Capitalised major repairs expenditure for period" dataDxfId="15"/>
    <tableColumn id="17" name="Other Social Housing CPU" dataDxfId="14">
      <calculatedColumnFormula>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calculatedColumnFormula>
    </tableColumn>
    <tableColumn id="18" name="Other costs" dataDxfId="13"/>
    <tableColumn id="19" name="Other social housing activities - Charges for Support Services - Operating Expenditure" dataDxfId="12"/>
    <tableColumn id="20" name="Other social housing activities - Other - Operating Costs" dataDxfId="11"/>
    <tableColumn id="21" name="Other social housing activities - Development Services - Operating Expenditure" dataDxfId="10"/>
    <tableColumn id="22" name="Other social housing activities - Neighbourhood Services - Operating Expenditure" dataDxfId="9"/>
    <tableColumn id="23" name="% Supported housing (excl. HOP)" dataDxfId="8"/>
    <tableColumn id="24" name="% Housing for older people" dataDxfId="7"/>
    <tableColumn id="25" name="Type " dataDxfId="6"/>
    <tableColumn id="26" name="Date of largest transfer" dataDxfId="5"/>
    <tableColumn id="27" name="LSVT age" dataDxfId="4"/>
    <tableColumn id="28" name="Region with 50%+ of social stock owned" dataDxfId="3"/>
    <tableColumn id="29" name="ASHE regional wage index (England = 1)" dataDxfId="2"/>
    <tableColumn id="30" name="Group code" dataDxfId="1"/>
    <tableColumn id="31" name="Group name" dataDxfId="0"/>
  </tableColumns>
  <tableStyleInfo name="Rob 4" showFirstColumn="0" showLastColumn="0" showRowStripes="1" showColumnStripes="0"/>
</table>
</file>

<file path=xl/theme/theme1.xml><?xml version="1.0" encoding="utf-8"?>
<a:theme xmlns:a="http://schemas.openxmlformats.org/drawingml/2006/main" name="RSH 1">
  <a:themeElements>
    <a:clrScheme name="RSH 1">
      <a:dk1>
        <a:sysClr val="windowText" lastClr="000000"/>
      </a:dk1>
      <a:lt1>
        <a:sysClr val="window" lastClr="FFFFFF"/>
      </a:lt1>
      <a:dk2>
        <a:srgbClr val="1F497D"/>
      </a:dk2>
      <a:lt2>
        <a:srgbClr val="EEECE1"/>
      </a:lt2>
      <a:accent1>
        <a:srgbClr val="59468D"/>
      </a:accent1>
      <a:accent2>
        <a:srgbClr val="3C8A8A"/>
      </a:accent2>
      <a:accent3>
        <a:srgbClr val="4097DB"/>
      </a:accent3>
      <a:accent4>
        <a:srgbClr val="97D88A"/>
      </a:accent4>
      <a:accent5>
        <a:srgbClr val="C33A32"/>
      </a:accent5>
      <a:accent6>
        <a:srgbClr val="FCBE37"/>
      </a:accent6>
      <a:hlink>
        <a:srgbClr val="0000FF"/>
      </a:hlink>
      <a:folHlink>
        <a:srgbClr val="800080"/>
      </a:folHlink>
    </a:clrScheme>
    <a:fontScheme name="RSH 1">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pageSetUpPr fitToPage="1"/>
  </sheetPr>
  <dimension ref="A1:D26"/>
  <sheetViews>
    <sheetView showGridLines="0" showRowColHeaders="0" tabSelected="1" showRuler="0" view="pageLayout" zoomScaleNormal="115" workbookViewId="0">
      <selection activeCell="C7" sqref="C7"/>
    </sheetView>
  </sheetViews>
  <sheetFormatPr defaultColWidth="0" defaultRowHeight="12.75" customHeight="1" zeroHeight="1" x14ac:dyDescent="0.2"/>
  <cols>
    <col min="1" max="1" width="4.5" style="59" customWidth="1"/>
    <col min="2" max="2" width="4.5" style="58" customWidth="1"/>
    <col min="3" max="3" width="78.75" style="59" customWidth="1"/>
    <col min="4" max="4" width="4.75" style="59" customWidth="1"/>
    <col min="5" max="16384" width="8" style="59" hidden="1"/>
  </cols>
  <sheetData>
    <row r="1" spans="2:3" ht="12.75" customHeight="1" x14ac:dyDescent="0.2"/>
    <row r="2" spans="2:3" x14ac:dyDescent="0.2"/>
    <row r="3" spans="2:3" ht="27.75" x14ac:dyDescent="0.4">
      <c r="B3" s="60" t="s">
        <v>1182</v>
      </c>
    </row>
    <row r="4" spans="2:3" ht="13.5" customHeight="1" x14ac:dyDescent="0.4">
      <c r="B4" s="60"/>
    </row>
    <row r="5" spans="2:3" ht="20.25" x14ac:dyDescent="0.3">
      <c r="B5" s="61" t="s">
        <v>1161</v>
      </c>
    </row>
    <row r="6" spans="2:3" x14ac:dyDescent="0.2"/>
    <row r="7" spans="2:3" ht="15.75" x14ac:dyDescent="0.25">
      <c r="B7" s="77" t="s">
        <v>1162</v>
      </c>
    </row>
    <row r="8" spans="2:3" x14ac:dyDescent="0.2"/>
    <row r="9" spans="2:3" ht="14.25" x14ac:dyDescent="0.2">
      <c r="C9" s="70" t="s">
        <v>1163</v>
      </c>
    </row>
    <row r="10" spans="2:3" ht="14.25" x14ac:dyDescent="0.2">
      <c r="C10" s="68"/>
    </row>
    <row r="11" spans="2:3" ht="14.25" x14ac:dyDescent="0.2">
      <c r="C11" s="69" t="s">
        <v>1164</v>
      </c>
    </row>
    <row r="12" spans="2:3" ht="14.25" x14ac:dyDescent="0.2">
      <c r="C12" s="68"/>
    </row>
    <row r="13" spans="2:3" ht="14.25" x14ac:dyDescent="0.2">
      <c r="C13" s="69" t="s">
        <v>1165</v>
      </c>
    </row>
    <row r="14" spans="2:3" ht="14.25" x14ac:dyDescent="0.2">
      <c r="C14" s="68"/>
    </row>
    <row r="15" spans="2:3" ht="14.25" x14ac:dyDescent="0.2">
      <c r="C15" s="69" t="s">
        <v>1166</v>
      </c>
    </row>
    <row r="16" spans="2:3" x14ac:dyDescent="0.2"/>
    <row r="17" spans="2:3" ht="15.75" x14ac:dyDescent="0.25">
      <c r="B17" s="77" t="s">
        <v>1167</v>
      </c>
    </row>
    <row r="18" spans="2:3" x14ac:dyDescent="0.2"/>
    <row r="19" spans="2:3" ht="14.25" x14ac:dyDescent="0.2">
      <c r="C19" s="69" t="s">
        <v>1190</v>
      </c>
    </row>
    <row r="20" spans="2:3" ht="14.25" x14ac:dyDescent="0.2">
      <c r="C20" s="68"/>
    </row>
    <row r="21" spans="2:3" ht="14.25" x14ac:dyDescent="0.2">
      <c r="C21" s="69" t="s">
        <v>1312</v>
      </c>
    </row>
    <row r="22" spans="2:3" x14ac:dyDescent="0.2"/>
    <row r="23" spans="2:3" ht="14.25" x14ac:dyDescent="0.2">
      <c r="C23" s="69" t="s">
        <v>1168</v>
      </c>
    </row>
    <row r="24" spans="2:3" ht="14.25" x14ac:dyDescent="0.2">
      <c r="C24" s="68"/>
    </row>
    <row r="25" spans="2:3" ht="14.25" x14ac:dyDescent="0.2">
      <c r="C25" s="69" t="s">
        <v>1169</v>
      </c>
    </row>
    <row r="26" spans="2:3" x14ac:dyDescent="0.2"/>
  </sheetData>
  <sheetProtection formatCells="0" formatColumns="0" formatRows="0" insertColumns="0" insertRows="0" insertHyperlinks="0" deleteColumns="0" deleteRows="0" sort="0" autoFilter="0" pivotTables="0"/>
  <hyperlinks>
    <hyperlink ref="C9" location="Introduction!A1" display="Introduction"/>
    <hyperlink ref="C11" location="Statements!A1" display="Statements"/>
    <hyperlink ref="C13" location="GA2017_Consolidated!A1" display="Consolidated level data"/>
    <hyperlink ref="C15" location="GA2017_Entity!A1" display="Entity level data"/>
    <hyperlink ref="C19" location="'Unit Cost Sources &amp; notes'!A1" display="Data sources and notes"/>
    <hyperlink ref="C21" location="'Unit Cost Summary'!A1" display="Unit Cost Summary"/>
    <hyperlink ref="C23" location="'2017_Unit_Cost_Consolidated'!A1" display="Consolidated level unit cost data"/>
    <hyperlink ref="C25" location="'2017_Unit_Cost_Entity'!A1" display="Entity level unit cost data"/>
  </hyperlinks>
  <printOptions horizontalCentered="1"/>
  <pageMargins left="0.70866141732283472" right="0.70866141732283472" top="1.1417322834645669" bottom="0.74803149606299213" header="0.31496062992125984" footer="0.31496062992125984"/>
  <pageSetup scale="95" orientation="portrait" r:id="rId1"/>
  <headerFooter>
    <oddHeader>&amp;R&amp;G</oddHeader>
    <oddFooter>&amp;R&amp;P / &amp;N</oddFooter>
    <evenHeader>&amp;R&amp;G</evenHeader>
    <evenFooter>&amp;R&amp;P / &amp;N</evenFooter>
    <firstHeader>&amp;R&amp;G</firstHeader>
    <firstFooter>&amp;R&amp;P / &amp;N</first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pageSetUpPr fitToPage="1"/>
  </sheetPr>
  <dimension ref="A1:D34"/>
  <sheetViews>
    <sheetView showGridLines="0" showRowColHeaders="0" showRuler="0" view="pageLayout" topLeftCell="A20" zoomScale="85" zoomScaleNormal="100" zoomScalePageLayoutView="85" workbookViewId="0">
      <selection activeCell="C28" sqref="C28"/>
    </sheetView>
  </sheetViews>
  <sheetFormatPr defaultColWidth="0" defaultRowHeight="12.75" customHeight="1" zeroHeight="1" x14ac:dyDescent="0.2"/>
  <cols>
    <col min="1" max="1" width="4.75" style="62" customWidth="1"/>
    <col min="2" max="2" width="9" style="62" customWidth="1"/>
    <col min="3" max="3" width="95.125" style="62" customWidth="1"/>
    <col min="4" max="4" width="9" style="62" customWidth="1"/>
    <col min="5" max="16384" width="8" style="62" hidden="1"/>
  </cols>
  <sheetData>
    <row r="1" spans="2:3" ht="12.75" customHeight="1" x14ac:dyDescent="0.2"/>
    <row r="2" spans="2:3" x14ac:dyDescent="0.2"/>
    <row r="3" spans="2:3" ht="33.75" x14ac:dyDescent="0.2">
      <c r="B3" s="63" t="s">
        <v>1100</v>
      </c>
      <c r="C3" s="64"/>
    </row>
    <row r="4" spans="2:3" ht="30" x14ac:dyDescent="0.2">
      <c r="B4" s="65" t="s">
        <v>1170</v>
      </c>
      <c r="C4" s="64"/>
    </row>
    <row r="5" spans="2:3" ht="15.75" x14ac:dyDescent="0.2">
      <c r="B5" s="66"/>
      <c r="C5" s="64"/>
    </row>
    <row r="6" spans="2:3" ht="15.75" x14ac:dyDescent="0.2">
      <c r="B6" s="66" t="s">
        <v>1163</v>
      </c>
      <c r="C6" s="64"/>
    </row>
    <row r="7" spans="2:3" ht="15.75" x14ac:dyDescent="0.2">
      <c r="B7" s="66"/>
      <c r="C7" s="64"/>
    </row>
    <row r="8" spans="2:3" ht="42.75" x14ac:dyDescent="0.2">
      <c r="B8" s="66"/>
      <c r="C8" s="64" t="s">
        <v>1175</v>
      </c>
    </row>
    <row r="9" spans="2:3" ht="15.75" x14ac:dyDescent="0.2">
      <c r="B9" s="66"/>
      <c r="C9" s="64"/>
    </row>
    <row r="10" spans="2:3" ht="15.75" x14ac:dyDescent="0.2">
      <c r="B10" s="66"/>
      <c r="C10" s="64" t="s">
        <v>1171</v>
      </c>
    </row>
    <row r="11" spans="2:3" ht="15.75" x14ac:dyDescent="0.2">
      <c r="B11" s="66"/>
      <c r="C11" s="64"/>
    </row>
    <row r="12" spans="2:3" ht="28.5" x14ac:dyDescent="0.2">
      <c r="B12" s="66"/>
      <c r="C12" s="64" t="s">
        <v>1176</v>
      </c>
    </row>
    <row r="13" spans="2:3" ht="15.75" x14ac:dyDescent="0.2">
      <c r="B13" s="66"/>
      <c r="C13" s="64"/>
    </row>
    <row r="14" spans="2:3" ht="57" x14ac:dyDescent="0.2">
      <c r="B14" s="66"/>
      <c r="C14" s="64" t="s">
        <v>1172</v>
      </c>
    </row>
    <row r="15" spans="2:3" ht="15.75" x14ac:dyDescent="0.2">
      <c r="B15" s="66"/>
      <c r="C15" s="64"/>
    </row>
    <row r="16" spans="2:3" ht="15.75" x14ac:dyDescent="0.2">
      <c r="B16" s="66" t="s">
        <v>1164</v>
      </c>
      <c r="C16" s="64"/>
    </row>
    <row r="17" spans="2:3" ht="15.75" x14ac:dyDescent="0.2">
      <c r="B17" s="66"/>
      <c r="C17" s="64"/>
    </row>
    <row r="18" spans="2:3" ht="15.75" x14ac:dyDescent="0.2">
      <c r="B18" s="66"/>
      <c r="C18" s="67" t="s">
        <v>1116</v>
      </c>
    </row>
    <row r="19" spans="2:3" ht="28.5" x14ac:dyDescent="0.2">
      <c r="B19" s="66"/>
      <c r="C19" s="64" t="s">
        <v>1177</v>
      </c>
    </row>
    <row r="20" spans="2:3" ht="15.75" x14ac:dyDescent="0.2">
      <c r="B20" s="66"/>
      <c r="C20" s="64"/>
    </row>
    <row r="21" spans="2:3" ht="15.75" x14ac:dyDescent="0.2">
      <c r="B21" s="66"/>
      <c r="C21" s="67" t="s">
        <v>1117</v>
      </c>
    </row>
    <row r="22" spans="2:3" ht="28.5" x14ac:dyDescent="0.2">
      <c r="B22" s="66"/>
      <c r="C22" s="64" t="s">
        <v>1178</v>
      </c>
    </row>
    <row r="23" spans="2:3" ht="15.75" x14ac:dyDescent="0.2">
      <c r="B23" s="66"/>
      <c r="C23" s="64"/>
    </row>
    <row r="24" spans="2:3" ht="15.75" x14ac:dyDescent="0.2">
      <c r="B24" s="66"/>
      <c r="C24" s="67" t="s">
        <v>1173</v>
      </c>
    </row>
    <row r="25" spans="2:3" ht="28.5" x14ac:dyDescent="0.2">
      <c r="B25" s="66"/>
      <c r="C25" s="64" t="s">
        <v>1179</v>
      </c>
    </row>
    <row r="26" spans="2:3" ht="15.75" x14ac:dyDescent="0.2">
      <c r="B26" s="66"/>
      <c r="C26" s="64"/>
    </row>
    <row r="27" spans="2:3" ht="15.75" x14ac:dyDescent="0.2">
      <c r="B27" s="66"/>
      <c r="C27" s="67" t="s">
        <v>1174</v>
      </c>
    </row>
    <row r="28" spans="2:3" ht="28.5" x14ac:dyDescent="0.2">
      <c r="B28" s="66"/>
      <c r="C28" s="64" t="s">
        <v>1180</v>
      </c>
    </row>
    <row r="29" spans="2:3" ht="15.75" x14ac:dyDescent="0.2">
      <c r="B29" s="66"/>
      <c r="C29" s="64"/>
    </row>
    <row r="30" spans="2:3" ht="85.5" x14ac:dyDescent="0.2">
      <c r="B30" s="66"/>
      <c r="C30" s="64" t="s">
        <v>1181</v>
      </c>
    </row>
    <row r="31" spans="2:3" x14ac:dyDescent="0.2"/>
    <row r="32" spans="2:3" ht="15.75" x14ac:dyDescent="0.2">
      <c r="B32" s="66" t="s">
        <v>1192</v>
      </c>
    </row>
    <row r="33" spans="2:3" ht="57.75" x14ac:dyDescent="0.2">
      <c r="B33" s="66"/>
      <c r="C33" s="64" t="s">
        <v>1197</v>
      </c>
    </row>
    <row r="34" spans="2:3" ht="86.25" x14ac:dyDescent="0.2">
      <c r="C34" s="85" t="s">
        <v>1313</v>
      </c>
    </row>
  </sheetData>
  <sheetProtection formatCells="0" formatColumns="0" formatRows="0" insertColumns="0" insertRows="0" insertHyperlinks="0" deleteColumns="0" deleteRows="0" sort="0" autoFilter="0" pivotTables="0"/>
  <printOptions horizontalCentered="1"/>
  <pageMargins left="0.70866141732283472" right="0.70866141732283472" top="0.74803149606299213" bottom="0.74803149606299213" header="0.31496062992125984" footer="0.31496062992125984"/>
  <pageSetup scale="82" orientation="portrait" r:id="rId1"/>
  <headerFooter>
    <oddHeader>&amp;R&amp;G</oddHeader>
    <oddFooter>&amp;R&amp;P / &amp;N</oddFooter>
    <evenHeader>&amp;R&amp;G</evenHeader>
    <evenFooter>&amp;R&amp;P / &amp;N</evenFooter>
    <firstHeader>&amp;R&amp;G</firstHeader>
    <firstFooter>&amp;R&amp;P / &amp;N</first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pageSetUpPr autoPageBreaks="0" fitToPage="1"/>
  </sheetPr>
  <dimension ref="A1:F161"/>
  <sheetViews>
    <sheetView showGridLines="0" zoomScale="120" zoomScaleNormal="120" workbookViewId="0">
      <selection activeCell="C63" sqref="C63"/>
    </sheetView>
  </sheetViews>
  <sheetFormatPr defaultColWidth="0" defaultRowHeight="14.25" zeroHeight="1" x14ac:dyDescent="0.2"/>
  <cols>
    <col min="1" max="1" width="4.625" style="2" customWidth="1"/>
    <col min="2" max="2" width="59.5" style="4" customWidth="1"/>
    <col min="3" max="3" width="12.75" style="4" customWidth="1"/>
    <col min="4" max="4" width="3.25" style="4" customWidth="1"/>
    <col min="5" max="5" width="12.75" style="4" customWidth="1"/>
    <col min="6" max="6" width="4.625" style="2" customWidth="1"/>
    <col min="7" max="16384" width="8" style="2" hidden="1"/>
  </cols>
  <sheetData>
    <row r="1" spans="1:5" ht="57.75" customHeight="1" x14ac:dyDescent="0.2">
      <c r="A1" s="55" t="s">
        <v>1100</v>
      </c>
    </row>
    <row r="2" spans="1:5" s="57" customFormat="1" ht="12.75" x14ac:dyDescent="0.2">
      <c r="A2" s="56"/>
    </row>
    <row r="3" spans="1:5" x14ac:dyDescent="0.2"/>
    <row r="4" spans="1:5" ht="18" x14ac:dyDescent="0.25">
      <c r="A4" s="11" t="s">
        <v>1116</v>
      </c>
      <c r="B4" s="12"/>
    </row>
    <row r="5" spans="1:5" ht="18" x14ac:dyDescent="0.25">
      <c r="A5" s="11"/>
      <c r="B5" s="12"/>
    </row>
    <row r="6" spans="1:5" s="45" customFormat="1" ht="15" x14ac:dyDescent="0.25">
      <c r="B6" s="13" t="s">
        <v>1104</v>
      </c>
      <c r="C6" s="37" t="s">
        <v>1115</v>
      </c>
      <c r="D6" s="37"/>
      <c r="E6" s="38" t="s">
        <v>204</v>
      </c>
    </row>
    <row r="7" spans="1:5" x14ac:dyDescent="0.2">
      <c r="B7" s="14" t="s">
        <v>871</v>
      </c>
      <c r="C7" s="15">
        <f xml:space="preserve"> SUM( Data_Consolidated[Turnover] ) * 0.000001</f>
        <v>19.996597999999999</v>
      </c>
      <c r="D7" s="16"/>
      <c r="E7" s="49">
        <f xml:space="preserve"> SUM( Data_Entity[Turnover] ) * 0.000001</f>
        <v>17.986775999999999</v>
      </c>
    </row>
    <row r="8" spans="1:5" x14ac:dyDescent="0.2">
      <c r="B8" s="14" t="s">
        <v>873</v>
      </c>
      <c r="C8" s="15">
        <f xml:space="preserve"> SUM( Data_Consolidated[Cost of sales] ) * 0.000001</f>
        <v>-1.937373</v>
      </c>
      <c r="D8" s="16"/>
      <c r="E8" s="49">
        <f xml:space="preserve"> SUM( Data_Entity[Cost of sales] ) * 0.000001</f>
        <v>-1.0479099999999999</v>
      </c>
    </row>
    <row r="9" spans="1:5" x14ac:dyDescent="0.2">
      <c r="B9" s="14" t="s">
        <v>872</v>
      </c>
      <c r="C9" s="15">
        <f xml:space="preserve"> SUM( Data_Consolidated[Operating expenditure] ) * 0.000001</f>
        <v>-12.143231999999999</v>
      </c>
      <c r="D9" s="16"/>
      <c r="E9" s="49">
        <f xml:space="preserve"> SUM( Data_Entity[Operating expenditure] ) * 0.000001</f>
        <v>-11.423195</v>
      </c>
    </row>
    <row r="10" spans="1:5" x14ac:dyDescent="0.2">
      <c r="B10" s="18" t="s">
        <v>1105</v>
      </c>
      <c r="C10" s="19">
        <f xml:space="preserve"> SUM( Data_Consolidated[Operating Surplus/(Deficit)] ) * 0.000001</f>
        <v>5.9159929999999994</v>
      </c>
      <c r="D10" s="78"/>
      <c r="E10" s="50">
        <f xml:space="preserve"> SUM( Data_Entity[Operating Surplus/(Deficit)] ) * 0.000001</f>
        <v>5.5156709999999993</v>
      </c>
    </row>
    <row r="11" spans="1:5" x14ac:dyDescent="0.2">
      <c r="B11" s="14"/>
      <c r="C11" s="16"/>
      <c r="D11" s="16"/>
      <c r="E11" s="17"/>
    </row>
    <row r="12" spans="1:5" x14ac:dyDescent="0.2">
      <c r="B12" s="14" t="s">
        <v>1106</v>
      </c>
      <c r="C12" s="15">
        <f xml:space="preserve"> SUM( Data_Consolidated[Gain/(Loss) on disposal of fixed assets] ) * 0.000001</f>
        <v>0.78296899999999992</v>
      </c>
      <c r="D12" s="16"/>
      <c r="E12" s="49">
        <f xml:space="preserve"> SUM( Data_Entity[Gain/(Loss) on disposal of fixed assets] ) * 0.000001</f>
        <v>0.826048</v>
      </c>
    </row>
    <row r="13" spans="1:5" x14ac:dyDescent="0.2">
      <c r="B13" s="83" t="s">
        <v>1195</v>
      </c>
      <c r="C13" s="15">
        <f xml:space="preserve"> SUM( Data_Consolidated[Gift aid], Data_Consolidated[Other items], Data_Consolidated[Share of Op Surplus/(Deficit) in JV or Assoc] ) * 0.000001</f>
        <v>0.54191299999999998</v>
      </c>
      <c r="D13" s="16"/>
      <c r="E13" s="49">
        <f xml:space="preserve"> SUM( Data_Entity[Gift aid], Data_Entity[Other items], Data_Entity[Share of Op Surplus/(Deficit) in JV or Assoc] ) * 0.000001</f>
        <v>0.36569199999999996</v>
      </c>
    </row>
    <row r="14" spans="1:5" x14ac:dyDescent="0.2">
      <c r="B14" s="83" t="s">
        <v>879</v>
      </c>
      <c r="C14" s="15">
        <f xml:space="preserve"> SUM( Data_Consolidated[Interest receivable] ) * 0.000001</f>
        <v>0.10094</v>
      </c>
      <c r="D14" s="16"/>
      <c r="E14" s="49">
        <f xml:space="preserve"> SUM( Data_Entity[Interest receivable] ) * 0.000001</f>
        <v>0.26977499999999999</v>
      </c>
    </row>
    <row r="15" spans="1:5" x14ac:dyDescent="0.2">
      <c r="B15" s="83" t="s">
        <v>1107</v>
      </c>
      <c r="C15" s="15">
        <f xml:space="preserve"> SUM( Data_Consolidated[Interest payable &amp; financing costs] ) * 0.000001</f>
        <v>-3.4647029999999996</v>
      </c>
      <c r="D15" s="16"/>
      <c r="E15" s="49">
        <f xml:space="preserve"> SUM( Data_Entity[Interest payable &amp; financing costs] ) * 0.000001</f>
        <v>-3.5816939999999997</v>
      </c>
    </row>
    <row r="16" spans="1:5" x14ac:dyDescent="0.2">
      <c r="B16" s="83" t="s">
        <v>1196</v>
      </c>
      <c r="C16" s="15">
        <f xml:space="preserve"> SUM( Data_Consolidated[Movement in fair value - investment properties], Data_Consolidated[Movement in fair value - fin. Instruments], Data_Consolidated[Movement in valuation of housing properties], Data_Consolidated[Reversal of previous decrease in val. housing props.] ) * 0.000001</f>
        <v>0.26231299999999996</v>
      </c>
      <c r="D16" s="16"/>
      <c r="E16" s="49">
        <f xml:space="preserve"> SUM( Data_Entity[Movement in fair value - investment properties], Data_Entity[Movement in fair value - fin. Instruments], Data_Entity[Movement in valuation of housing properties], Data_Entity[Reversal of previous decrease in val. housing props.] ) * 0.000001</f>
        <v>0.105765</v>
      </c>
    </row>
    <row r="17" spans="1:5" x14ac:dyDescent="0.2">
      <c r="B17" s="18" t="s">
        <v>1109</v>
      </c>
      <c r="C17" s="19">
        <f xml:space="preserve"> SUM( Data_Consolidated[Surplus/(Deficit) before tax] ) * 0.000001</f>
        <v>4.1394250000000001</v>
      </c>
      <c r="D17" s="78"/>
      <c r="E17" s="50">
        <f xml:space="preserve"> SUM( Data_Entity[Surplus/(Deficit) before tax] ) * 0.000001</f>
        <v>3.5012569999999998</v>
      </c>
    </row>
    <row r="18" spans="1:5" x14ac:dyDescent="0.2">
      <c r="B18" s="14" t="s">
        <v>883</v>
      </c>
      <c r="C18" s="15">
        <f xml:space="preserve"> SUM( Data_Consolidated[Taxation] ) * 0.000001</f>
        <v>-5.2273E-2</v>
      </c>
      <c r="D18" s="16"/>
      <c r="E18" s="49">
        <f xml:space="preserve"> SUM( Data_Entity[Taxation] ) * 0.000001</f>
        <v>-9.7909999999999994E-3</v>
      </c>
    </row>
    <row r="19" spans="1:5" x14ac:dyDescent="0.2">
      <c r="B19" s="18" t="s">
        <v>1110</v>
      </c>
      <c r="C19" s="19">
        <f xml:space="preserve"> SUM( Data_Consolidated[Surplus/(Deficit) for the period] ) * 0.000001</f>
        <v>4.0871519999999997</v>
      </c>
      <c r="D19" s="20"/>
      <c r="E19" s="50">
        <f xml:space="preserve"> SUM( Data_Entity[Surplus/(Deficit) for the period] ) * 0.000001</f>
        <v>3.491466</v>
      </c>
    </row>
    <row r="20" spans="1:5" x14ac:dyDescent="0.2">
      <c r="B20" s="14"/>
      <c r="C20" s="16"/>
      <c r="D20" s="16"/>
      <c r="E20" s="17"/>
    </row>
    <row r="21" spans="1:5" x14ac:dyDescent="0.2">
      <c r="B21" s="14" t="s">
        <v>1111</v>
      </c>
      <c r="C21" s="15">
        <f xml:space="preserve"> SUM( Data_Consolidated[Unrealised Sur/(Def) on reval. Housing Props] ) * 0.000001</f>
        <v>2.5918E-2</v>
      </c>
      <c r="D21" s="16"/>
      <c r="E21" s="49">
        <f xml:space="preserve"> SUM( Data_Entity[Unrealised Sur/(Def) on reval. Housing Props] ) * 0.000001</f>
        <v>2.4760999999999998E-2</v>
      </c>
    </row>
    <row r="22" spans="1:5" x14ac:dyDescent="0.2">
      <c r="B22" s="14" t="s">
        <v>1112</v>
      </c>
      <c r="C22" s="15">
        <f xml:space="preserve"> SUM( Data_Consolidated[Actuarial Gain/(Loss) pension schemes] ) * 0.000001</f>
        <v>-0.52029700000000001</v>
      </c>
      <c r="D22" s="16"/>
      <c r="E22" s="49">
        <f xml:space="preserve"> SUM( Data_Entity[Actuarial Gain/(Loss) pension schemes] ) * 0.000001</f>
        <v>-0.49614399999999997</v>
      </c>
    </row>
    <row r="23" spans="1:5" x14ac:dyDescent="0.2">
      <c r="B23" s="14" t="s">
        <v>1113</v>
      </c>
      <c r="C23" s="15">
        <f xml:space="preserve"> SUM( Data_Consolidated[Change in fair value of hedged inst] ) * 0.000001</f>
        <v>0.106345</v>
      </c>
      <c r="D23" s="16"/>
      <c r="E23" s="49">
        <f xml:space="preserve"> SUM( Data_Entity[Change in fair value of hedged inst] ) * 0.000001</f>
        <v>0.15198200000000001</v>
      </c>
    </row>
    <row r="24" spans="1:5" x14ac:dyDescent="0.2">
      <c r="B24" s="14" t="s">
        <v>1064</v>
      </c>
      <c r="C24" s="15">
        <f xml:space="preserve"> SUM( Data_Consolidated[Other remeasurements] ) * 0.000001</f>
        <v>1.384E-3</v>
      </c>
      <c r="D24" s="16"/>
      <c r="E24" s="49">
        <f xml:space="preserve"> SUM( Data_Entity[Other remeasurements] ) * 0.000001</f>
        <v>8.1980000000000004E-3</v>
      </c>
    </row>
    <row r="25" spans="1:5" x14ac:dyDescent="0.2">
      <c r="B25" s="18" t="s">
        <v>1114</v>
      </c>
      <c r="C25" s="19">
        <f xml:space="preserve"> SUM( Data_Consolidated[Total Comp Income] ) * 0.000001</f>
        <v>3.7005019999999997</v>
      </c>
      <c r="D25" s="27"/>
      <c r="E25" s="50">
        <f xml:space="preserve"> SUM( Data_Entity[Total Comp Income] ) * 0.000001</f>
        <v>3.1802630000000001</v>
      </c>
    </row>
    <row r="26" spans="1:5" x14ac:dyDescent="0.2">
      <c r="B26" s="22"/>
      <c r="C26" s="20"/>
      <c r="D26" s="20"/>
      <c r="E26" s="21"/>
    </row>
    <row r="27" spans="1:5" x14ac:dyDescent="0.2"/>
    <row r="28" spans="1:5" ht="18" x14ac:dyDescent="0.25">
      <c r="A28" s="11" t="s">
        <v>1117</v>
      </c>
    </row>
    <row r="29" spans="1:5" ht="18" x14ac:dyDescent="0.25">
      <c r="A29" s="11"/>
    </row>
    <row r="30" spans="1:5" s="45" customFormat="1" ht="15" x14ac:dyDescent="0.25">
      <c r="B30" s="13" t="s">
        <v>1104</v>
      </c>
      <c r="C30" s="37" t="s">
        <v>1115</v>
      </c>
      <c r="D30" s="37"/>
      <c r="E30" s="38" t="s">
        <v>204</v>
      </c>
    </row>
    <row r="31" spans="1:5" x14ac:dyDescent="0.2">
      <c r="B31" s="34"/>
      <c r="C31" s="35"/>
      <c r="D31" s="35"/>
      <c r="E31" s="36"/>
    </row>
    <row r="32" spans="1:5" x14ac:dyDescent="0.2">
      <c r="B32" s="31" t="s">
        <v>1118</v>
      </c>
      <c r="C32" s="9"/>
      <c r="D32" s="9"/>
      <c r="E32" s="10"/>
    </row>
    <row r="33" spans="2:5" x14ac:dyDescent="0.2">
      <c r="B33" s="14" t="s">
        <v>889</v>
      </c>
      <c r="C33" s="15">
        <f xml:space="preserve"> SUM( Data_Consolidated[Rents] ) * 0.000001</f>
        <v>13.115205</v>
      </c>
      <c r="D33" s="16"/>
      <c r="E33" s="49">
        <f xml:space="preserve"> SUM( Data_Entity[Rents] ) * 0.000001</f>
        <v>12.864746</v>
      </c>
    </row>
    <row r="34" spans="2:5" x14ac:dyDescent="0.2">
      <c r="B34" s="14" t="s">
        <v>890</v>
      </c>
      <c r="C34" s="15">
        <f xml:space="preserve"> SUM( Data_Consolidated[Service charge income] ) * 0.000001</f>
        <v>1.2893319999999999</v>
      </c>
      <c r="D34" s="16"/>
      <c r="E34" s="49">
        <f xml:space="preserve"> SUM( Data_Entity[Service charge income] ) * 0.000001</f>
        <v>1.274562</v>
      </c>
    </row>
    <row r="35" spans="2:5" x14ac:dyDescent="0.2">
      <c r="B35" s="18" t="s">
        <v>891</v>
      </c>
      <c r="C35" s="19">
        <f xml:space="preserve"> SUM( Data_Consolidated[Net rental income] ) * 0.000001</f>
        <v>14.404536999999999</v>
      </c>
      <c r="D35" s="27"/>
      <c r="E35" s="50">
        <f xml:space="preserve"> SUM( Data_Entity[Net rental income] ) * 0.000001</f>
        <v>14.139308</v>
      </c>
    </row>
    <row r="36" spans="2:5" x14ac:dyDescent="0.2">
      <c r="B36" s="14" t="s">
        <v>1119</v>
      </c>
      <c r="C36" s="15">
        <f xml:space="preserve"> SUM( Data_Consolidated[Gov grants taken to income], Data_Consolidated[Amortised gov. grants] ) * 0.000001</f>
        <v>0.45652999999999999</v>
      </c>
      <c r="D36" s="16"/>
      <c r="E36" s="49">
        <f xml:space="preserve"> SUM( Data_Entity[Gov grants taken to income], Data_Entity[Amortised gov. grants] ) * 0.000001</f>
        <v>0.45064099999999996</v>
      </c>
    </row>
    <row r="37" spans="2:5" x14ac:dyDescent="0.2">
      <c r="B37" s="23" t="s">
        <v>1120</v>
      </c>
      <c r="C37" s="24">
        <f xml:space="preserve"> SUM( Data_Consolidated[Other grants], Data_Consolidated[Other SHL income] ) * 0.000001</f>
        <v>0.25939799999999996</v>
      </c>
      <c r="D37" s="25"/>
      <c r="E37" s="51">
        <f xml:space="preserve"> SUM( Data_Entity[Other grants], Data_Entity[Other SHL income] ) * 0.000001</f>
        <v>0.29188799999999998</v>
      </c>
    </row>
    <row r="38" spans="2:5" x14ac:dyDescent="0.2">
      <c r="B38" s="18" t="s">
        <v>896</v>
      </c>
      <c r="C38" s="19">
        <f xml:space="preserve"> SUM( Data_Consolidated[Turnover from SHL] ) * 0.000001</f>
        <v>15.120464999999999</v>
      </c>
      <c r="D38" s="27"/>
      <c r="E38" s="50">
        <f xml:space="preserve"> SUM( Data_Entity[Turnover from SHL] ) * 0.000001</f>
        <v>14.881836999999999</v>
      </c>
    </row>
    <row r="39" spans="2:5" x14ac:dyDescent="0.2">
      <c r="B39" s="28"/>
      <c r="C39" s="29"/>
      <c r="D39" s="29"/>
      <c r="E39" s="30"/>
    </row>
    <row r="40" spans="2:5" x14ac:dyDescent="0.2">
      <c r="B40" s="31" t="s">
        <v>1121</v>
      </c>
      <c r="C40" s="32"/>
      <c r="D40" s="32"/>
      <c r="E40" s="33"/>
    </row>
    <row r="41" spans="2:5" x14ac:dyDescent="0.2">
      <c r="B41" s="14" t="s">
        <v>897</v>
      </c>
      <c r="C41" s="15">
        <f xml:space="preserve"> SUM( Data_Consolidated[Management] ) * 0.000001</f>
        <v>2.6029420000000001</v>
      </c>
      <c r="D41" s="16"/>
      <c r="E41" s="49">
        <f xml:space="preserve"> SUM( Data_Entity[Management] ) * 0.000001</f>
        <v>2.5992120000000001</v>
      </c>
    </row>
    <row r="42" spans="2:5" x14ac:dyDescent="0.2">
      <c r="B42" s="14" t="s">
        <v>898</v>
      </c>
      <c r="C42" s="15">
        <f xml:space="preserve"> SUM( Data_Consolidated[Service charge costs] ) * 0.000001</f>
        <v>1.52189</v>
      </c>
      <c r="D42" s="16"/>
      <c r="E42" s="49">
        <f xml:space="preserve"> SUM( Data_Entity[Service charge costs] ) * 0.000001</f>
        <v>1.4822359999999999</v>
      </c>
    </row>
    <row r="43" spans="2:5" x14ac:dyDescent="0.2">
      <c r="B43" s="14" t="s">
        <v>899</v>
      </c>
      <c r="C43" s="15">
        <f xml:space="preserve"> SUM( Data_Consolidated[Routine maintenance] ) * 0.000001</f>
        <v>1.90479</v>
      </c>
      <c r="D43" s="16"/>
      <c r="E43" s="49">
        <f xml:space="preserve"> SUM( Data_Entity[Routine maintenance] ) * 0.000001</f>
        <v>1.8897459999999999</v>
      </c>
    </row>
    <row r="44" spans="2:5" x14ac:dyDescent="0.2">
      <c r="B44" s="14" t="s">
        <v>900</v>
      </c>
      <c r="C44" s="15">
        <f xml:space="preserve"> SUM( Data_Consolidated[Planned maintenance] ) * 0.000001</f>
        <v>0.83129900000000001</v>
      </c>
      <c r="D44" s="16"/>
      <c r="E44" s="49">
        <f xml:space="preserve"> SUM( Data_Entity[Planned maintenance] ) * 0.000001</f>
        <v>0.82509899999999992</v>
      </c>
    </row>
    <row r="45" spans="2:5" x14ac:dyDescent="0.2">
      <c r="B45" s="14" t="s">
        <v>901</v>
      </c>
      <c r="C45" s="15">
        <f xml:space="preserve"> SUM( Data_Consolidated[Major repairs expenditure] ) * 0.000001</f>
        <v>0.46555199999999997</v>
      </c>
      <c r="D45" s="16"/>
      <c r="E45" s="49">
        <f xml:space="preserve"> SUM( Data_Entity[Major repairs expenditure] ) * 0.000001</f>
        <v>0.45636099999999996</v>
      </c>
    </row>
    <row r="46" spans="2:5" x14ac:dyDescent="0.2">
      <c r="B46" s="14" t="s">
        <v>902</v>
      </c>
      <c r="C46" s="15">
        <f xml:space="preserve"> SUM( Data_Consolidated[Bad debts] ) * 0.000001</f>
        <v>9.8632999999999998E-2</v>
      </c>
      <c r="D46" s="16"/>
      <c r="E46" s="49">
        <f xml:space="preserve"> SUM( Data_Entity[Bad debts] ) * 0.000001</f>
        <v>9.6955E-2</v>
      </c>
    </row>
    <row r="47" spans="2:5" x14ac:dyDescent="0.2">
      <c r="B47" s="14" t="s">
        <v>903</v>
      </c>
      <c r="C47" s="15">
        <f xml:space="preserve"> SUM( Data_Consolidated[Depreciation of housing properties] ) * 0.000001</f>
        <v>2.1040839999999998</v>
      </c>
      <c r="D47" s="16"/>
      <c r="E47" s="49">
        <f xml:space="preserve"> SUM( Data_Entity[Depreciation of housing properties] ) * 0.000001</f>
        <v>2.0517249999999998</v>
      </c>
    </row>
    <row r="48" spans="2:5" x14ac:dyDescent="0.2">
      <c r="B48" s="14" t="s">
        <v>904</v>
      </c>
      <c r="C48" s="15">
        <f xml:space="preserve"> SUM( Data_Consolidated[Impairment of housing properties] ) * 0.000001</f>
        <v>3.5386000000000001E-2</v>
      </c>
      <c r="D48" s="16"/>
      <c r="E48" s="49">
        <f xml:space="preserve"> SUM( Data_Entity[Impairment of housing properties] ) * 0.000001</f>
        <v>3.3881999999999995E-2</v>
      </c>
    </row>
    <row r="49" spans="1:5" x14ac:dyDescent="0.2">
      <c r="B49" s="23" t="s">
        <v>905</v>
      </c>
      <c r="C49" s="24">
        <f xml:space="preserve"> SUM( Data_Consolidated[Other costs] ) * 0.000001</f>
        <v>0.39501599999999998</v>
      </c>
      <c r="D49" s="25"/>
      <c r="E49" s="51">
        <f xml:space="preserve"> SUM( Data_Entity[Other costs] ) * 0.000001</f>
        <v>0.40293499999999999</v>
      </c>
    </row>
    <row r="50" spans="1:5" x14ac:dyDescent="0.2">
      <c r="B50" s="18" t="s">
        <v>906</v>
      </c>
      <c r="C50" s="19">
        <f xml:space="preserve"> SUM( Data_Consolidated[Expenditure on SHL] ) * 0.000001</f>
        <v>9.9595919999999989</v>
      </c>
      <c r="D50" s="27"/>
      <c r="E50" s="50">
        <f xml:space="preserve"> SUM( Data_Entity[Expenditure on SHL] ) * 0.000001</f>
        <v>9.8381509999999999</v>
      </c>
    </row>
    <row r="51" spans="1:5" x14ac:dyDescent="0.2">
      <c r="B51" s="22"/>
      <c r="C51" s="20"/>
      <c r="D51" s="20"/>
      <c r="E51" s="21"/>
    </row>
    <row r="52" spans="1:5" x14ac:dyDescent="0.2">
      <c r="B52" s="18" t="s">
        <v>1122</v>
      </c>
      <c r="C52" s="19">
        <f xml:space="preserve"> SUM( Data_Consolidated[Operating Surplus/(Def) on SHL] ) * 0.000001</f>
        <v>5.1608729999999996</v>
      </c>
      <c r="D52" s="27"/>
      <c r="E52" s="50">
        <f xml:space="preserve"> SUM( Data_Entity[Operating Surplus/(Def) on SHL] ) * 0.000001</f>
        <v>5.0436860000000001</v>
      </c>
    </row>
    <row r="53" spans="1:5" x14ac:dyDescent="0.2">
      <c r="B53" s="22"/>
      <c r="C53" s="20"/>
      <c r="D53" s="20"/>
      <c r="E53" s="21"/>
    </row>
    <row r="54" spans="1:5" x14ac:dyDescent="0.2"/>
    <row r="55" spans="1:5" ht="18" x14ac:dyDescent="0.25">
      <c r="A55" s="11" t="s">
        <v>1123</v>
      </c>
    </row>
    <row r="56" spans="1:5" ht="18" x14ac:dyDescent="0.25">
      <c r="A56" s="11"/>
    </row>
    <row r="57" spans="1:5" s="45" customFormat="1" ht="15" x14ac:dyDescent="0.25">
      <c r="B57" s="13" t="s">
        <v>1104</v>
      </c>
      <c r="C57" s="37" t="s">
        <v>1115</v>
      </c>
      <c r="D57" s="37"/>
      <c r="E57" s="38" t="s">
        <v>204</v>
      </c>
    </row>
    <row r="58" spans="1:5" x14ac:dyDescent="0.2">
      <c r="B58" s="34"/>
      <c r="C58" s="35"/>
      <c r="D58" s="35"/>
      <c r="E58" s="36"/>
    </row>
    <row r="59" spans="1:5" x14ac:dyDescent="0.2">
      <c r="B59" s="31" t="s">
        <v>1124</v>
      </c>
      <c r="C59" s="16"/>
      <c r="D59" s="16"/>
      <c r="E59" s="17"/>
    </row>
    <row r="60" spans="1:5" x14ac:dyDescent="0.2">
      <c r="B60" s="14" t="s">
        <v>1125</v>
      </c>
      <c r="C60" s="15">
        <f xml:space="preserve"> SUM( Data_Consolidated[Housing properties at cost] ) * 0.000001</f>
        <v>137.47500700000001</v>
      </c>
      <c r="D60" s="16"/>
      <c r="E60" s="49">
        <f xml:space="preserve"> SUM( Data_Entity[Housing properties at cost] ) * 0.000001</f>
        <v>133.501103</v>
      </c>
    </row>
    <row r="61" spans="1:5" x14ac:dyDescent="0.2">
      <c r="B61" s="14" t="s">
        <v>1126</v>
      </c>
      <c r="C61" s="15">
        <f xml:space="preserve"> SUM( Data_Consolidated[Housing properties at valuation] ) * 0.000001</f>
        <v>2.0470969999999999</v>
      </c>
      <c r="D61" s="16"/>
      <c r="E61" s="49">
        <f xml:space="preserve"> SUM( Data_Entity[Housing properties at valuation] ) * 0.000001</f>
        <v>2.0183529999999998</v>
      </c>
    </row>
    <row r="62" spans="1:5" x14ac:dyDescent="0.2">
      <c r="B62" s="14" t="s">
        <v>1127</v>
      </c>
      <c r="C62" s="15">
        <f xml:space="preserve"> SUM( Data_Consolidated[Other tangible fixed assets], Data_Consolidated[Intangible fixed assets &amp; goodwill], Data_Consolidated[HomeBuy loans receivable], Data_Consolidated[Amounts owed by group undertakings] ) * 0.000001</f>
        <v>2.882717</v>
      </c>
      <c r="D62" s="16"/>
      <c r="E62" s="49">
        <f xml:space="preserve"> SUM( Data_Entity[Other tangible fixed assets], Data_Entity[Intangible fixed assets &amp; goodwill], Data_Entity[HomeBuy loans receivable], Data_Entity[Amounts owed by group undertakings] ) * 0.000001</f>
        <v>5.1523479999999999</v>
      </c>
    </row>
    <row r="63" spans="1:5" x14ac:dyDescent="0.2">
      <c r="B63" s="14" t="s">
        <v>913</v>
      </c>
      <c r="C63" s="15">
        <f xml:space="preserve"> SUM( Data_Consolidated[Investment properties] ) * 0.000001</f>
        <v>4.6981619999999999</v>
      </c>
      <c r="D63" s="16"/>
      <c r="E63" s="49">
        <f xml:space="preserve"> SUM( Data_Entity[Investment properties] ) * 0.000001</f>
        <v>3.1156159999999997</v>
      </c>
    </row>
    <row r="64" spans="1:5" x14ac:dyDescent="0.2">
      <c r="B64" s="23" t="s">
        <v>916</v>
      </c>
      <c r="C64" s="24">
        <f xml:space="preserve"> SUM( Data_Consolidated[Investment in Joint Ventures], Data_Consolidated[Investment in associates], Data_Consolidated[Other investments] ) * 0.000001</f>
        <v>1.7066349999999999</v>
      </c>
      <c r="D64" s="25"/>
      <c r="E64" s="51">
        <f xml:space="preserve"> SUM( Data_Entity[Investment in Joint Ventures], Data_Entity[Investment in associates], Data_Entity[Other investments] ) * 0.000001</f>
        <v>2.8934299999999999</v>
      </c>
    </row>
    <row r="65" spans="2:5" x14ac:dyDescent="0.2">
      <c r="B65" s="18" t="s">
        <v>917</v>
      </c>
      <c r="C65" s="19">
        <f xml:space="preserve"> SUM( Data_Consolidated[Total fixed assets] ) * 0.000001</f>
        <v>148.809618</v>
      </c>
      <c r="D65" s="27"/>
      <c r="E65" s="50">
        <f xml:space="preserve"> SUM( Data_Entity[Total fixed assets] ) * 0.000001</f>
        <v>146.68084999999999</v>
      </c>
    </row>
    <row r="66" spans="2:5" x14ac:dyDescent="0.2">
      <c r="B66" s="28"/>
      <c r="C66" s="29"/>
      <c r="D66" s="29"/>
      <c r="E66" s="30"/>
    </row>
    <row r="67" spans="2:5" x14ac:dyDescent="0.2">
      <c r="B67" s="31" t="s">
        <v>1128</v>
      </c>
      <c r="C67" s="16"/>
      <c r="D67" s="16"/>
      <c r="E67" s="17"/>
    </row>
    <row r="68" spans="2:5" x14ac:dyDescent="0.2">
      <c r="B68" s="14" t="s">
        <v>918</v>
      </c>
      <c r="C68" s="15">
        <f xml:space="preserve"> SUM( Data_Consolidated[Properties held for sale] ) * 0.000001</f>
        <v>4.7790979999999994</v>
      </c>
      <c r="D68" s="16"/>
      <c r="E68" s="49">
        <f xml:space="preserve"> SUM( Data_Entity[Properties held for sale] ) * 0.000001</f>
        <v>1.76085</v>
      </c>
    </row>
    <row r="69" spans="2:5" x14ac:dyDescent="0.2">
      <c r="B69" s="14" t="s">
        <v>1129</v>
      </c>
      <c r="C69" s="15">
        <f xml:space="preserve"> SUM( Data_Consolidated[Trade &amp; other debtors] ) * 0.000001</f>
        <v>1.9624239999999999</v>
      </c>
      <c r="D69" s="16"/>
      <c r="E69" s="49">
        <f xml:space="preserve"> SUM( Data_Entity[Trade &amp; other debtors] ) * 0.000001</f>
        <v>2.1548219999999998</v>
      </c>
    </row>
    <row r="70" spans="2:5" x14ac:dyDescent="0.2">
      <c r="B70" s="14" t="s">
        <v>1198</v>
      </c>
      <c r="C70" s="15">
        <f xml:space="preserve"> SUM( Data_Consolidated[Cash &amp; cash equiv.], Data_Consolidated[Short term investments] ) * 0.000001</f>
        <v>6.8831159999999993</v>
      </c>
      <c r="D70" s="16"/>
      <c r="E70" s="49">
        <f xml:space="preserve"> SUM( Data_Entity[Cash &amp; cash equiv.], Data_Entity[Short term investments] ) * 0.000001</f>
        <v>5.5295519999999998</v>
      </c>
    </row>
    <row r="71" spans="2:5" x14ac:dyDescent="0.2">
      <c r="B71" s="23" t="s">
        <v>922</v>
      </c>
      <c r="C71" s="24">
        <f xml:space="preserve"> SUM( Data_Consolidated[Other current assets] ) * 0.000001</f>
        <v>1.972731</v>
      </c>
      <c r="D71" s="25"/>
      <c r="E71" s="51">
        <f xml:space="preserve"> SUM( Data_Entity[Other current assets] ) * 0.000001</f>
        <v>3.7756439999999998</v>
      </c>
    </row>
    <row r="72" spans="2:5" x14ac:dyDescent="0.2">
      <c r="B72" s="18" t="s">
        <v>923</v>
      </c>
      <c r="C72" s="19">
        <f xml:space="preserve"> SUM( Data_Consolidated[Total current assets] ) * 0.000001</f>
        <v>15.597368999999999</v>
      </c>
      <c r="D72" s="27"/>
      <c r="E72" s="50">
        <f xml:space="preserve"> SUM( Data_Entity[Total current assets] ) * 0.000001</f>
        <v>13.220867999999999</v>
      </c>
    </row>
    <row r="73" spans="2:5" x14ac:dyDescent="0.2">
      <c r="B73" s="28"/>
      <c r="C73" s="29"/>
      <c r="D73" s="29"/>
      <c r="E73" s="30"/>
    </row>
    <row r="74" spans="2:5" x14ac:dyDescent="0.2">
      <c r="B74" s="31" t="s">
        <v>1130</v>
      </c>
      <c r="C74" s="16"/>
      <c r="D74" s="16"/>
      <c r="E74" s="17"/>
    </row>
    <row r="75" spans="2:5" x14ac:dyDescent="0.2">
      <c r="B75" s="14" t="s">
        <v>924</v>
      </c>
      <c r="C75" s="15">
        <f xml:space="preserve"> SUM( Data_Consolidated[Short term loans] ) * 0.000001</f>
        <v>1.509069</v>
      </c>
      <c r="D75" s="16"/>
      <c r="E75" s="49">
        <f xml:space="preserve"> SUM( Data_Entity[Short term loans] ) * 0.000001</f>
        <v>1.5591329999999999</v>
      </c>
    </row>
    <row r="76" spans="2:5" x14ac:dyDescent="0.2">
      <c r="B76" s="14" t="s">
        <v>1131</v>
      </c>
      <c r="C76" s="15">
        <f xml:space="preserve"> SUM( Data_Consolidated[Deferred capital grant (short term)] ) * 0.000001</f>
        <v>0.37315999999999999</v>
      </c>
      <c r="D76" s="16"/>
      <c r="E76" s="49">
        <f xml:space="preserve"> SUM( Data_Entity[Deferred capital grant (short term)] ) * 0.000001</f>
        <v>0.36830599999999997</v>
      </c>
    </row>
    <row r="77" spans="2:5" x14ac:dyDescent="0.2">
      <c r="B77" s="14" t="s">
        <v>927</v>
      </c>
      <c r="C77" s="15">
        <f xml:space="preserve"> SUM( Data_Consolidated[Bank overdrafts], Data_Consolidated[Other creditors due within 1 year] ) * 0.000001</f>
        <v>5.0166709999999997</v>
      </c>
      <c r="D77" s="16"/>
      <c r="E77" s="49">
        <f xml:space="preserve"> SUM( Data_Entity[Bank overdrafts], Data_Entity[Other creditors due within 1 year] ) * 0.000001</f>
        <v>4.9406679999999996</v>
      </c>
    </row>
    <row r="78" spans="2:5" x14ac:dyDescent="0.2">
      <c r="B78" s="18" t="s">
        <v>1132</v>
      </c>
      <c r="C78" s="19">
        <f xml:space="preserve"> SUM( Data_Consolidated[Total creditors due within 1 year] ) * 0.000001</f>
        <v>6.8988999999999994</v>
      </c>
      <c r="D78" s="27"/>
      <c r="E78" s="50">
        <f xml:space="preserve"> SUM( Data_Entity[Total creditors due within 1 year] ) * 0.000001</f>
        <v>6.8681069999999993</v>
      </c>
    </row>
    <row r="79" spans="2:5" x14ac:dyDescent="0.2">
      <c r="B79" s="14"/>
      <c r="C79" s="16"/>
      <c r="D79" s="16"/>
      <c r="E79" s="17"/>
    </row>
    <row r="80" spans="2:5" x14ac:dyDescent="0.2">
      <c r="B80" s="18" t="s">
        <v>1133</v>
      </c>
      <c r="C80" s="19">
        <f xml:space="preserve"> SUM( Data_Consolidated[Net Current Assets/Liabilities] ) * 0.000001</f>
        <v>8.6984689999999993</v>
      </c>
      <c r="D80" s="27"/>
      <c r="E80" s="50">
        <f xml:space="preserve"> SUM( Data_Entity[Net Current Assets/Liabilities] ) * 0.000001</f>
        <v>6.3527610000000001</v>
      </c>
    </row>
    <row r="81" spans="2:5" x14ac:dyDescent="0.2">
      <c r="B81" s="18" t="s">
        <v>930</v>
      </c>
      <c r="C81" s="19">
        <f xml:space="preserve"> SUM( Data_Consolidated[Total assets less current liabilities] ) * 0.000001</f>
        <v>157.50808699999999</v>
      </c>
      <c r="D81" s="27"/>
      <c r="E81" s="50">
        <f xml:space="preserve"> SUM( Data_Entity[Total assets less current liabilities] ) * 0.000001</f>
        <v>153.03361099999998</v>
      </c>
    </row>
    <row r="82" spans="2:5" x14ac:dyDescent="0.2">
      <c r="B82" s="28"/>
      <c r="C82" s="29"/>
      <c r="D82" s="29"/>
      <c r="E82" s="30"/>
    </row>
    <row r="83" spans="2:5" x14ac:dyDescent="0.2">
      <c r="B83" s="31" t="s">
        <v>1134</v>
      </c>
      <c r="C83" s="16"/>
      <c r="D83" s="16"/>
      <c r="E83" s="17"/>
    </row>
    <row r="84" spans="2:5" x14ac:dyDescent="0.2">
      <c r="B84" s="14" t="s">
        <v>931</v>
      </c>
      <c r="C84" s="15">
        <f xml:space="preserve"> SUM( Data_Consolidated[Long term loans] ) * 0.000001</f>
        <v>67.64268899999999</v>
      </c>
      <c r="D84" s="16"/>
      <c r="E84" s="49">
        <f xml:space="preserve"> SUM( Data_Entity[Long term loans] ) * 0.000001</f>
        <v>54.073726999999998</v>
      </c>
    </row>
    <row r="85" spans="2:5" x14ac:dyDescent="0.2">
      <c r="B85" s="14" t="s">
        <v>932</v>
      </c>
      <c r="C85" s="15">
        <f xml:space="preserve"> SUM( Data_Consolidated[Amounts owed to group undertakings] ) * 0.000001</f>
        <v>3.4949999999999998E-3</v>
      </c>
      <c r="D85" s="16"/>
      <c r="E85" s="49">
        <f xml:space="preserve"> SUM( Data_Entity[Amounts owed to group undertakings] ) * 0.000001</f>
        <v>12.012091999999999</v>
      </c>
    </row>
    <row r="86" spans="2:5" x14ac:dyDescent="0.2">
      <c r="B86" s="14" t="s">
        <v>933</v>
      </c>
      <c r="C86" s="15">
        <f xml:space="preserve"> SUM( Data_Consolidated[Finance lease obligations] ) * 0.000001</f>
        <v>0.397615</v>
      </c>
      <c r="D86" s="16"/>
      <c r="E86" s="49">
        <f xml:space="preserve"> SUM( Data_Entity[Finance lease obligations] ) * 0.000001</f>
        <v>0.27010800000000001</v>
      </c>
    </row>
    <row r="87" spans="2:5" x14ac:dyDescent="0.2">
      <c r="B87" s="14" t="s">
        <v>1135</v>
      </c>
      <c r="C87" s="15">
        <f xml:space="preserve"> SUM( Data_Consolidated[Deferred capital grant (long term)] ) * 0.000001</f>
        <v>34.907111999999998</v>
      </c>
      <c r="D87" s="16"/>
      <c r="E87" s="49">
        <f xml:space="preserve"> SUM( Data_Entity[Deferred capital grant (long term)] ) * 0.000001</f>
        <v>34.188206999999998</v>
      </c>
    </row>
    <row r="88" spans="2:5" x14ac:dyDescent="0.2">
      <c r="B88" s="84" t="s">
        <v>936</v>
      </c>
      <c r="C88" s="24">
        <f xml:space="preserve"> SUM( Data_Consolidated[Fair value of derivative financial instruments - SOFP], Data_Consolidated[HomeBuy grant deferred income], Data_Consolidated[Other long term creditors] ) * 0.000001</f>
        <v>5.913411</v>
      </c>
      <c r="D88" s="25"/>
      <c r="E88" s="51">
        <f xml:space="preserve"> SUM( Data_Entity[Fair value of derivative financial instruments - SOFP], Data_Entity[HomeBuy grant deferred income], Data_Entity[Other long term creditors] ) * 0.000001</f>
        <v>5.4279589999999995</v>
      </c>
    </row>
    <row r="89" spans="2:5" x14ac:dyDescent="0.2">
      <c r="B89" s="18" t="s">
        <v>1136</v>
      </c>
      <c r="C89" s="19">
        <f xml:space="preserve"> SUM( Data_Consolidated[Total creditors due after 1 year] ) * 0.000001</f>
        <v>108.864322</v>
      </c>
      <c r="D89" s="27"/>
      <c r="E89" s="50">
        <f xml:space="preserve"> SUM( Data_Entity[Total creditors due after 1 year] ) * 0.000001</f>
        <v>105.972093</v>
      </c>
    </row>
    <row r="90" spans="2:5" x14ac:dyDescent="0.2">
      <c r="B90" s="28"/>
      <c r="C90" s="29"/>
      <c r="D90" s="29"/>
      <c r="E90" s="30"/>
    </row>
    <row r="91" spans="2:5" x14ac:dyDescent="0.2">
      <c r="B91" s="31" t="s">
        <v>1137</v>
      </c>
      <c r="C91" s="16"/>
      <c r="D91" s="16"/>
      <c r="E91" s="17"/>
    </row>
    <row r="92" spans="2:5" x14ac:dyDescent="0.2">
      <c r="B92" s="14" t="s">
        <v>938</v>
      </c>
      <c r="C92" s="15">
        <f xml:space="preserve"> SUM( Data_Consolidated[Pension provision] ) * 0.000001</f>
        <v>2.17265</v>
      </c>
      <c r="D92" s="16"/>
      <c r="E92" s="49">
        <f xml:space="preserve"> SUM( Data_Entity[Pension provision] ) * 0.000001</f>
        <v>2.0167669999999998</v>
      </c>
    </row>
    <row r="93" spans="2:5" x14ac:dyDescent="0.2">
      <c r="B93" s="14" t="s">
        <v>939</v>
      </c>
      <c r="C93" s="15">
        <f xml:space="preserve"> SUM( Data_Consolidated[Other provisions] ) * 0.000001</f>
        <v>1.2390939999999999</v>
      </c>
      <c r="D93" s="16"/>
      <c r="E93" s="49">
        <f xml:space="preserve"> SUM( Data_Entity[Other provisions] ) * 0.000001</f>
        <v>1.134692</v>
      </c>
    </row>
    <row r="94" spans="2:5" x14ac:dyDescent="0.2">
      <c r="B94" s="23"/>
      <c r="C94" s="25"/>
      <c r="D94" s="25"/>
      <c r="E94" s="26"/>
    </row>
    <row r="95" spans="2:5" x14ac:dyDescent="0.2">
      <c r="B95" s="18" t="s">
        <v>940</v>
      </c>
      <c r="C95" s="19">
        <f xml:space="preserve"> SUM( Data_Consolidated[Total net assets] ) * 0.000001</f>
        <v>45.232020999999996</v>
      </c>
      <c r="D95" s="27"/>
      <c r="E95" s="50">
        <f xml:space="preserve"> SUM( Data_Entity[Total net assets] ) * 0.000001</f>
        <v>43.910058999999997</v>
      </c>
    </row>
    <row r="96" spans="2:5" x14ac:dyDescent="0.2">
      <c r="B96" s="28"/>
      <c r="C96" s="29"/>
      <c r="D96" s="29"/>
      <c r="E96" s="30"/>
    </row>
    <row r="97" spans="1:5" x14ac:dyDescent="0.2">
      <c r="B97" s="31" t="s">
        <v>1138</v>
      </c>
      <c r="C97" s="16"/>
      <c r="D97" s="16"/>
      <c r="E97" s="17"/>
    </row>
    <row r="98" spans="1:5" x14ac:dyDescent="0.2">
      <c r="B98" s="14" t="s">
        <v>1139</v>
      </c>
      <c r="C98" s="15">
        <f xml:space="preserve"> SUM( Data_Consolidated[Income &amp; expenditure reserve] ) * 0.000001</f>
        <v>33.740657999999996</v>
      </c>
      <c r="D98" s="16"/>
      <c r="E98" s="49">
        <f xml:space="preserve"> SUM( Data_Entity[Income &amp; expenditure reserve] ) * 0.000001</f>
        <v>31.735451999999999</v>
      </c>
    </row>
    <row r="99" spans="1:5" x14ac:dyDescent="0.2">
      <c r="B99" s="14" t="s">
        <v>1140</v>
      </c>
      <c r="C99" s="15">
        <f xml:space="preserve"> SUM( Data_Consolidated[Revaluation reserve] ) * 0.000001</f>
        <v>12.312593</v>
      </c>
      <c r="D99" s="16"/>
      <c r="E99" s="49">
        <f xml:space="preserve"> SUM( Data_Entity[Revaluation reserve] ) * 0.000001</f>
        <v>12.684557</v>
      </c>
    </row>
    <row r="100" spans="1:5" x14ac:dyDescent="0.2">
      <c r="B100" s="84" t="s">
        <v>944</v>
      </c>
      <c r="C100" s="24">
        <f xml:space="preserve"> SUM( Data_Consolidated[Restricted reserve], Data_Consolidated[Cashflow Hedge Reserve], Data_Consolidated[Other reserves] ) * 0.000001</f>
        <v>-0.82123099999999993</v>
      </c>
      <c r="D100" s="25"/>
      <c r="E100" s="51">
        <f xml:space="preserve"> SUM( Data_Entity[Restricted reserve], Data_Entity[Cashflow Hedge Reserve], Data_Entity[Other reserves] ) * 0.000001</f>
        <v>-0.50995099999999993</v>
      </c>
    </row>
    <row r="101" spans="1:5" x14ac:dyDescent="0.2">
      <c r="B101" s="18" t="s">
        <v>945</v>
      </c>
      <c r="C101" s="19">
        <f xml:space="preserve"> SUM( Data_Consolidated[Total reserves] ) * 0.000001</f>
        <v>45.232019999999999</v>
      </c>
      <c r="D101" s="27"/>
      <c r="E101" s="50">
        <f xml:space="preserve"> SUM( Data_Entity[Total reserves] ) * 0.000001</f>
        <v>43.910057999999999</v>
      </c>
    </row>
    <row r="102" spans="1:5" x14ac:dyDescent="0.2">
      <c r="B102" s="22"/>
      <c r="C102" s="20"/>
      <c r="D102" s="20"/>
      <c r="E102" s="21"/>
    </row>
    <row r="103" spans="1:5" x14ac:dyDescent="0.2"/>
    <row r="104" spans="1:5" ht="18" x14ac:dyDescent="0.25">
      <c r="A104" s="11" t="s">
        <v>1141</v>
      </c>
    </row>
    <row r="105" spans="1:5" ht="18" x14ac:dyDescent="0.25">
      <c r="A105" s="11"/>
    </row>
    <row r="106" spans="1:5" s="45" customFormat="1" ht="15" x14ac:dyDescent="0.25">
      <c r="B106" s="13" t="s">
        <v>1104</v>
      </c>
      <c r="C106" s="37" t="s">
        <v>1115</v>
      </c>
      <c r="D106" s="37"/>
      <c r="E106" s="38" t="s">
        <v>204</v>
      </c>
    </row>
    <row r="107" spans="1:5" x14ac:dyDescent="0.2">
      <c r="B107" s="28"/>
      <c r="C107" s="29"/>
      <c r="D107" s="29"/>
      <c r="E107" s="30"/>
    </row>
    <row r="108" spans="1:5" x14ac:dyDescent="0.2">
      <c r="B108" s="31" t="s">
        <v>2</v>
      </c>
      <c r="C108" s="32"/>
      <c r="D108" s="32"/>
      <c r="E108" s="33"/>
    </row>
    <row r="109" spans="1:5" x14ac:dyDescent="0.2">
      <c r="B109" s="14" t="s">
        <v>871</v>
      </c>
      <c r="C109" s="15">
        <f xml:space="preserve"> SUM( Data_Consolidated[Total other social housing activities - Turnover] ) * 0.000001</f>
        <v>2.0023339999999998</v>
      </c>
      <c r="D109" s="16"/>
      <c r="E109" s="49">
        <f xml:space="preserve"> SUM( Data_Entity[Total other social housing activities - Turnover] ) * 0.000001</f>
        <v>1.9338909999999998</v>
      </c>
    </row>
    <row r="110" spans="1:5" x14ac:dyDescent="0.2">
      <c r="B110" s="14" t="s">
        <v>1142</v>
      </c>
      <c r="C110" s="15">
        <f xml:space="preserve"> SUM( Data_Consolidated[Total other social housing activities - Cost of sales], Data_Consolidated[Total other social housing activities - Operating expenditure] ) * 0.000001</f>
        <v>1.743269</v>
      </c>
      <c r="D110" s="16"/>
      <c r="E110" s="49">
        <f xml:space="preserve"> SUM( Data_Entity[Total other social housing activities - Cost of sales], Data_Entity[Total other social housing activities - Operating expenditure] ) * 0.000001</f>
        <v>1.6802489999999999</v>
      </c>
    </row>
    <row r="111" spans="1:5" x14ac:dyDescent="0.2">
      <c r="B111" s="18" t="s">
        <v>1143</v>
      </c>
      <c r="C111" s="19">
        <f xml:space="preserve"> SUM( Data_Consolidated[Total other social housing activities - Op. Surplus/{Def.)] ) * 0.000001</f>
        <v>0.25906499999999999</v>
      </c>
      <c r="D111" s="27"/>
      <c r="E111" s="50">
        <f xml:space="preserve"> SUM( Data_Entity[Total other social housing activities - Op. Surplus/{Def.)] ) * 0.000001</f>
        <v>0.25364199999999998</v>
      </c>
    </row>
    <row r="112" spans="1:5" x14ac:dyDescent="0.2">
      <c r="B112" s="28"/>
      <c r="C112" s="29"/>
      <c r="D112" s="29"/>
      <c r="E112" s="30"/>
    </row>
    <row r="113" spans="1:5" x14ac:dyDescent="0.2">
      <c r="B113" s="41" t="s">
        <v>1144</v>
      </c>
      <c r="C113" s="16"/>
      <c r="D113" s="16"/>
      <c r="E113" s="17"/>
    </row>
    <row r="114" spans="1:5" x14ac:dyDescent="0.2">
      <c r="B114" s="42" t="s">
        <v>871</v>
      </c>
      <c r="C114" s="15">
        <f xml:space="preserve"> SUM( Data_Consolidated[Other social housing activities - 1st Tranche LCHO Sales - Turnover] ) * 0.000001</f>
        <v>1.1712819999999999</v>
      </c>
      <c r="D114" s="16"/>
      <c r="E114" s="49">
        <f xml:space="preserve"> SUM( Data_Entity[Other social housing activities - 1st Tranche LCHO Sales - Turnover] ) * 0.000001</f>
        <v>1.164447</v>
      </c>
    </row>
    <row r="115" spans="1:5" x14ac:dyDescent="0.2">
      <c r="B115" s="43" t="s">
        <v>1142</v>
      </c>
      <c r="C115" s="24">
        <f xml:space="preserve"> SUM( Data_Consolidated[Other social housing activities - 1st Tranche LCHO Sales - Cost of Sales], Data_Consolidated[Other social housing activities - 1st Tranche LCHO Sales - Operating Expenditure] ) * 0.000001</f>
        <v>0.79755900000000002</v>
      </c>
      <c r="D115" s="25"/>
      <c r="E115" s="51">
        <f xml:space="preserve"> SUM( Data_Entity[Other social housing activities - 1st Tranche LCHO Sales - Cost of Sales], Data_Entity[Other social housing activities - 1st Tranche LCHO Sales - Operating Expenditure] ) * 0.000001</f>
        <v>0.79931399999999997</v>
      </c>
    </row>
    <row r="116" spans="1:5" x14ac:dyDescent="0.2">
      <c r="B116" s="44" t="s">
        <v>1143</v>
      </c>
      <c r="C116" s="19">
        <f xml:space="preserve"> SUM( Data_Consolidated[Other social housing activities - 1st Tranche LCHO Sales - Op. Surplus/(Def.)] ) * 0.000001</f>
        <v>0.37372299999999997</v>
      </c>
      <c r="D116" s="27"/>
      <c r="E116" s="50">
        <f xml:space="preserve"> SUM( Data_Entity[Other social housing activities - 1st Tranche LCHO Sales - Op. Surplus/(Def.)] ) * 0.000001</f>
        <v>0.36513299999999999</v>
      </c>
    </row>
    <row r="117" spans="1:5" x14ac:dyDescent="0.2">
      <c r="B117" s="22"/>
      <c r="C117" s="20"/>
      <c r="D117" s="20"/>
      <c r="E117" s="21"/>
    </row>
    <row r="118" spans="1:5" x14ac:dyDescent="0.2"/>
    <row r="119" spans="1:5" ht="18" x14ac:dyDescent="0.25">
      <c r="A119" s="11" t="s">
        <v>1145</v>
      </c>
    </row>
    <row r="120" spans="1:5" ht="18" x14ac:dyDescent="0.25">
      <c r="A120" s="11"/>
    </row>
    <row r="121" spans="1:5" s="45" customFormat="1" ht="15" x14ac:dyDescent="0.25">
      <c r="B121" s="13" t="s">
        <v>1104</v>
      </c>
      <c r="C121" s="37" t="s">
        <v>1115</v>
      </c>
      <c r="D121" s="37"/>
      <c r="E121" s="38" t="s">
        <v>204</v>
      </c>
    </row>
    <row r="122" spans="1:5" x14ac:dyDescent="0.2">
      <c r="B122" s="28"/>
      <c r="C122" s="29"/>
      <c r="D122" s="29"/>
      <c r="E122" s="30"/>
    </row>
    <row r="123" spans="1:5" x14ac:dyDescent="0.2">
      <c r="B123" s="31" t="s">
        <v>2</v>
      </c>
      <c r="C123" s="32"/>
      <c r="D123" s="32"/>
      <c r="E123" s="33"/>
    </row>
    <row r="124" spans="1:5" x14ac:dyDescent="0.2">
      <c r="B124" s="14" t="s">
        <v>871</v>
      </c>
      <c r="C124" s="15">
        <f xml:space="preserve"> SUM( Data_Consolidated[Total non-social housing activity - Turnover] ) * 0.000001</f>
        <v>2.873799</v>
      </c>
      <c r="D124" s="16"/>
      <c r="E124" s="49">
        <f xml:space="preserve"> SUM( Data_Entity[Total non-social housing activity - Turnover] ) * 0.000001</f>
        <v>1.1710399999999999</v>
      </c>
    </row>
    <row r="125" spans="1:5" x14ac:dyDescent="0.2">
      <c r="B125" s="14" t="s">
        <v>1142</v>
      </c>
      <c r="C125" s="15">
        <f xml:space="preserve"> SUM( Data_Consolidated[Total non-social housing activity - Cost of sales], Data_Consolidated[Total non-social housing activity - Operating expenditure] ) * 0.000001</f>
        <v>2.377745</v>
      </c>
      <c r="D125" s="16"/>
      <c r="E125" s="49">
        <f xml:space="preserve"> SUM( Data_Entity[Total non-social housing activity - Cost of sales], Data_Entity[Total non-social housing activity - Operating expenditure] ) * 0.000001</f>
        <v>0.95269899999999996</v>
      </c>
    </row>
    <row r="126" spans="1:5" x14ac:dyDescent="0.2">
      <c r="B126" s="18" t="s">
        <v>1143</v>
      </c>
      <c r="C126" s="19">
        <f xml:space="preserve"> SUM( Data_Consolidated[Total non-social housing activity - Op. Surplus/(Def.)] ) * 0.000001</f>
        <v>0.49605399999999999</v>
      </c>
      <c r="D126" s="27"/>
      <c r="E126" s="50">
        <f xml:space="preserve"> SUM( Data_Entity[Total non-social housing activity - Op. Surplus/(Def.)] ) * 0.000001</f>
        <v>0.21834099999999998</v>
      </c>
    </row>
    <row r="127" spans="1:5" x14ac:dyDescent="0.2">
      <c r="B127" s="28"/>
      <c r="C127" s="29"/>
      <c r="D127" s="29"/>
      <c r="E127" s="30"/>
    </row>
    <row r="128" spans="1:5" x14ac:dyDescent="0.2">
      <c r="B128" s="41" t="s">
        <v>1146</v>
      </c>
      <c r="C128" s="16"/>
      <c r="D128" s="16"/>
      <c r="E128" s="17"/>
    </row>
    <row r="129" spans="1:5" x14ac:dyDescent="0.2">
      <c r="B129" s="42" t="s">
        <v>871</v>
      </c>
      <c r="C129" s="15">
        <f xml:space="preserve"> SUM( Data_Consolidated[Non-social housing - Prop. built for sale - Turnover] ) * 0.000001</f>
        <v>1.431459</v>
      </c>
      <c r="D129" s="16"/>
      <c r="E129" s="49">
        <f xml:space="preserve"> SUM( Data_Entity[Non-social housing - Prop. built for sale - Turnover] ) * 0.000001</f>
        <v>0.22750999999999999</v>
      </c>
    </row>
    <row r="130" spans="1:5" x14ac:dyDescent="0.2">
      <c r="B130" s="43" t="s">
        <v>1142</v>
      </c>
      <c r="C130" s="24">
        <f xml:space="preserve"> SUM( Data_Consolidated[Non-social housing - Prop. built for sale - Cost of sales], Data_Consolidated[Non-social housing - Prop. built for sale - Operating expenditure] ) * 0.000001</f>
        <v>1.1460759999999999</v>
      </c>
      <c r="D130" s="25"/>
      <c r="E130" s="51">
        <f xml:space="preserve"> SUM( Data_Entity[Non-social housing - Prop. built for sale - Cost of sales], Data_Entity[Non-social housing - Prop. built for sale - Operating expenditure] ) * 0.000001</f>
        <v>0.20885599999999999</v>
      </c>
    </row>
    <row r="131" spans="1:5" x14ac:dyDescent="0.2">
      <c r="B131" s="44" t="s">
        <v>1143</v>
      </c>
      <c r="C131" s="19">
        <f xml:space="preserve"> SUM( Data_Consolidated[Non-social housing - Prop. built for sale - Op. Surplus/(Def.)] ) * 0.000001</f>
        <v>0.285383</v>
      </c>
      <c r="D131" s="27"/>
      <c r="E131" s="50">
        <f xml:space="preserve"> SUM( Data_Entity[Non-social housing - Prop. built for sale - Op. Surplus/(Def.)] ) * 0.000001</f>
        <v>1.8654E-2</v>
      </c>
    </row>
    <row r="132" spans="1:5" x14ac:dyDescent="0.2">
      <c r="B132" s="22"/>
      <c r="C132" s="20"/>
      <c r="D132" s="20"/>
      <c r="E132" s="21"/>
    </row>
    <row r="133" spans="1:5" x14ac:dyDescent="0.2"/>
    <row r="134" spans="1:5" ht="18" x14ac:dyDescent="0.25">
      <c r="A134" s="11" t="s">
        <v>1056</v>
      </c>
    </row>
    <row r="135" spans="1:5" ht="18" x14ac:dyDescent="0.25">
      <c r="A135" s="11"/>
    </row>
    <row r="136" spans="1:5" s="45" customFormat="1" ht="15" x14ac:dyDescent="0.25">
      <c r="B136" s="18" t="s">
        <v>1147</v>
      </c>
      <c r="C136" s="37" t="s">
        <v>1115</v>
      </c>
      <c r="D136" s="37"/>
      <c r="E136" s="38" t="s">
        <v>204</v>
      </c>
    </row>
    <row r="137" spans="1:5" x14ac:dyDescent="0.2">
      <c r="B137" s="14"/>
      <c r="C137" s="16"/>
      <c r="D137" s="16"/>
      <c r="E137" s="17"/>
    </row>
    <row r="138" spans="1:5" ht="15" x14ac:dyDescent="0.25">
      <c r="B138" s="31" t="s">
        <v>1152</v>
      </c>
      <c r="C138" s="47"/>
      <c r="D138" s="32"/>
      <c r="E138" s="52"/>
    </row>
    <row r="139" spans="1:5" x14ac:dyDescent="0.2">
      <c r="B139" s="14" t="s">
        <v>1148</v>
      </c>
      <c r="C139" s="46">
        <f xml:space="preserve"> SUM( Data_Consolidated[Social housing units acquired or developed] ) * 0.001</f>
        <v>40.788000000000004</v>
      </c>
      <c r="D139" s="16"/>
      <c r="E139" s="53">
        <f xml:space="preserve"> SUM( Data_Entity[Social housing units acquired or developed] ) * 0.001</f>
        <v>40.747</v>
      </c>
    </row>
    <row r="140" spans="1:5" x14ac:dyDescent="0.2">
      <c r="B140" s="14" t="s">
        <v>1149</v>
      </c>
      <c r="C140" s="46">
        <f xml:space="preserve"> SUM( Data_Consolidated[Social housing units sold / demolished] ) * 0.001</f>
        <v>-17.696999999999999</v>
      </c>
      <c r="D140" s="16"/>
      <c r="E140" s="53">
        <f xml:space="preserve"> SUM( Data_Entity[Social housing units sold / demolished] ) * 0.001</f>
        <v>-18.361000000000001</v>
      </c>
    </row>
    <row r="141" spans="1:5" x14ac:dyDescent="0.2">
      <c r="B141" s="81" t="s">
        <v>1194</v>
      </c>
      <c r="C141" s="46">
        <f xml:space="preserve"> SUM( Data_Consolidated[Social housing units transferred and other movements (~)] ) * 0.001</f>
        <v>30.626999999999999</v>
      </c>
      <c r="D141" s="16"/>
      <c r="E141" s="53">
        <f xml:space="preserve"> SUM( Data_Entity[Social housing units transferred and other movements (~)] ) * 0.001</f>
        <v>39.426000000000002</v>
      </c>
    </row>
    <row r="142" spans="1:5" x14ac:dyDescent="0.2">
      <c r="B142" s="39" t="s">
        <v>1151</v>
      </c>
      <c r="C142" s="48">
        <f xml:space="preserve"> SUM( Data_Consolidated[Closing social housing units managed] ) * 0.001</f>
        <v>2761.3870000000002</v>
      </c>
      <c r="D142" s="40"/>
      <c r="E142" s="54">
        <f xml:space="preserve"> SUM( Data_Entity[Closing social housing units managed] ) * 0.001</f>
        <v>2717.2000000000003</v>
      </c>
    </row>
    <row r="143" spans="1:5" x14ac:dyDescent="0.2">
      <c r="B143" s="28"/>
      <c r="C143" s="29"/>
      <c r="D143" s="29"/>
      <c r="E143" s="30"/>
    </row>
    <row r="144" spans="1:5" x14ac:dyDescent="0.2">
      <c r="B144" s="31" t="s">
        <v>1153</v>
      </c>
      <c r="C144" s="32"/>
      <c r="D144" s="32"/>
      <c r="E144" s="33"/>
    </row>
    <row r="145" spans="2:5" x14ac:dyDescent="0.2">
      <c r="B145" s="14" t="s">
        <v>1148</v>
      </c>
      <c r="C145" s="46">
        <f xml:space="preserve"> SUM( Data_Consolidated[Non-social housing units acquired or developed] ) * 0.001</f>
        <v>4.0780000000000003</v>
      </c>
      <c r="D145" s="16"/>
      <c r="E145" s="53">
        <f xml:space="preserve"> SUM( Data_Entity[Non-social housing units acquired or developed] ) * 0.001</f>
        <v>2.7650000000000001</v>
      </c>
    </row>
    <row r="146" spans="2:5" x14ac:dyDescent="0.2">
      <c r="B146" s="14" t="s">
        <v>1149</v>
      </c>
      <c r="C146" s="46">
        <f xml:space="preserve"> SUM( Data_Consolidated[Non-social housing units sold / demolished] ) * 0.001</f>
        <v>-1.109</v>
      </c>
      <c r="D146" s="16"/>
      <c r="E146" s="53">
        <f xml:space="preserve"> SUM( Data_Entity[Non-social housing units sold / demolished] ) * 0.001</f>
        <v>-1.762</v>
      </c>
    </row>
    <row r="147" spans="2:5" x14ac:dyDescent="0.2">
      <c r="B147" s="80" t="s">
        <v>1150</v>
      </c>
      <c r="C147" s="46">
        <f xml:space="preserve"> SUM( Data_Consolidated[Non-social housing units transferred and other movements] ) * 0.001</f>
        <v>16.623000000000001</v>
      </c>
      <c r="D147" s="16"/>
      <c r="E147" s="53">
        <f xml:space="preserve"> SUM( Data_Entity[Non-social housing units transferred and other movements] ) * 0.001</f>
        <v>-7.742</v>
      </c>
    </row>
    <row r="148" spans="2:5" x14ac:dyDescent="0.2">
      <c r="B148" s="39" t="s">
        <v>1151</v>
      </c>
      <c r="C148" s="48">
        <f xml:space="preserve"> SUM( Data_Consolidated[Closing non-social housing units managed] ) * 0.001</f>
        <v>228.607</v>
      </c>
      <c r="D148" s="40"/>
      <c r="E148" s="54">
        <f xml:space="preserve"> SUM( Data_Entity[Closing non-social housing units managed] ) * 0.001</f>
        <v>96.036000000000001</v>
      </c>
    </row>
    <row r="149" spans="2:5" x14ac:dyDescent="0.2"/>
    <row r="150" spans="2:5" hidden="1" x14ac:dyDescent="0.2"/>
    <row r="151" spans="2:5" hidden="1" x14ac:dyDescent="0.2"/>
    <row r="152" spans="2:5" hidden="1" x14ac:dyDescent="0.2"/>
    <row r="153" spans="2:5" hidden="1" x14ac:dyDescent="0.2"/>
    <row r="154" spans="2:5" hidden="1" x14ac:dyDescent="0.2"/>
    <row r="155" spans="2:5" hidden="1" x14ac:dyDescent="0.2"/>
    <row r="156" spans="2:5" hidden="1" x14ac:dyDescent="0.2"/>
    <row r="157" spans="2:5" hidden="1" x14ac:dyDescent="0.2"/>
    <row r="158" spans="2:5" hidden="1" x14ac:dyDescent="0.2"/>
    <row r="159" spans="2:5" hidden="1" x14ac:dyDescent="0.2"/>
    <row r="160" spans="2:5" x14ac:dyDescent="0.2"/>
    <row r="161" x14ac:dyDescent="0.2"/>
  </sheetData>
  <hyperlinks>
    <hyperlink ref="B141" location="Introduction!C34" display="Transfers and other (~)"/>
  </hyperlinks>
  <printOptions horizontalCentered="1"/>
  <pageMargins left="0.70866141732283472" right="0.70866141732283472" top="0.74803149606299213" bottom="0.74803149606299213" header="0.31496062992125984" footer="0.31496062992125984"/>
  <pageSetup scale="85" fitToHeight="0" orientation="portrait" r:id="rId1"/>
  <headerFooter differentFirst="1">
    <oddFooter>&amp;R&amp;"Arial,Regular"&amp;P / &amp;N</oddFooter>
    <evenFooter>&amp;R&amp;"Arial,Regular"&amp;P / &amp;N</evenFooter>
    <firstFooter>&amp;R&amp;"Arial,Regular"&amp;P / &amp;N</firstFooter>
  </headerFooter>
  <rowBreaks count="3" manualBreakCount="3">
    <brk id="27" max="5" man="1"/>
    <brk id="54" max="5" man="1"/>
    <brk id="103"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59999389629810485"/>
  </sheetPr>
  <dimension ref="A1:IJ242"/>
  <sheetViews>
    <sheetView showGridLines="0" zoomScale="85" zoomScaleNormal="85" workbookViewId="0">
      <pane xSplit="2" ySplit="5" topLeftCell="EU6" activePane="bottomRight" state="frozen"/>
      <selection activeCell="C24" sqref="C24"/>
      <selection pane="topRight" activeCell="C24" sqref="C24"/>
      <selection pane="bottomLeft" activeCell="C24" sqref="C24"/>
      <selection pane="bottomRight" activeCell="EW5" sqref="EW5"/>
    </sheetView>
  </sheetViews>
  <sheetFormatPr defaultColWidth="0" defaultRowHeight="14.25" zeroHeight="1" x14ac:dyDescent="0.2"/>
  <cols>
    <col min="1" max="1" width="8.625" style="2" customWidth="1"/>
    <col min="2" max="2" width="31.375" style="2" customWidth="1"/>
    <col min="3" max="3" width="11.625" style="2" customWidth="1"/>
    <col min="4" max="4" width="9.5" style="2" customWidth="1"/>
    <col min="5" max="7" width="12.625" style="2" customWidth="1"/>
    <col min="9" max="144" width="12.625" style="2" customWidth="1"/>
    <col min="145" max="155" width="12.625" customWidth="1"/>
    <col min="156" max="233" width="12.625" style="2" customWidth="1"/>
    <col min="234" max="234" width="2.875" style="2" customWidth="1"/>
    <col min="235" max="244" width="11.625" style="2" hidden="1" customWidth="1"/>
    <col min="245" max="16384" width="9" style="2" hidden="1"/>
  </cols>
  <sheetData>
    <row r="1" spans="1:232" ht="27.75" x14ac:dyDescent="0.4">
      <c r="A1" s="209" t="s">
        <v>1100</v>
      </c>
      <c r="H1" s="2"/>
      <c r="N1" s="79" t="s">
        <v>1189</v>
      </c>
      <c r="BJ1" s="79" t="s">
        <v>1189</v>
      </c>
      <c r="BO1" s="79" t="s">
        <v>1189</v>
      </c>
      <c r="BY1" s="79" t="s">
        <v>1189</v>
      </c>
      <c r="CB1" s="79" t="s">
        <v>1189</v>
      </c>
      <c r="EO1" s="2"/>
      <c r="EP1" s="2"/>
      <c r="EQ1" s="2"/>
      <c r="ER1" s="2"/>
      <c r="ES1" s="2"/>
      <c r="ET1" s="2"/>
      <c r="EU1" s="2"/>
      <c r="EV1" s="2"/>
      <c r="EW1" s="2"/>
      <c r="EX1" s="2"/>
      <c r="EY1" s="2"/>
    </row>
    <row r="2" spans="1:232" ht="51" x14ac:dyDescent="0.2">
      <c r="A2" s="210" t="s">
        <v>1101</v>
      </c>
      <c r="E2" s="7" t="s">
        <v>869</v>
      </c>
      <c r="F2" s="7" t="s">
        <v>869</v>
      </c>
      <c r="G2" s="7" t="s">
        <v>869</v>
      </c>
      <c r="H2" s="7" t="s">
        <v>869</v>
      </c>
      <c r="I2" s="7" t="s">
        <v>869</v>
      </c>
      <c r="J2" s="7" t="s">
        <v>869</v>
      </c>
      <c r="K2" s="7" t="s">
        <v>869</v>
      </c>
      <c r="L2" s="7" t="s">
        <v>869</v>
      </c>
      <c r="M2" s="7" t="s">
        <v>869</v>
      </c>
      <c r="N2" s="7" t="s">
        <v>869</v>
      </c>
      <c r="O2" s="7" t="s">
        <v>869</v>
      </c>
      <c r="P2" s="7" t="s">
        <v>869</v>
      </c>
      <c r="Q2" s="7" t="s">
        <v>869</v>
      </c>
      <c r="R2" s="7" t="s">
        <v>869</v>
      </c>
      <c r="S2" s="7" t="s">
        <v>869</v>
      </c>
      <c r="T2" s="7" t="s">
        <v>869</v>
      </c>
      <c r="U2" s="7" t="s">
        <v>869</v>
      </c>
      <c r="V2" s="7" t="s">
        <v>869</v>
      </c>
      <c r="W2" s="7" t="s">
        <v>869</v>
      </c>
      <c r="X2" s="7" t="s">
        <v>869</v>
      </c>
      <c r="Y2" s="7" t="s">
        <v>869</v>
      </c>
      <c r="Z2" s="7" t="s">
        <v>869</v>
      </c>
      <c r="AA2" s="7" t="s">
        <v>1054</v>
      </c>
      <c r="AB2" s="7" t="s">
        <v>1054</v>
      </c>
      <c r="AC2" s="7" t="s">
        <v>1054</v>
      </c>
      <c r="AD2" s="7" t="s">
        <v>1054</v>
      </c>
      <c r="AE2" s="7" t="s">
        <v>1054</v>
      </c>
      <c r="AF2" s="7" t="s">
        <v>1054</v>
      </c>
      <c r="AG2" s="7" t="s">
        <v>1054</v>
      </c>
      <c r="AH2" s="7" t="s">
        <v>1054</v>
      </c>
      <c r="AI2" s="7" t="s">
        <v>1054</v>
      </c>
      <c r="AJ2" s="7" t="s">
        <v>1054</v>
      </c>
      <c r="AK2" s="7" t="s">
        <v>1054</v>
      </c>
      <c r="AL2" s="7" t="s">
        <v>1054</v>
      </c>
      <c r="AM2" s="7" t="s">
        <v>1054</v>
      </c>
      <c r="AN2" s="7" t="s">
        <v>1054</v>
      </c>
      <c r="AO2" s="7" t="s">
        <v>1054</v>
      </c>
      <c r="AP2" s="7" t="s">
        <v>1054</v>
      </c>
      <c r="AQ2" s="7" t="s">
        <v>1054</v>
      </c>
      <c r="AR2" s="7" t="s">
        <v>1054</v>
      </c>
      <c r="AS2" s="7" t="s">
        <v>1054</v>
      </c>
      <c r="AT2" s="7" t="s">
        <v>1054</v>
      </c>
      <c r="AU2" s="7" t="s">
        <v>870</v>
      </c>
      <c r="AV2" s="7" t="s">
        <v>870</v>
      </c>
      <c r="AW2" s="7" t="s">
        <v>870</v>
      </c>
      <c r="AX2" s="7" t="s">
        <v>870</v>
      </c>
      <c r="AY2" s="7" t="s">
        <v>870</v>
      </c>
      <c r="AZ2" s="7" t="s">
        <v>870</v>
      </c>
      <c r="BA2" s="7" t="s">
        <v>870</v>
      </c>
      <c r="BB2" s="7" t="s">
        <v>870</v>
      </c>
      <c r="BC2" s="7" t="s">
        <v>870</v>
      </c>
      <c r="BD2" s="7" t="s">
        <v>870</v>
      </c>
      <c r="BE2" s="7" t="s">
        <v>870</v>
      </c>
      <c r="BF2" s="7" t="s">
        <v>870</v>
      </c>
      <c r="BG2" s="7" t="s">
        <v>870</v>
      </c>
      <c r="BH2" s="7" t="s">
        <v>870</v>
      </c>
      <c r="BI2" s="7" t="s">
        <v>870</v>
      </c>
      <c r="BJ2" s="7" t="s">
        <v>870</v>
      </c>
      <c r="BK2" s="7" t="s">
        <v>870</v>
      </c>
      <c r="BL2" s="7" t="s">
        <v>870</v>
      </c>
      <c r="BM2" s="7" t="s">
        <v>870</v>
      </c>
      <c r="BN2" s="7" t="s">
        <v>870</v>
      </c>
      <c r="BO2" s="7" t="s">
        <v>870</v>
      </c>
      <c r="BP2" s="7" t="s">
        <v>870</v>
      </c>
      <c r="BQ2" s="7" t="s">
        <v>870</v>
      </c>
      <c r="BR2" s="7" t="s">
        <v>870</v>
      </c>
      <c r="BS2" s="7" t="s">
        <v>870</v>
      </c>
      <c r="BT2" s="7" t="s">
        <v>870</v>
      </c>
      <c r="BU2" s="7" t="s">
        <v>870</v>
      </c>
      <c r="BV2" s="7" t="s">
        <v>870</v>
      </c>
      <c r="BW2" s="7" t="s">
        <v>870</v>
      </c>
      <c r="BX2" s="7" t="s">
        <v>870</v>
      </c>
      <c r="BY2" s="7" t="s">
        <v>870</v>
      </c>
      <c r="BZ2" s="7" t="s">
        <v>870</v>
      </c>
      <c r="CA2" s="7" t="s">
        <v>870</v>
      </c>
      <c r="CB2" s="7" t="s">
        <v>870</v>
      </c>
      <c r="CC2" s="7" t="s">
        <v>870</v>
      </c>
      <c r="CD2" s="7" t="s">
        <v>870</v>
      </c>
      <c r="CE2" s="7" t="s">
        <v>870</v>
      </c>
      <c r="CF2" s="7" t="s">
        <v>870</v>
      </c>
      <c r="CG2" s="7" t="s">
        <v>870</v>
      </c>
      <c r="CH2" s="7" t="s">
        <v>870</v>
      </c>
      <c r="CI2" s="7" t="s">
        <v>870</v>
      </c>
      <c r="CJ2" s="7" t="s">
        <v>1055</v>
      </c>
      <c r="CK2" s="7" t="s">
        <v>1055</v>
      </c>
      <c r="CL2" s="7" t="s">
        <v>1055</v>
      </c>
      <c r="CM2" s="7" t="s">
        <v>1055</v>
      </c>
      <c r="CN2" s="7" t="s">
        <v>1055</v>
      </c>
      <c r="CO2" s="7" t="s">
        <v>1055</v>
      </c>
      <c r="CP2" s="7" t="s">
        <v>1055</v>
      </c>
      <c r="CQ2" s="7" t="s">
        <v>1055</v>
      </c>
      <c r="CR2" s="7" t="s">
        <v>1055</v>
      </c>
      <c r="CS2" s="7" t="s">
        <v>1055</v>
      </c>
      <c r="CT2" s="7" t="s">
        <v>1055</v>
      </c>
      <c r="CU2" s="7" t="s">
        <v>1055</v>
      </c>
      <c r="CV2" s="7" t="s">
        <v>1055</v>
      </c>
      <c r="CW2" s="7" t="s">
        <v>1055</v>
      </c>
      <c r="CX2" s="7" t="s">
        <v>1055</v>
      </c>
      <c r="CY2" s="7" t="s">
        <v>1055</v>
      </c>
      <c r="CZ2" s="7" t="s">
        <v>1055</v>
      </c>
      <c r="DA2" s="7" t="s">
        <v>1055</v>
      </c>
      <c r="DB2" s="7" t="s">
        <v>1055</v>
      </c>
      <c r="DC2" s="7" t="s">
        <v>1055</v>
      </c>
      <c r="DD2" s="7" t="s">
        <v>1055</v>
      </c>
      <c r="DE2" s="7" t="s">
        <v>1055</v>
      </c>
      <c r="DF2" s="7" t="s">
        <v>1055</v>
      </c>
      <c r="DG2" s="7" t="s">
        <v>1055</v>
      </c>
      <c r="DH2" s="7" t="s">
        <v>1055</v>
      </c>
      <c r="DI2" s="7" t="s">
        <v>1055</v>
      </c>
      <c r="DJ2" s="7" t="s">
        <v>1055</v>
      </c>
      <c r="DK2" s="7" t="s">
        <v>1055</v>
      </c>
      <c r="DL2" s="7" t="s">
        <v>1055</v>
      </c>
      <c r="DM2" s="7" t="s">
        <v>1055</v>
      </c>
      <c r="DN2" s="7" t="s">
        <v>1055</v>
      </c>
      <c r="DO2" s="7" t="s">
        <v>1055</v>
      </c>
      <c r="DP2" s="7" t="s">
        <v>1055</v>
      </c>
      <c r="DQ2" s="7" t="s">
        <v>1055</v>
      </c>
      <c r="DR2" s="7" t="s">
        <v>1055</v>
      </c>
      <c r="DS2" s="7" t="s">
        <v>1055</v>
      </c>
      <c r="DT2" s="7" t="s">
        <v>1055</v>
      </c>
      <c r="DU2" s="7" t="s">
        <v>1055</v>
      </c>
      <c r="DV2" s="7" t="s">
        <v>1055</v>
      </c>
      <c r="DW2" s="7" t="s">
        <v>1055</v>
      </c>
      <c r="DX2" s="7" t="s">
        <v>1055</v>
      </c>
      <c r="DY2" s="7" t="s">
        <v>1055</v>
      </c>
      <c r="DZ2" s="7" t="s">
        <v>1055</v>
      </c>
      <c r="EA2" s="7" t="s">
        <v>1055</v>
      </c>
      <c r="EB2" s="7" t="s">
        <v>1055</v>
      </c>
      <c r="EC2" s="7" t="s">
        <v>1055</v>
      </c>
      <c r="ED2" s="7" t="s">
        <v>1055</v>
      </c>
      <c r="EE2" s="7" t="s">
        <v>1055</v>
      </c>
      <c r="EF2" s="7" t="s">
        <v>1055</v>
      </c>
      <c r="EG2" s="7" t="s">
        <v>1055</v>
      </c>
      <c r="EH2" s="7" t="s">
        <v>1055</v>
      </c>
      <c r="EI2" s="7" t="s">
        <v>1055</v>
      </c>
      <c r="EJ2" s="7" t="s">
        <v>1055</v>
      </c>
      <c r="EK2" s="7" t="s">
        <v>1055</v>
      </c>
      <c r="EL2" s="7" t="s">
        <v>1055</v>
      </c>
      <c r="EM2" s="7" t="s">
        <v>1055</v>
      </c>
      <c r="EN2" s="7" t="s">
        <v>1057</v>
      </c>
      <c r="EO2" s="7" t="s">
        <v>1057</v>
      </c>
      <c r="EP2" s="7" t="s">
        <v>1057</v>
      </c>
      <c r="EQ2" s="7" t="s">
        <v>1057</v>
      </c>
      <c r="ER2" s="7" t="s">
        <v>1058</v>
      </c>
      <c r="ES2" s="7" t="s">
        <v>1058</v>
      </c>
      <c r="ET2" s="7" t="s">
        <v>1058</v>
      </c>
      <c r="EU2" s="7" t="s">
        <v>1058</v>
      </c>
      <c r="EV2" s="7" t="s">
        <v>1058</v>
      </c>
      <c r="EW2" s="7" t="s">
        <v>1058</v>
      </c>
      <c r="EX2" s="7" t="s">
        <v>1058</v>
      </c>
      <c r="EY2" s="7" t="s">
        <v>1058</v>
      </c>
      <c r="EZ2" s="7" t="s">
        <v>1058</v>
      </c>
      <c r="FA2" s="7" t="s">
        <v>1058</v>
      </c>
      <c r="FB2" s="7" t="s">
        <v>1058</v>
      </c>
      <c r="FC2" s="7" t="s">
        <v>1058</v>
      </c>
      <c r="FD2" s="7" t="s">
        <v>1058</v>
      </c>
      <c r="FE2" s="7" t="s">
        <v>1058</v>
      </c>
      <c r="FF2" s="7" t="s">
        <v>1058</v>
      </c>
      <c r="FG2" s="7" t="s">
        <v>1058</v>
      </c>
      <c r="FH2" s="7" t="s">
        <v>1058</v>
      </c>
      <c r="FI2" s="7" t="s">
        <v>1058</v>
      </c>
      <c r="FJ2" s="7" t="s">
        <v>1058</v>
      </c>
      <c r="FK2" s="7" t="s">
        <v>1059</v>
      </c>
      <c r="FL2" s="7" t="s">
        <v>1059</v>
      </c>
      <c r="FM2" s="7" t="s">
        <v>1059</v>
      </c>
      <c r="FN2" s="7" t="s">
        <v>1059</v>
      </c>
      <c r="FO2" s="7" t="s">
        <v>1059</v>
      </c>
      <c r="FP2" s="7" t="s">
        <v>1059</v>
      </c>
      <c r="FQ2" s="7" t="s">
        <v>1059</v>
      </c>
      <c r="FR2" s="7" t="s">
        <v>1059</v>
      </c>
      <c r="FS2" s="7" t="s">
        <v>1059</v>
      </c>
      <c r="FT2" s="7" t="s">
        <v>1059</v>
      </c>
      <c r="FU2" s="7" t="s">
        <v>1059</v>
      </c>
      <c r="FV2" s="7" t="s">
        <v>1059</v>
      </c>
      <c r="FW2" s="7" t="s">
        <v>1059</v>
      </c>
      <c r="FX2" s="7" t="s">
        <v>1059</v>
      </c>
      <c r="FY2" s="7" t="s">
        <v>1059</v>
      </c>
      <c r="FZ2" s="7" t="s">
        <v>1059</v>
      </c>
      <c r="GA2" s="7" t="s">
        <v>1059</v>
      </c>
      <c r="GB2" s="7" t="s">
        <v>1059</v>
      </c>
      <c r="GC2" s="7" t="s">
        <v>1059</v>
      </c>
      <c r="GD2" s="7" t="s">
        <v>1059</v>
      </c>
      <c r="GE2" s="7" t="s">
        <v>1059</v>
      </c>
      <c r="GF2" s="7" t="s">
        <v>1060</v>
      </c>
      <c r="GG2" s="7" t="s">
        <v>1060</v>
      </c>
      <c r="GH2" s="7" t="s">
        <v>1060</v>
      </c>
      <c r="GI2" s="7" t="s">
        <v>1060</v>
      </c>
      <c r="GJ2" s="7" t="s">
        <v>1060</v>
      </c>
      <c r="GK2" s="7" t="s">
        <v>1060</v>
      </c>
      <c r="GL2" s="7" t="s">
        <v>1060</v>
      </c>
      <c r="GM2" s="7" t="s">
        <v>927</v>
      </c>
      <c r="GN2" s="7" t="s">
        <v>927</v>
      </c>
      <c r="GO2" s="7" t="s">
        <v>927</v>
      </c>
      <c r="GP2" s="7" t="s">
        <v>927</v>
      </c>
      <c r="GQ2" s="7" t="s">
        <v>927</v>
      </c>
      <c r="GR2" s="7" t="s">
        <v>927</v>
      </c>
      <c r="GS2" s="7" t="s">
        <v>927</v>
      </c>
      <c r="GT2" s="7" t="s">
        <v>927</v>
      </c>
      <c r="GU2" s="7" t="s">
        <v>927</v>
      </c>
      <c r="GV2" s="7" t="s">
        <v>927</v>
      </c>
      <c r="GW2" s="7" t="s">
        <v>927</v>
      </c>
      <c r="GX2" s="7" t="s">
        <v>927</v>
      </c>
      <c r="GY2" s="7" t="s">
        <v>936</v>
      </c>
      <c r="GZ2" s="7" t="s">
        <v>936</v>
      </c>
      <c r="HA2" s="7" t="s">
        <v>936</v>
      </c>
      <c r="HB2" s="7" t="s">
        <v>936</v>
      </c>
      <c r="HC2" s="7" t="s">
        <v>936</v>
      </c>
      <c r="HD2" s="7" t="s">
        <v>1061</v>
      </c>
      <c r="HE2" s="7" t="s">
        <v>1061</v>
      </c>
      <c r="HF2" s="7" t="s">
        <v>1061</v>
      </c>
      <c r="HG2" s="7" t="s">
        <v>1087</v>
      </c>
      <c r="HH2" s="7" t="s">
        <v>1087</v>
      </c>
      <c r="HI2" s="7" t="s">
        <v>1087</v>
      </c>
      <c r="HJ2" s="7" t="s">
        <v>1087</v>
      </c>
      <c r="HK2" s="7" t="s">
        <v>1087</v>
      </c>
      <c r="HL2" s="7" t="s">
        <v>1087</v>
      </c>
      <c r="HM2" s="7" t="s">
        <v>1087</v>
      </c>
      <c r="HN2" s="7" t="s">
        <v>1062</v>
      </c>
      <c r="HO2" s="7" t="s">
        <v>1062</v>
      </c>
      <c r="HP2" s="7" t="s">
        <v>1062</v>
      </c>
      <c r="HQ2" s="7" t="s">
        <v>1184</v>
      </c>
      <c r="HR2" s="7" t="s">
        <v>1184</v>
      </c>
      <c r="HS2" s="7" t="s">
        <v>1184</v>
      </c>
      <c r="HT2" s="7" t="s">
        <v>1184</v>
      </c>
      <c r="HU2" s="7" t="s">
        <v>1185</v>
      </c>
      <c r="HV2" s="7" t="s">
        <v>1185</v>
      </c>
      <c r="HW2" s="7" t="s">
        <v>1185</v>
      </c>
      <c r="HX2" s="7" t="s">
        <v>1185</v>
      </c>
    </row>
    <row r="3" spans="1:232" x14ac:dyDescent="0.2">
      <c r="B3" s="1" t="s">
        <v>1102</v>
      </c>
      <c r="E3" s="5">
        <f xml:space="preserve"> E4 * 0.001</f>
        <v>19996.598000000002</v>
      </c>
      <c r="F3" s="5">
        <f xml:space="preserve"> F4 * 0.001</f>
        <v>-1937.373</v>
      </c>
      <c r="G3" s="5">
        <f t="shared" ref="G3:BP3" si="0" xml:space="preserve"> G4 * 0.001</f>
        <v>-12143.232</v>
      </c>
      <c r="H3" s="5">
        <f t="shared" si="0"/>
        <v>5915.9930000000004</v>
      </c>
      <c r="I3" s="5">
        <f t="shared" si="0"/>
        <v>782.96900000000005</v>
      </c>
      <c r="J3" s="5">
        <f t="shared" si="0"/>
        <v>-0.55900000000000005</v>
      </c>
      <c r="K3" s="5">
        <f t="shared" si="0"/>
        <v>487.76800000000003</v>
      </c>
      <c r="L3" s="5">
        <f t="shared" si="0"/>
        <v>54.704000000000001</v>
      </c>
      <c r="M3" s="5">
        <f t="shared" si="0"/>
        <v>100.94</v>
      </c>
      <c r="N3" s="5">
        <f t="shared" si="0"/>
        <v>-3464.703</v>
      </c>
      <c r="O3" s="5">
        <f t="shared" si="0"/>
        <v>241.00400000000002</v>
      </c>
      <c r="P3" s="5">
        <f t="shared" si="0"/>
        <v>27.111000000000001</v>
      </c>
      <c r="Q3" s="5">
        <f t="shared" si="0"/>
        <v>-7.71</v>
      </c>
      <c r="R3" s="5">
        <f t="shared" si="0"/>
        <v>1.9080000000000001</v>
      </c>
      <c r="S3" s="5">
        <f t="shared" si="0"/>
        <v>4139.4250000000002</v>
      </c>
      <c r="T3" s="5">
        <f t="shared" si="0"/>
        <v>-52.273000000000003</v>
      </c>
      <c r="U3" s="5">
        <f t="shared" si="0"/>
        <v>4087.152</v>
      </c>
      <c r="V3" s="5">
        <f t="shared" si="0"/>
        <v>25.917999999999999</v>
      </c>
      <c r="W3" s="5">
        <f t="shared" si="0"/>
        <v>-520.29700000000003</v>
      </c>
      <c r="X3" s="5">
        <f t="shared" si="0"/>
        <v>106.345</v>
      </c>
      <c r="Y3" s="5">
        <f t="shared" si="0"/>
        <v>1.3840000000000001</v>
      </c>
      <c r="Z3" s="5">
        <f t="shared" si="0"/>
        <v>3700.502</v>
      </c>
      <c r="AA3" s="5">
        <f t="shared" si="0"/>
        <v>13115.205</v>
      </c>
      <c r="AB3" s="5">
        <f t="shared" si="0"/>
        <v>1289.3320000000001</v>
      </c>
      <c r="AC3" s="5">
        <f t="shared" si="0"/>
        <v>14404.537</v>
      </c>
      <c r="AD3" s="5">
        <f t="shared" si="0"/>
        <v>437.84399999999999</v>
      </c>
      <c r="AE3" s="5">
        <f t="shared" si="0"/>
        <v>18.686</v>
      </c>
      <c r="AF3" s="5">
        <f t="shared" si="0"/>
        <v>100.027</v>
      </c>
      <c r="AG3" s="5">
        <f t="shared" si="0"/>
        <v>159.37100000000001</v>
      </c>
      <c r="AH3" s="5">
        <f t="shared" si="0"/>
        <v>15120.465</v>
      </c>
      <c r="AI3" s="5">
        <f t="shared" si="0"/>
        <v>2602.942</v>
      </c>
      <c r="AJ3" s="5">
        <f t="shared" si="0"/>
        <v>1521.89</v>
      </c>
      <c r="AK3" s="5">
        <f t="shared" si="0"/>
        <v>1904.79</v>
      </c>
      <c r="AL3" s="5">
        <f t="shared" si="0"/>
        <v>831.29899999999998</v>
      </c>
      <c r="AM3" s="5">
        <f t="shared" si="0"/>
        <v>465.55200000000002</v>
      </c>
      <c r="AN3" s="5">
        <f t="shared" si="0"/>
        <v>98.632999999999996</v>
      </c>
      <c r="AO3" s="5">
        <f t="shared" si="0"/>
        <v>2104.0839999999998</v>
      </c>
      <c r="AP3" s="5">
        <f t="shared" si="0"/>
        <v>35.386000000000003</v>
      </c>
      <c r="AQ3" s="5">
        <f t="shared" si="0"/>
        <v>395.01600000000002</v>
      </c>
      <c r="AR3" s="5">
        <f t="shared" si="0"/>
        <v>9959.5920000000006</v>
      </c>
      <c r="AS3" s="5">
        <f t="shared" si="0"/>
        <v>5160.8730000000005</v>
      </c>
      <c r="AT3" s="5">
        <f t="shared" si="0"/>
        <v>197.81100000000001</v>
      </c>
      <c r="AU3" s="5">
        <f t="shared" si="0"/>
        <v>137475.00700000001</v>
      </c>
      <c r="AV3" s="5">
        <f t="shared" si="0"/>
        <v>2047.097</v>
      </c>
      <c r="AW3" s="5">
        <f t="shared" si="0"/>
        <v>1844.3720000000001</v>
      </c>
      <c r="AX3" s="5">
        <f t="shared" si="0"/>
        <v>165.52199999999999</v>
      </c>
      <c r="AY3" s="5">
        <f t="shared" si="0"/>
        <v>867.89499999999998</v>
      </c>
      <c r="AZ3" s="5">
        <f t="shared" si="0"/>
        <v>4698.1620000000003</v>
      </c>
      <c r="BA3" s="5">
        <f t="shared" si="0"/>
        <v>689.43000000000006</v>
      </c>
      <c r="BB3" s="5">
        <f t="shared" si="0"/>
        <v>66.725999999999999</v>
      </c>
      <c r="BC3" s="5">
        <f t="shared" si="0"/>
        <v>4.9279999999999999</v>
      </c>
      <c r="BD3" s="5">
        <f t="shared" si="0"/>
        <v>950.47900000000004</v>
      </c>
      <c r="BE3" s="5">
        <f t="shared" si="0"/>
        <v>148809.61800000002</v>
      </c>
      <c r="BF3" s="5">
        <f t="shared" si="0"/>
        <v>4779.098</v>
      </c>
      <c r="BG3" s="5">
        <f t="shared" si="0"/>
        <v>1962.424</v>
      </c>
      <c r="BH3" s="5">
        <f t="shared" si="0"/>
        <v>5702.2539999999999</v>
      </c>
      <c r="BI3" s="5">
        <f t="shared" si="0"/>
        <v>1180.8620000000001</v>
      </c>
      <c r="BJ3" s="5">
        <f t="shared" si="0"/>
        <v>1972.731</v>
      </c>
      <c r="BK3" s="5">
        <f t="shared" si="0"/>
        <v>15597.369000000001</v>
      </c>
      <c r="BL3" s="5">
        <f t="shared" si="0"/>
        <v>1509.069</v>
      </c>
      <c r="BM3" s="5">
        <f t="shared" si="0"/>
        <v>15.319000000000001</v>
      </c>
      <c r="BN3" s="5">
        <f t="shared" si="0"/>
        <v>373.16</v>
      </c>
      <c r="BO3" s="5">
        <f t="shared" si="0"/>
        <v>5001.3519999999999</v>
      </c>
      <c r="BP3" s="5">
        <f t="shared" si="0"/>
        <v>6898.9000000000005</v>
      </c>
      <c r="BQ3" s="5">
        <f t="shared" ref="BQ3:EB3" si="1" xml:space="preserve"> BQ4 * 0.001</f>
        <v>8698.469000000001</v>
      </c>
      <c r="BR3" s="5">
        <f t="shared" si="1"/>
        <v>157508.087</v>
      </c>
      <c r="BS3" s="5">
        <f t="shared" si="1"/>
        <v>67642.688999999998</v>
      </c>
      <c r="BT3" s="5">
        <f t="shared" si="1"/>
        <v>3.4950000000000001</v>
      </c>
      <c r="BU3" s="5">
        <f t="shared" si="1"/>
        <v>397.61500000000001</v>
      </c>
      <c r="BV3" s="5">
        <f t="shared" si="1"/>
        <v>34907.112000000001</v>
      </c>
      <c r="BW3" s="5">
        <f t="shared" si="1"/>
        <v>668.07600000000002</v>
      </c>
      <c r="BX3" s="5">
        <f t="shared" si="1"/>
        <v>2803.3620000000001</v>
      </c>
      <c r="BY3" s="5">
        <f t="shared" si="1"/>
        <v>2441.973</v>
      </c>
      <c r="BZ3" s="5">
        <f t="shared" si="1"/>
        <v>108864.322</v>
      </c>
      <c r="CA3" s="5">
        <f t="shared" si="1"/>
        <v>2172.65</v>
      </c>
      <c r="CB3" s="5">
        <f t="shared" si="1"/>
        <v>1239.0940000000001</v>
      </c>
      <c r="CC3" s="5">
        <f t="shared" si="1"/>
        <v>45232.021000000001</v>
      </c>
      <c r="CD3" s="5">
        <f t="shared" si="1"/>
        <v>33740.658000000003</v>
      </c>
      <c r="CE3" s="5">
        <f t="shared" si="1"/>
        <v>12312.593000000001</v>
      </c>
      <c r="CF3" s="5">
        <f t="shared" si="1"/>
        <v>583.471</v>
      </c>
      <c r="CG3" s="5">
        <f t="shared" si="1"/>
        <v>-1515.2660000000001</v>
      </c>
      <c r="CH3" s="5">
        <f t="shared" si="1"/>
        <v>110.56400000000001</v>
      </c>
      <c r="CI3" s="5">
        <f t="shared" si="1"/>
        <v>45232.020000000004</v>
      </c>
      <c r="CJ3" s="5">
        <f t="shared" si="1"/>
        <v>1171.2819999999999</v>
      </c>
      <c r="CK3" s="5">
        <f t="shared" si="1"/>
        <v>718.20600000000002</v>
      </c>
      <c r="CL3" s="5">
        <f t="shared" si="1"/>
        <v>79.353000000000009</v>
      </c>
      <c r="CM3" s="5">
        <f t="shared" si="1"/>
        <v>373.72300000000001</v>
      </c>
      <c r="CN3" s="5">
        <f t="shared" si="1"/>
        <v>386.745</v>
      </c>
      <c r="CO3" s="5">
        <f t="shared" si="1"/>
        <v>0.54400000000000004</v>
      </c>
      <c r="CP3" s="5">
        <f t="shared" si="1"/>
        <v>423.98099999999999</v>
      </c>
      <c r="CQ3" s="5">
        <f t="shared" si="1"/>
        <v>-37.78</v>
      </c>
      <c r="CR3" s="5">
        <f t="shared" si="1"/>
        <v>19.923000000000002</v>
      </c>
      <c r="CS3" s="5">
        <f t="shared" si="1"/>
        <v>8.8729999999999993</v>
      </c>
      <c r="CT3" s="5">
        <f t="shared" si="1"/>
        <v>75.122</v>
      </c>
      <c r="CU3" s="5">
        <f t="shared" si="1"/>
        <v>-64.072000000000003</v>
      </c>
      <c r="CV3" s="5">
        <f t="shared" si="1"/>
        <v>15.304</v>
      </c>
      <c r="CW3" s="5">
        <f t="shared" si="1"/>
        <v>1.3480000000000001</v>
      </c>
      <c r="CX3" s="5">
        <f t="shared" si="1"/>
        <v>56.078000000000003</v>
      </c>
      <c r="CY3" s="5">
        <f t="shared" si="1"/>
        <v>-42.122</v>
      </c>
      <c r="CZ3" s="5">
        <f t="shared" si="1"/>
        <v>409.08</v>
      </c>
      <c r="DA3" s="5">
        <f t="shared" si="1"/>
        <v>41.753</v>
      </c>
      <c r="DB3" s="5">
        <f t="shared" si="1"/>
        <v>338.01100000000002</v>
      </c>
      <c r="DC3" s="5">
        <f t="shared" si="1"/>
        <v>29.315999999999999</v>
      </c>
      <c r="DD3" s="5">
        <f t="shared" si="1"/>
        <v>2002.3340000000001</v>
      </c>
      <c r="DE3" s="5">
        <f t="shared" si="1"/>
        <v>770.72400000000005</v>
      </c>
      <c r="DF3" s="5">
        <f t="shared" si="1"/>
        <v>972.54500000000007</v>
      </c>
      <c r="DG3" s="5">
        <f t="shared" si="1"/>
        <v>259.065</v>
      </c>
      <c r="DH3" s="5">
        <f t="shared" si="1"/>
        <v>1431.4590000000001</v>
      </c>
      <c r="DI3" s="5">
        <f t="shared" si="1"/>
        <v>1030.4380000000001</v>
      </c>
      <c r="DJ3" s="5">
        <f t="shared" si="1"/>
        <v>115.63800000000001</v>
      </c>
      <c r="DK3" s="5">
        <f t="shared" si="1"/>
        <v>285.38299999999998</v>
      </c>
      <c r="DL3" s="5">
        <f t="shared" si="1"/>
        <v>102.871</v>
      </c>
      <c r="DM3" s="5">
        <f t="shared" si="1"/>
        <v>0</v>
      </c>
      <c r="DN3" s="5">
        <f t="shared" si="1"/>
        <v>73.075000000000003</v>
      </c>
      <c r="DO3" s="5">
        <f t="shared" si="1"/>
        <v>29.795999999999999</v>
      </c>
      <c r="DP3" s="5">
        <f t="shared" si="1"/>
        <v>164.63900000000001</v>
      </c>
      <c r="DQ3" s="5">
        <f t="shared" si="1"/>
        <v>0</v>
      </c>
      <c r="DR3" s="5">
        <f t="shared" si="1"/>
        <v>153.02500000000001</v>
      </c>
      <c r="DS3" s="5">
        <f t="shared" si="1"/>
        <v>11.614000000000001</v>
      </c>
      <c r="DT3" s="5">
        <f t="shared" si="1"/>
        <v>201.46100000000001</v>
      </c>
      <c r="DU3" s="5">
        <f t="shared" si="1"/>
        <v>0.34200000000000003</v>
      </c>
      <c r="DV3" s="5">
        <f t="shared" si="1"/>
        <v>86.091000000000008</v>
      </c>
      <c r="DW3" s="5">
        <f t="shared" si="1"/>
        <v>115.02800000000001</v>
      </c>
      <c r="DX3" s="5">
        <f t="shared" si="1"/>
        <v>51.587000000000003</v>
      </c>
      <c r="DY3" s="5">
        <f t="shared" si="1"/>
        <v>0</v>
      </c>
      <c r="DZ3" s="5">
        <f t="shared" si="1"/>
        <v>54.578000000000003</v>
      </c>
      <c r="EA3" s="5">
        <f t="shared" si="1"/>
        <v>-2.9910000000000001</v>
      </c>
      <c r="EB3" s="5">
        <f t="shared" si="1"/>
        <v>921.78200000000004</v>
      </c>
      <c r="EC3" s="5">
        <f t="shared" ref="EC3:GD3" si="2" xml:space="preserve"> EC4 * 0.001</f>
        <v>135.869</v>
      </c>
      <c r="ED3" s="5">
        <f t="shared" si="2"/>
        <v>728.68899999999996</v>
      </c>
      <c r="EE3" s="5">
        <f t="shared" si="2"/>
        <v>57.224000000000004</v>
      </c>
      <c r="EF3" s="5">
        <f t="shared" si="2"/>
        <v>2873.799</v>
      </c>
      <c r="EG3" s="5">
        <f t="shared" si="2"/>
        <v>1166.6490000000001</v>
      </c>
      <c r="EH3" s="5">
        <f t="shared" si="2"/>
        <v>1211.096</v>
      </c>
      <c r="EI3" s="5">
        <f t="shared" si="2"/>
        <v>496.05400000000003</v>
      </c>
      <c r="EJ3" s="5">
        <f t="shared" si="2"/>
        <v>4876.1329999999998</v>
      </c>
      <c r="EK3" s="5">
        <f t="shared" si="2"/>
        <v>1937.373</v>
      </c>
      <c r="EL3" s="5">
        <f t="shared" si="2"/>
        <v>2183.6410000000001</v>
      </c>
      <c r="EM3" s="5">
        <f t="shared" si="2"/>
        <v>755.11900000000003</v>
      </c>
      <c r="EN3" s="5">
        <f t="shared" si="2"/>
        <v>588.76099999999997</v>
      </c>
      <c r="EO3" s="5">
        <f t="shared" si="2"/>
        <v>255.352</v>
      </c>
      <c r="EP3" s="5">
        <f t="shared" si="2"/>
        <v>163.85599999999999</v>
      </c>
      <c r="EQ3" s="5">
        <f t="shared" si="2"/>
        <v>246.96899999999999</v>
      </c>
      <c r="ER3" s="5">
        <f t="shared" si="2"/>
        <v>144082.35699999999</v>
      </c>
      <c r="ES3" s="5">
        <f t="shared" si="2"/>
        <v>4510.183</v>
      </c>
      <c r="ET3" s="5">
        <f t="shared" si="2"/>
        <v>148592.54</v>
      </c>
      <c r="EU3" s="5">
        <f t="shared" si="2"/>
        <v>7914.6779999999999</v>
      </c>
      <c r="EV3" s="5">
        <f t="shared" si="2"/>
        <v>-1455.4059999999999</v>
      </c>
      <c r="EW3" s="5">
        <f t="shared" si="2"/>
        <v>2212.9180000000001</v>
      </c>
      <c r="EX3" s="5">
        <f t="shared" si="2"/>
        <v>-15.538</v>
      </c>
      <c r="EY3" s="5">
        <f xml:space="preserve"> EY4 * 0.001</f>
        <v>-391.81900000000002</v>
      </c>
      <c r="EZ3" s="5">
        <f t="shared" si="2"/>
        <v>156857.37299999999</v>
      </c>
      <c r="FA3" s="5">
        <f t="shared" si="2"/>
        <v>15607.175000000001</v>
      </c>
      <c r="FB3" s="5">
        <f t="shared" si="2"/>
        <v>2065.8890000000001</v>
      </c>
      <c r="FC3" s="5">
        <f t="shared" si="2"/>
        <v>45.694000000000003</v>
      </c>
      <c r="FD3" s="5">
        <f t="shared" si="2"/>
        <v>-24.339000000000002</v>
      </c>
      <c r="FE3" s="5">
        <f t="shared" si="2"/>
        <v>-339.80799999999999</v>
      </c>
      <c r="FF3" s="5">
        <f t="shared" si="2"/>
        <v>-2.7189999999999999</v>
      </c>
      <c r="FG3" s="5">
        <f t="shared" si="2"/>
        <v>-16.623000000000001</v>
      </c>
      <c r="FH3" s="5">
        <f t="shared" si="2"/>
        <v>17335.269</v>
      </c>
      <c r="FI3" s="5">
        <f t="shared" si="2"/>
        <v>139522.10399999999</v>
      </c>
      <c r="FJ3" s="5">
        <f t="shared" si="2"/>
        <v>132985.36499999999</v>
      </c>
      <c r="FK3" s="5">
        <f t="shared" si="2"/>
        <v>742.08100000000002</v>
      </c>
      <c r="FL3" s="5">
        <f t="shared" si="2"/>
        <v>428.24400000000003</v>
      </c>
      <c r="FM3" s="5">
        <f t="shared" si="2"/>
        <v>313.83699999999999</v>
      </c>
      <c r="FN3" s="5">
        <f t="shared" si="2"/>
        <v>313.67700000000002</v>
      </c>
      <c r="FO3" s="5">
        <f t="shared" si="2"/>
        <v>206.40299999999999</v>
      </c>
      <c r="FP3" s="5">
        <f t="shared" si="2"/>
        <v>107.274</v>
      </c>
      <c r="FQ3" s="5">
        <f t="shared" si="2"/>
        <v>58.143000000000001</v>
      </c>
      <c r="FR3" s="5">
        <f t="shared" si="2"/>
        <v>54.871000000000002</v>
      </c>
      <c r="FS3" s="5">
        <f t="shared" si="2"/>
        <v>3.2720000000000002</v>
      </c>
      <c r="FT3" s="5">
        <f t="shared" si="2"/>
        <v>564.33799999999997</v>
      </c>
      <c r="FU3" s="5">
        <f t="shared" si="2"/>
        <v>296.32800000000003</v>
      </c>
      <c r="FV3" s="5">
        <f t="shared" si="2"/>
        <v>268.01</v>
      </c>
      <c r="FW3" s="5">
        <f t="shared" si="2"/>
        <v>188.3</v>
      </c>
      <c r="FX3" s="5">
        <f t="shared" si="2"/>
        <v>139.48699999999999</v>
      </c>
      <c r="FY3" s="5">
        <f t="shared" si="2"/>
        <v>48.813000000000002</v>
      </c>
      <c r="FZ3" s="5">
        <f t="shared" si="2"/>
        <v>151.60400000000001</v>
      </c>
      <c r="GA3" s="5">
        <f t="shared" si="2"/>
        <v>109.84100000000001</v>
      </c>
      <c r="GB3" s="5">
        <f t="shared" si="2"/>
        <v>41.762999999999998</v>
      </c>
      <c r="GC3" s="5">
        <f t="shared" si="2"/>
        <v>2018.143</v>
      </c>
      <c r="GD3" s="5">
        <f t="shared" si="2"/>
        <v>1235.174</v>
      </c>
      <c r="GE3" s="5">
        <f t="shared" ref="GE3:HP3" si="3" xml:space="preserve"> GE4 * 0.001</f>
        <v>782.96900000000005</v>
      </c>
      <c r="GF3" s="5">
        <f t="shared" si="3"/>
        <v>15.668000000000001</v>
      </c>
      <c r="GG3" s="5">
        <f t="shared" si="3"/>
        <v>1.5840000000000001</v>
      </c>
      <c r="GH3" s="5">
        <f t="shared" si="3"/>
        <v>52.624000000000002</v>
      </c>
      <c r="GI3" s="5">
        <f t="shared" si="3"/>
        <v>938.78</v>
      </c>
      <c r="GJ3" s="5">
        <f t="shared" si="3"/>
        <v>21.006</v>
      </c>
      <c r="GK3" s="5">
        <f t="shared" si="3"/>
        <v>943.07299999999998</v>
      </c>
      <c r="GL3" s="5">
        <f t="shared" si="3"/>
        <v>1972.7350000000001</v>
      </c>
      <c r="GM3" s="5">
        <f t="shared" si="3"/>
        <v>634.649</v>
      </c>
      <c r="GN3" s="5">
        <f t="shared" si="3"/>
        <v>381.35300000000001</v>
      </c>
      <c r="GO3" s="5">
        <f t="shared" si="3"/>
        <v>2.028</v>
      </c>
      <c r="GP3" s="5">
        <f t="shared" si="3"/>
        <v>207.703</v>
      </c>
      <c r="GQ3" s="5">
        <f t="shared" si="3"/>
        <v>51.438000000000002</v>
      </c>
      <c r="GR3" s="5">
        <f t="shared" si="3"/>
        <v>2301.0259999999998</v>
      </c>
      <c r="GS3" s="5">
        <f t="shared" si="3"/>
        <v>8.277000000000001</v>
      </c>
      <c r="GT3" s="5">
        <f t="shared" si="3"/>
        <v>29.754000000000001</v>
      </c>
      <c r="GU3" s="5">
        <f t="shared" si="3"/>
        <v>69.162999999999997</v>
      </c>
      <c r="GV3" s="5">
        <f t="shared" si="3"/>
        <v>35.167999999999999</v>
      </c>
      <c r="GW3" s="5">
        <f t="shared" si="3"/>
        <v>1280.799</v>
      </c>
      <c r="GX3" s="5">
        <f t="shared" si="3"/>
        <v>5001.3580000000002</v>
      </c>
      <c r="GY3" s="5">
        <f t="shared" si="3"/>
        <v>818.49300000000005</v>
      </c>
      <c r="GZ3" s="5">
        <f t="shared" si="3"/>
        <v>119.68600000000001</v>
      </c>
      <c r="HA3" s="5">
        <f t="shared" si="3"/>
        <v>483.23200000000003</v>
      </c>
      <c r="HB3" s="5">
        <f t="shared" si="3"/>
        <v>1020.563</v>
      </c>
      <c r="HC3" s="5">
        <f t="shared" si="3"/>
        <v>2441.9740000000002</v>
      </c>
      <c r="HD3" s="5">
        <f t="shared" si="3"/>
        <v>883.79100000000005</v>
      </c>
      <c r="HE3" s="5">
        <f t="shared" si="3"/>
        <v>355.29900000000004</v>
      </c>
      <c r="HF3" s="5">
        <f t="shared" si="3"/>
        <v>1239.0899999999999</v>
      </c>
      <c r="HG3" s="5">
        <f t="shared" si="3"/>
        <v>2952.2980000000002</v>
      </c>
      <c r="HH3" s="5">
        <f t="shared" si="3"/>
        <v>39.652999999999999</v>
      </c>
      <c r="HI3" s="5">
        <f t="shared" si="3"/>
        <v>64.188000000000002</v>
      </c>
      <c r="HJ3" s="5">
        <f t="shared" si="3"/>
        <v>4.0170000000000003</v>
      </c>
      <c r="HK3" s="5">
        <f t="shared" si="3"/>
        <v>640.63099999999997</v>
      </c>
      <c r="HL3" s="5">
        <f t="shared" si="3"/>
        <v>-236.08100000000002</v>
      </c>
      <c r="HM3" s="5">
        <f t="shared" si="3"/>
        <v>3464.7060000000001</v>
      </c>
      <c r="HN3" s="5">
        <f t="shared" si="3"/>
        <v>1595.954</v>
      </c>
      <c r="HO3" s="5">
        <f t="shared" si="3"/>
        <v>2311.1350000000002</v>
      </c>
      <c r="HP3" s="5">
        <f t="shared" si="3"/>
        <v>102.18300000000001</v>
      </c>
      <c r="HQ3" s="8" t="s">
        <v>1056</v>
      </c>
      <c r="HR3" s="8" t="s">
        <v>1056</v>
      </c>
      <c r="HS3" s="8" t="s">
        <v>1056</v>
      </c>
      <c r="HT3" s="8" t="s">
        <v>1056</v>
      </c>
      <c r="HU3" s="8" t="s">
        <v>1056</v>
      </c>
      <c r="HV3" s="8" t="s">
        <v>1056</v>
      </c>
      <c r="HW3" s="8" t="s">
        <v>1056</v>
      </c>
      <c r="HX3" s="8" t="s">
        <v>1056</v>
      </c>
    </row>
    <row r="4" spans="1:232" x14ac:dyDescent="0.2">
      <c r="B4" s="1" t="s">
        <v>1103</v>
      </c>
      <c r="E4" s="5">
        <f xml:space="preserve"> SUM( Data_Consolidated[Turnover] )</f>
        <v>19996598</v>
      </c>
      <c r="F4" s="5">
        <f xml:space="preserve"> SUM( Data_Consolidated[Cost of sales] )</f>
        <v>-1937373</v>
      </c>
      <c r="G4" s="5">
        <f xml:space="preserve"> SUM( Data_Consolidated[Operating expenditure] )</f>
        <v>-12143232</v>
      </c>
      <c r="H4" s="5">
        <f xml:space="preserve"> SUM( Data_Consolidated[Operating Surplus/(Deficit)] )</f>
        <v>5915993</v>
      </c>
      <c r="I4" s="5">
        <f xml:space="preserve"> SUM( Data_Consolidated[Gain/(Loss) on disposal of fixed assets] )</f>
        <v>782969</v>
      </c>
      <c r="J4" s="5">
        <f xml:space="preserve"> SUM( Data_Consolidated[Gift aid] )</f>
        <v>-559</v>
      </c>
      <c r="K4" s="5">
        <f xml:space="preserve"> SUM( Data_Consolidated[Other items] )</f>
        <v>487768</v>
      </c>
      <c r="L4" s="5">
        <f xml:space="preserve"> SUM( Data_Consolidated[Share of Op Surplus/(Deficit) in JV or Assoc] )</f>
        <v>54704</v>
      </c>
      <c r="M4" s="5">
        <f xml:space="preserve"> SUM( Data_Consolidated[Interest receivable] )</f>
        <v>100940</v>
      </c>
      <c r="N4" s="5">
        <f xml:space="preserve"> SUM( Data_Consolidated[Interest payable &amp; financing costs] )</f>
        <v>-3464703</v>
      </c>
      <c r="O4" s="5">
        <f xml:space="preserve"> SUM( Data_Consolidated[Movement in fair value - investment properties] )</f>
        <v>241004</v>
      </c>
      <c r="P4" s="5">
        <f xml:space="preserve"> SUM( Data_Consolidated[Movement in fair value - fin. Instruments] )</f>
        <v>27111</v>
      </c>
      <c r="Q4" s="5">
        <f xml:space="preserve"> SUM( Data_Consolidated[Movement in valuation of housing properties] )</f>
        <v>-7710</v>
      </c>
      <c r="R4" s="5">
        <f xml:space="preserve"> SUM( Data_Consolidated[Reversal of previous decrease in val. housing props.] )</f>
        <v>1908</v>
      </c>
      <c r="S4" s="5">
        <f xml:space="preserve"> SUM( Data_Consolidated[Surplus/(Deficit) before tax] )</f>
        <v>4139425</v>
      </c>
      <c r="T4" s="5">
        <f xml:space="preserve"> SUM( Data_Consolidated[Taxation] )</f>
        <v>-52273</v>
      </c>
      <c r="U4" s="5">
        <f xml:space="preserve"> SUM( Data_Consolidated[Surplus/(Deficit) for the period] )</f>
        <v>4087152</v>
      </c>
      <c r="V4" s="5">
        <f xml:space="preserve"> SUM( Data_Consolidated[Unrealised Sur/(Def) on reval. Housing Props] )</f>
        <v>25918</v>
      </c>
      <c r="W4" s="5">
        <f xml:space="preserve"> SUM( Data_Consolidated[Actuarial Gain/(Loss) pension schemes] )</f>
        <v>-520297</v>
      </c>
      <c r="X4" s="5">
        <f xml:space="preserve"> SUM( Data_Consolidated[Change in fair value of hedged inst] )</f>
        <v>106345</v>
      </c>
      <c r="Y4" s="5">
        <f xml:space="preserve"> SUM( Data_Consolidated[Other remeasurements] )</f>
        <v>1384</v>
      </c>
      <c r="Z4" s="5">
        <f xml:space="preserve"> SUM( Data_Consolidated[Total Comp Income] )</f>
        <v>3700502</v>
      </c>
      <c r="AA4" s="5">
        <f xml:space="preserve"> SUM( Data_Consolidated[Rents] )</f>
        <v>13115205</v>
      </c>
      <c r="AB4" s="5">
        <f xml:space="preserve"> SUM( Data_Consolidated[Service charge income] )</f>
        <v>1289332</v>
      </c>
      <c r="AC4" s="5">
        <f xml:space="preserve"> SUM( Data_Consolidated[Net rental income] )</f>
        <v>14404537</v>
      </c>
      <c r="AD4" s="5">
        <f xml:space="preserve"> SUM( Data_Consolidated[Amortised gov. grants] )</f>
        <v>437844</v>
      </c>
      <c r="AE4" s="5">
        <f xml:space="preserve"> SUM( Data_Consolidated[Gov grants taken to income] )</f>
        <v>18686</v>
      </c>
      <c r="AF4" s="5">
        <f xml:space="preserve"> SUM( Data_Consolidated[Other grants] )</f>
        <v>100027</v>
      </c>
      <c r="AG4" s="5">
        <f xml:space="preserve"> SUM( Data_Consolidated[Other SHL income] )</f>
        <v>159371</v>
      </c>
      <c r="AH4" s="5">
        <f xml:space="preserve"> SUM( Data_Consolidated[Turnover from SHL] )</f>
        <v>15120465</v>
      </c>
      <c r="AI4" s="5">
        <f xml:space="preserve"> SUM( Data_Consolidated[Management] )</f>
        <v>2602942</v>
      </c>
      <c r="AJ4" s="5">
        <f xml:space="preserve"> SUM( Data_Consolidated[Service charge costs] )</f>
        <v>1521890</v>
      </c>
      <c r="AK4" s="5">
        <f xml:space="preserve"> SUM( Data_Consolidated[Routine maintenance] )</f>
        <v>1904790</v>
      </c>
      <c r="AL4" s="5">
        <f xml:space="preserve"> SUM( Data_Consolidated[Planned maintenance] )</f>
        <v>831299</v>
      </c>
      <c r="AM4" s="5">
        <f xml:space="preserve"> SUM( Data_Consolidated[Major repairs expenditure] )</f>
        <v>465552</v>
      </c>
      <c r="AN4" s="5">
        <f xml:space="preserve"> SUM( Data_Consolidated[Bad debts] )</f>
        <v>98633</v>
      </c>
      <c r="AO4" s="5">
        <f xml:space="preserve"> SUM( Data_Consolidated[Depreciation of housing properties] )</f>
        <v>2104084</v>
      </c>
      <c r="AP4" s="5">
        <f xml:space="preserve"> SUM( Data_Consolidated[Impairment of housing properties] )</f>
        <v>35386</v>
      </c>
      <c r="AQ4" s="5">
        <f xml:space="preserve"> SUM( Data_Consolidated[Other costs] )</f>
        <v>395016</v>
      </c>
      <c r="AR4" s="5">
        <f xml:space="preserve"> SUM( Data_Consolidated[Expenditure on SHL] )</f>
        <v>9959592</v>
      </c>
      <c r="AS4" s="5">
        <f xml:space="preserve"> SUM( Data_Consolidated[Operating Surplus/(Def) on SHL] )</f>
        <v>5160873</v>
      </c>
      <c r="AT4" s="5">
        <f xml:space="preserve"> SUM( Data_Consolidated[Void Losses] )</f>
        <v>197811</v>
      </c>
      <c r="AU4" s="5">
        <f xml:space="preserve"> SUM( Data_Consolidated[Housing properties at cost] )</f>
        <v>137475007</v>
      </c>
      <c r="AV4" s="5">
        <f xml:space="preserve"> SUM( Data_Consolidated[Housing properties at valuation] )</f>
        <v>2047097</v>
      </c>
      <c r="AW4" s="5">
        <f xml:space="preserve"> SUM( Data_Consolidated[Other tangible fixed assets] )</f>
        <v>1844372</v>
      </c>
      <c r="AX4" s="5">
        <f xml:space="preserve"> SUM( Data_Consolidated[Intangible fixed assets &amp; goodwill] )</f>
        <v>165522</v>
      </c>
      <c r="AY4" s="5">
        <f xml:space="preserve"> SUM( Data_Consolidated[HomeBuy loans receivable] )</f>
        <v>867895</v>
      </c>
      <c r="AZ4" s="5">
        <f xml:space="preserve"> SUM( Data_Consolidated[Investment properties] )</f>
        <v>4698162</v>
      </c>
      <c r="BA4" s="5">
        <f xml:space="preserve"> SUM( Data_Consolidated[Investment in Joint Ventures] )</f>
        <v>689430</v>
      </c>
      <c r="BB4" s="5">
        <f xml:space="preserve"> SUM( Data_Consolidated[Investment in associates] )</f>
        <v>66726</v>
      </c>
      <c r="BC4" s="5">
        <f xml:space="preserve"> SUM( Data_Consolidated[Amounts owed by group undertakings] )</f>
        <v>4928</v>
      </c>
      <c r="BD4" s="5">
        <f xml:space="preserve"> SUM( Data_Consolidated[Other investments] )</f>
        <v>950479</v>
      </c>
      <c r="BE4" s="5">
        <f xml:space="preserve"> SUM( Data_Consolidated[Total fixed assets] )</f>
        <v>148809618</v>
      </c>
      <c r="BF4" s="5">
        <f xml:space="preserve"> SUM( Data_Consolidated[Properties held for sale] )</f>
        <v>4779098</v>
      </c>
      <c r="BG4" s="5">
        <f xml:space="preserve"> SUM( Data_Consolidated[Trade &amp; other debtors] )</f>
        <v>1962424</v>
      </c>
      <c r="BH4" s="5">
        <f xml:space="preserve"> SUM( Data_Consolidated[Cash &amp; cash equiv.] )</f>
        <v>5702254</v>
      </c>
      <c r="BI4" s="5">
        <f xml:space="preserve"> SUM( Data_Consolidated[Short term investments] )</f>
        <v>1180862</v>
      </c>
      <c r="BJ4" s="5">
        <f xml:space="preserve"> SUM( Data_Consolidated[Other current assets] )</f>
        <v>1972731</v>
      </c>
      <c r="BK4" s="5">
        <f xml:space="preserve"> SUM( Data_Consolidated[Total current assets] )</f>
        <v>15597369</v>
      </c>
      <c r="BL4" s="5">
        <f xml:space="preserve"> SUM( Data_Consolidated[Short term loans] )</f>
        <v>1509069</v>
      </c>
      <c r="BM4" s="5">
        <f xml:space="preserve"> SUM( Data_Consolidated[Bank overdrafts] )</f>
        <v>15319</v>
      </c>
      <c r="BN4" s="5">
        <f xml:space="preserve"> SUM( Data_Consolidated[Deferred capital grant (short term)] )</f>
        <v>373160</v>
      </c>
      <c r="BO4" s="5">
        <f xml:space="preserve"> SUM( Data_Consolidated[Other creditors due within 1 year] )</f>
        <v>5001352</v>
      </c>
      <c r="BP4" s="5">
        <f xml:space="preserve"> SUM( Data_Consolidated[Total creditors due within 1 year] )</f>
        <v>6898900</v>
      </c>
      <c r="BQ4" s="5">
        <f xml:space="preserve"> SUM( Data_Consolidated[Net Current Assets/Liabilities] )</f>
        <v>8698469</v>
      </c>
      <c r="BR4" s="5">
        <f xml:space="preserve"> SUM( Data_Consolidated[Total assets less current liabilities] )</f>
        <v>157508087</v>
      </c>
      <c r="BS4" s="5">
        <f xml:space="preserve"> SUM( Data_Consolidated[Long term loans] )</f>
        <v>67642689</v>
      </c>
      <c r="BT4" s="5">
        <f xml:space="preserve"> SUM( Data_Consolidated[Amounts owed to group undertakings] )</f>
        <v>3495</v>
      </c>
      <c r="BU4" s="5">
        <f xml:space="preserve"> SUM( Data_Consolidated[Finance lease obligations] )</f>
        <v>397615</v>
      </c>
      <c r="BV4" s="5">
        <f xml:space="preserve"> SUM( Data_Consolidated[Deferred capital grant (long term)] )</f>
        <v>34907112</v>
      </c>
      <c r="BW4" s="5">
        <f xml:space="preserve"> SUM( Data_Consolidated[HomeBuy grant deferred income] )</f>
        <v>668076</v>
      </c>
      <c r="BX4" s="5">
        <f xml:space="preserve"> SUM( Data_Consolidated[Fair value of derivative financial instruments - SOFP] )</f>
        <v>2803362</v>
      </c>
      <c r="BY4" s="5">
        <f xml:space="preserve"> SUM( Data_Consolidated[Other long term creditors] )</f>
        <v>2441973</v>
      </c>
      <c r="BZ4" s="5">
        <f xml:space="preserve"> SUM( Data_Consolidated[Total creditors due after 1 year] )</f>
        <v>108864322</v>
      </c>
      <c r="CA4" s="5">
        <f xml:space="preserve"> SUM( Data_Consolidated[Pension provision] )</f>
        <v>2172650</v>
      </c>
      <c r="CB4" s="5">
        <f xml:space="preserve"> SUM( Data_Consolidated[Other provisions] )</f>
        <v>1239094</v>
      </c>
      <c r="CC4" s="5">
        <f xml:space="preserve"> SUM( Data_Consolidated[Total net assets] )</f>
        <v>45232021</v>
      </c>
      <c r="CD4" s="5">
        <f xml:space="preserve"> SUM( Data_Consolidated[Income &amp; expenditure reserve] )</f>
        <v>33740658</v>
      </c>
      <c r="CE4" s="5">
        <f xml:space="preserve"> SUM( Data_Consolidated[Revaluation reserve] )</f>
        <v>12312593</v>
      </c>
      <c r="CF4" s="5">
        <f xml:space="preserve"> SUM( Data_Consolidated[Restricted reserve] )</f>
        <v>583471</v>
      </c>
      <c r="CG4" s="5">
        <f xml:space="preserve"> SUM( Data_Consolidated[Cashflow Hedge Reserve] )</f>
        <v>-1515266</v>
      </c>
      <c r="CH4" s="5">
        <f xml:space="preserve"> SUM( Data_Consolidated[Other reserves] )</f>
        <v>110564</v>
      </c>
      <c r="CI4" s="5">
        <f xml:space="preserve"> SUM( Data_Consolidated[Total reserves] )</f>
        <v>45232020</v>
      </c>
      <c r="CJ4" s="5">
        <f xml:space="preserve"> SUM( Data_Consolidated[Other social housing activities - 1st Tranche LCHO Sales - Turnover] )</f>
        <v>1171282</v>
      </c>
      <c r="CK4" s="5">
        <f xml:space="preserve"> SUM( Data_Consolidated[Other social housing activities - 1st Tranche LCHO Sales - Cost of Sales] )</f>
        <v>718206</v>
      </c>
      <c r="CL4" s="5">
        <f xml:space="preserve"> SUM( Data_Consolidated[Other social housing activities - 1st Tranche LCHO Sales - Operating Expenditure] )</f>
        <v>79353</v>
      </c>
      <c r="CM4" s="5">
        <f xml:space="preserve"> SUM( Data_Consolidated[Other social housing activities - 1st Tranche LCHO Sales - Op. Surplus/(Def.)] )</f>
        <v>373723</v>
      </c>
      <c r="CN4" s="5">
        <f xml:space="preserve"> SUM( Data_Consolidated[Other social housing activities - Charges for Support Services - Turnover] )</f>
        <v>386745</v>
      </c>
      <c r="CO4" s="5">
        <f xml:space="preserve"> SUM( Data_Consolidated[Other social housing activities - Charges for Support Services - Cost of Sales] )</f>
        <v>544</v>
      </c>
      <c r="CP4" s="5">
        <f xml:space="preserve"> SUM( Data_Consolidated[Other social housing activities - Charges for Support Services - Operating Expenditure] )</f>
        <v>423981</v>
      </c>
      <c r="CQ4" s="5">
        <f xml:space="preserve"> SUM( Data_Consolidated[Other social housing activities - Charges for Support Services - Op. Surplus/(Def.)] )</f>
        <v>-37780</v>
      </c>
      <c r="CR4" s="5">
        <f xml:space="preserve"> SUM( Data_Consolidated[Other social housing activities - Development Services - Turnover] )</f>
        <v>19923</v>
      </c>
      <c r="CS4" s="5">
        <f xml:space="preserve"> SUM( Data_Consolidated[Other social housing activities - Development Services - Cost of Sales] )</f>
        <v>8873</v>
      </c>
      <c r="CT4" s="5">
        <f xml:space="preserve"> SUM( Data_Consolidated[Other social housing activities - Development Services - Operating Expenditure] )</f>
        <v>75122</v>
      </c>
      <c r="CU4" s="5">
        <f xml:space="preserve"> SUM( Data_Consolidated[Other social housing activities - Development Services - Op. Surplus/(Def.)] )</f>
        <v>-64072</v>
      </c>
      <c r="CV4" s="5">
        <f xml:space="preserve"> SUM( Data_Consolidated[Other social housing activities - Neighbourhood Services - Turnover] )</f>
        <v>15304</v>
      </c>
      <c r="CW4" s="5">
        <f xml:space="preserve"> SUM( Data_Consolidated[Other social housing activities - Neighbourhood Services - Cost of Sales] )</f>
        <v>1348</v>
      </c>
      <c r="CX4" s="5">
        <f xml:space="preserve"> SUM( Data_Consolidated[Other social housing activities - Neighbourhood Services - Operating Expenditure] )</f>
        <v>56078</v>
      </c>
      <c r="CY4" s="5">
        <f xml:space="preserve"> SUM( Data_Consolidated[Other social housing activities - Neighbourhood Services - Op. Surplus/(Def.)] )</f>
        <v>-42122</v>
      </c>
      <c r="CZ4" s="5">
        <f xml:space="preserve"> SUM( Data_Consolidated[Other social housing activities - Other - Turnover] )</f>
        <v>409080</v>
      </c>
      <c r="DA4" s="5">
        <f xml:space="preserve"> SUM( Data_Consolidated[Other social housing activities - Other - Cost of Sales] )</f>
        <v>41753</v>
      </c>
      <c r="DB4" s="5">
        <f xml:space="preserve"> SUM( Data_Consolidated[Other social housing activities - Other - Operating Costs] )</f>
        <v>338011</v>
      </c>
      <c r="DC4" s="5">
        <f xml:space="preserve"> SUM( Data_Consolidated[Other social housing activities - Other - Op. Surplus/(Def.)] )</f>
        <v>29316</v>
      </c>
      <c r="DD4" s="5">
        <f xml:space="preserve"> SUM( Data_Consolidated[Total other social housing activities - Turnover] )</f>
        <v>2002334</v>
      </c>
      <c r="DE4" s="5">
        <f xml:space="preserve"> SUM( Data_Consolidated[Total other social housing activities - Cost of sales] )</f>
        <v>770724</v>
      </c>
      <c r="DF4" s="5">
        <f xml:space="preserve"> SUM( Data_Consolidated[Total other social housing activities - Operating expenditure] )</f>
        <v>972545</v>
      </c>
      <c r="DG4" s="5">
        <f xml:space="preserve"> SUM( Data_Consolidated[Total other social housing activities - Op. Surplus/{Def.)] )</f>
        <v>259065</v>
      </c>
      <c r="DH4" s="5">
        <f xml:space="preserve"> SUM( Data_Consolidated[Non-social housing - Prop. built for sale - Turnover] )</f>
        <v>1431459</v>
      </c>
      <c r="DI4" s="5">
        <f xml:space="preserve"> SUM( Data_Consolidated[Non-social housing - Prop. built for sale - Cost of sales] )</f>
        <v>1030438</v>
      </c>
      <c r="DJ4" s="5">
        <f xml:space="preserve"> SUM( Data_Consolidated[Non-social housing - Prop. built for sale - Operating expenditure] )</f>
        <v>115638</v>
      </c>
      <c r="DK4" s="5">
        <f xml:space="preserve"> SUM( Data_Consolidated[Non-social housing - Prop. built for sale - Op. Surplus/(Def.)] )</f>
        <v>285383</v>
      </c>
      <c r="DL4" s="5">
        <f xml:space="preserve"> SUM( Data_Consolidated[Non-social housing - Student accom. - Turnover] )</f>
        <v>102871</v>
      </c>
      <c r="DM4" s="5">
        <f xml:space="preserve"> SUM( Data_Consolidated[Non-social housing - Student accom. - Cost of sales] )</f>
        <v>0</v>
      </c>
      <c r="DN4" s="5">
        <f xml:space="preserve"> SUM( Data_Consolidated[Non-social housing - Student accom. - Operating expenditure] )</f>
        <v>73075</v>
      </c>
      <c r="DO4" s="5">
        <f xml:space="preserve"> SUM( Data_Consolidated[Non-social housing - Student accom. - Op. Surplus/(Def.)] )</f>
        <v>29796</v>
      </c>
      <c r="DP4" s="5">
        <f xml:space="preserve"> SUM( Data_Consolidated[Non-social housing - Nursing homes - Turnover] )</f>
        <v>164639</v>
      </c>
      <c r="DQ4" s="5">
        <f xml:space="preserve"> SUM( Data_Consolidated[Non-social housing - Nursing homes - Cost of sales] )</f>
        <v>0</v>
      </c>
      <c r="DR4" s="5">
        <f xml:space="preserve"> SUM( Data_Consolidated[Non-social housing - Nursing homes - Operating expenditure] )</f>
        <v>153025</v>
      </c>
      <c r="DS4" s="5">
        <f xml:space="preserve"> SUM( Data_Consolidated[Non-social housing - Nursing homes - Op. Surplus/(Def.)] )</f>
        <v>11614</v>
      </c>
      <c r="DT4" s="5">
        <f xml:space="preserve"> SUM( Data_Consolidated[Non-social housing - Market rent - Turnover] )</f>
        <v>201461</v>
      </c>
      <c r="DU4" s="5">
        <f xml:space="preserve"> SUM( Data_Consolidated[Non-social housing - Market rent - Cost of sales] )</f>
        <v>342</v>
      </c>
      <c r="DV4" s="5">
        <f xml:space="preserve"> SUM( Data_Consolidated[Non-social housing - Market rent - Operating expenditure] )</f>
        <v>86091</v>
      </c>
      <c r="DW4" s="5">
        <f xml:space="preserve"> SUM( Data_Consolidated[Non-social housing - Market rent - Op. Surplus/(Def.)] )</f>
        <v>115028</v>
      </c>
      <c r="DX4" s="5">
        <f xml:space="preserve"> SUM( Data_Consolidated[Non-social housing - Support services - Turnover] )</f>
        <v>51587</v>
      </c>
      <c r="DY4" s="5">
        <f xml:space="preserve"> SUM( Data_Consolidated[Non-social housing - Support services - Cost of sales] )</f>
        <v>0</v>
      </c>
      <c r="DZ4" s="5">
        <f xml:space="preserve"> SUM( Data_Consolidated[Non-social housing - Support services - Operating expenditure] )</f>
        <v>54578</v>
      </c>
      <c r="EA4" s="5">
        <f xml:space="preserve"> SUM( Data_Consolidated[Non-social housing - Support services - Op. Surplus/(Def.)] )</f>
        <v>-2991</v>
      </c>
      <c r="EB4" s="5">
        <f xml:space="preserve"> SUM( Data_Consolidated[Non-social housing - Other - Turnover] )</f>
        <v>921782</v>
      </c>
      <c r="EC4" s="5">
        <f xml:space="preserve"> SUM( Data_Consolidated[Non-social housing - Other - Cost of sales] )</f>
        <v>135869</v>
      </c>
      <c r="ED4" s="5">
        <f xml:space="preserve"> SUM( Data_Consolidated[Non-social housing - Other - Operating expenditure] )</f>
        <v>728689</v>
      </c>
      <c r="EE4" s="5">
        <f xml:space="preserve"> SUM( Data_Consolidated[Non-social housing - Other - Op. Surplus/(Def.)] )</f>
        <v>57224</v>
      </c>
      <c r="EF4" s="5">
        <f xml:space="preserve"> SUM( Data_Consolidated[Total non-social housing activity - Turnover] )</f>
        <v>2873799</v>
      </c>
      <c r="EG4" s="5">
        <f xml:space="preserve"> SUM( Data_Consolidated[Total non-social housing activity - Cost of sales] )</f>
        <v>1166649</v>
      </c>
      <c r="EH4" s="5">
        <f xml:space="preserve"> SUM( Data_Consolidated[Total non-social housing activity - Operating expenditure] )</f>
        <v>1211096</v>
      </c>
      <c r="EI4" s="5">
        <f xml:space="preserve"> SUM( Data_Consolidated[Total non-social housing activity - Op. Surplus/(Def.)] )</f>
        <v>496054</v>
      </c>
      <c r="EJ4" s="5">
        <f xml:space="preserve"> SUM( Data_Consolidated[Total activity other than SHL - Turnover] )</f>
        <v>4876133</v>
      </c>
      <c r="EK4" s="5">
        <f xml:space="preserve"> SUM( Data_Consolidated[Total activity other than SHL - Cost of sales] )</f>
        <v>1937373</v>
      </c>
      <c r="EL4" s="5">
        <f xml:space="preserve"> SUM( Data_Consolidated[Total activity other than SHL - Operating expenditure] )</f>
        <v>2183641</v>
      </c>
      <c r="EM4" s="5">
        <f xml:space="preserve"> SUM( Data_Consolidated[Total activity other than SHL - Op. Surplus/(Def.)] )</f>
        <v>755119</v>
      </c>
      <c r="EN4" s="5">
        <f xml:space="preserve"> SUM( Data_Consolidated[Gross arrears Current] )</f>
        <v>588761</v>
      </c>
      <c r="EO4" s="5">
        <f xml:space="preserve"> SUM( Data_Consolidated[Gross arrears Former] )</f>
        <v>255352</v>
      </c>
      <c r="EP4" s="5">
        <f xml:space="preserve"> SUM( Data_Consolidated[Provision for bad/doubtful debts Current] )</f>
        <v>163856</v>
      </c>
      <c r="EQ4" s="5">
        <f xml:space="preserve"> SUM( Data_Consolidated[Provision for bad/doubtful debts Former] )</f>
        <v>246969</v>
      </c>
      <c r="ER4" s="5">
        <f xml:space="preserve"> SUM( Data_Consolidated[Properties held at cost (opening)] )</f>
        <v>144082357</v>
      </c>
      <c r="ES4" s="5">
        <f xml:space="preserve"> SUM( Data_Consolidated[Properties held at valuation (opening)] )</f>
        <v>4510183</v>
      </c>
      <c r="ET4" s="5">
        <f xml:space="preserve"> SUM( Data_Consolidated[Total properties held at start of period] )</f>
        <v>148592540</v>
      </c>
      <c r="EU4" s="5">
        <f xml:space="preserve"> SUM( Data_Consolidated[Additions] )</f>
        <v>7914678</v>
      </c>
      <c r="EV4" s="5">
        <f xml:space="preserve"> SUM( Data_Consolidated[Disposals] )</f>
        <v>-1455406</v>
      </c>
      <c r="EW4" s="5">
        <f xml:space="preserve"> SUM( Data_Consolidated[Transfer treated as acquisition ('#)] )</f>
        <v>2212918</v>
      </c>
      <c r="EX4" s="5">
        <f xml:space="preserve"> SUM( Data_Consolidated[Inter-company transfers] )</f>
        <v>-15538</v>
      </c>
      <c r="EY4" s="5">
        <f xml:space="preserve"> SUM( Data_Consolidated[Revaluation and Other] )</f>
        <v>-391819</v>
      </c>
      <c r="EZ4" s="5">
        <f xml:space="preserve"> SUM( Data_Consolidated[Total properties held at end of period] )</f>
        <v>156857373</v>
      </c>
      <c r="FA4" s="5">
        <f xml:space="preserve"> SUM( Data_Consolidated[Depreciation &amp; Impairment at start of period] )</f>
        <v>15607175</v>
      </c>
      <c r="FB4" s="5">
        <f xml:space="preserve"> SUM( Data_Consolidated[Depreciation charged in period] )</f>
        <v>2065889</v>
      </c>
      <c r="FC4" s="5">
        <f xml:space="preserve"> SUM( Data_Consolidated[Impairment charged in period] )</f>
        <v>45694</v>
      </c>
      <c r="FD4" s="5">
        <f xml:space="preserve"> SUM( Data_Consolidated[Revaluation (dep. &amp; imp.)] )</f>
        <v>-24339</v>
      </c>
      <c r="FE4" s="5">
        <f xml:space="preserve"> SUM( Data_Consolidated[Released on disposal] )</f>
        <v>-339808</v>
      </c>
      <c r="FF4" s="5">
        <f xml:space="preserve"> SUM( Data_Consolidated[Inter-company transfers (depn. &amp; imp.)] )</f>
        <v>-2719</v>
      </c>
      <c r="FG4" s="5">
        <f xml:space="preserve"> SUM( Data_Consolidated[Other Dep. &amp; Imp.] )</f>
        <v>-16623</v>
      </c>
      <c r="FH4" s="5">
        <f xml:space="preserve"> SUM( Data_Consolidated[Depreciation &amp; Impairment at end of period] )</f>
        <v>17335269</v>
      </c>
      <c r="FI4" s="5">
        <f xml:space="preserve"> SUM( Data_Consolidated[Net book value at end of period] )</f>
        <v>139522104</v>
      </c>
      <c r="FJ4" s="5">
        <f xml:space="preserve"> SUM( Data_Consolidated[Net book value at start of period] )</f>
        <v>132985365</v>
      </c>
      <c r="FK4" s="5">
        <f xml:space="preserve"> SUM( Data_Consolidated[Shared ownership staircasing - Proceeds] )</f>
        <v>742081</v>
      </c>
      <c r="FL4" s="5">
        <f xml:space="preserve"> SUM( Data_Consolidated[Shared ownership staircasing - Cost of sales] )</f>
        <v>428244</v>
      </c>
      <c r="FM4" s="5">
        <f xml:space="preserve"> SUM( Data_Consolidated[Shared ownership staircasing - Surplus] )</f>
        <v>313837</v>
      </c>
      <c r="FN4" s="5">
        <f xml:space="preserve"> SUM( Data_Consolidated[Right to Buy - Proceeds] )</f>
        <v>313677</v>
      </c>
      <c r="FO4" s="5">
        <f xml:space="preserve"> SUM( Data_Consolidated[Right to Buy - Cost of sales] )</f>
        <v>206403</v>
      </c>
      <c r="FP4" s="5">
        <f xml:space="preserve"> SUM( Data_Consolidated[Right to Buy - Surplus] )</f>
        <v>107274</v>
      </c>
      <c r="FQ4" s="5">
        <f xml:space="preserve"> SUM( Data_Consolidated[Right to Acquire - Proceeds] )</f>
        <v>58143</v>
      </c>
      <c r="FR4" s="5">
        <f xml:space="preserve"> SUM( Data_Consolidated[Right to Acquire - Cost of sales] )</f>
        <v>54871</v>
      </c>
      <c r="FS4" s="5">
        <f xml:space="preserve"> SUM( Data_Consolidated[Right to Acquire - Surplus] )</f>
        <v>3272</v>
      </c>
      <c r="FT4" s="5">
        <f xml:space="preserve"> SUM( Data_Consolidated[Other social housing sales - Proceeds] )</f>
        <v>564338</v>
      </c>
      <c r="FU4" s="5">
        <f xml:space="preserve"> SUM( Data_Consolidated[Other social housing sales - Cost of sales] )</f>
        <v>296328</v>
      </c>
      <c r="FV4" s="5">
        <f xml:space="preserve"> SUM( Data_Consolidated[Other social housing sales - Surplus] )</f>
        <v>268010</v>
      </c>
      <c r="FW4" s="5">
        <f xml:space="preserve"> SUM( Data_Consolidated[Sale to other RPs - Proceeds] )</f>
        <v>188300</v>
      </c>
      <c r="FX4" s="5">
        <f xml:space="preserve"> SUM( Data_Consolidated[Sale to other RPs - Cost of sales] )</f>
        <v>139487</v>
      </c>
      <c r="FY4" s="5">
        <f xml:space="preserve"> SUM( Data_Consolidated[Sale to other RPs - Surplus] )</f>
        <v>48813</v>
      </c>
      <c r="FZ4" s="5">
        <f xml:space="preserve"> SUM( Data_Consolidated[Sale of other assets - Proceeds] )</f>
        <v>151604</v>
      </c>
      <c r="GA4" s="5">
        <f xml:space="preserve"> SUM( Data_Consolidated[Sale of other assets - Cost of sales] )</f>
        <v>109841</v>
      </c>
      <c r="GB4" s="5">
        <f xml:space="preserve"> SUM( Data_Consolidated[Sale of other assets - Surplus] )</f>
        <v>41763</v>
      </c>
      <c r="GC4" s="5">
        <f xml:space="preserve"> SUM( Data_Consolidated[Profit/(Loss) on sale of fixed assets - Proceeds] )</f>
        <v>2018143</v>
      </c>
      <c r="GD4" s="5">
        <f xml:space="preserve"> SUM( Data_Consolidated[Profit/(Loss) on sale of fixed assets - Cost of sales] )</f>
        <v>1235174</v>
      </c>
      <c r="GE4" s="5">
        <f xml:space="preserve"> SUM( Data_Consolidated[Profit/(Loss) on sale of fixed assets - Surplus] )</f>
        <v>782969</v>
      </c>
      <c r="GF4" s="5">
        <f xml:space="preserve"> SUM( Data_Consolidated[Amounts owed by group undertakings (within 1 year)] )</f>
        <v>15668</v>
      </c>
      <c r="GG4" s="5">
        <f xml:space="preserve"> SUM( Data_Consolidated[Loans to employees] )</f>
        <v>1584</v>
      </c>
      <c r="GH4" s="5">
        <f xml:space="preserve"> SUM( Data_Consolidated[Grants receivable] )</f>
        <v>52624</v>
      </c>
      <c r="GI4" s="5">
        <f xml:space="preserve"> SUM( Data_Consolidated[Refurbishment obligation] )</f>
        <v>938780</v>
      </c>
      <c r="GJ4" s="5">
        <f xml:space="preserve"> SUM( Data_Consolidated[Fair value of derivative financial instruments - Current Assets] )</f>
        <v>21006</v>
      </c>
      <c r="GK4" s="5">
        <f xml:space="preserve"> SUM( Data_Consolidated[Other debtors and prepayments] )</f>
        <v>943073</v>
      </c>
      <c r="GL4" s="5">
        <f xml:space="preserve"> SUM( Data_Consolidated[Total other current assets] )</f>
        <v>1972735</v>
      </c>
      <c r="GM4" s="5">
        <f xml:space="preserve"> SUM( Data_Consolidated[Trade creditors] )</f>
        <v>634649</v>
      </c>
      <c r="GN4" s="5">
        <f xml:space="preserve"> SUM( Data_Consolidated[Rent and service charges received in advance] )</f>
        <v>381353</v>
      </c>
      <c r="GO4" s="5">
        <f xml:space="preserve"> SUM( Data_Consolidated[Amount owed to group undertakings (within 1 year)] )</f>
        <v>2028</v>
      </c>
      <c r="GP4" s="5">
        <f xml:space="preserve"> SUM( Data_Consolidated[Recycled capital grant fund] )</f>
        <v>207703</v>
      </c>
      <c r="GQ4" s="5">
        <f xml:space="preserve"> SUM( Data_Consolidated[Disposal proceeds fund] )</f>
        <v>51438</v>
      </c>
      <c r="GR4" s="5">
        <f xml:space="preserve"> SUM( Data_Consolidated[Accruals and deferred income] )</f>
        <v>2301026</v>
      </c>
      <c r="GS4" s="5">
        <f xml:space="preserve"> SUM( Data_Consolidated[Obligations under finance leases] )</f>
        <v>8277</v>
      </c>
      <c r="GT4" s="5">
        <f xml:space="preserve"> SUM( Data_Consolidated[Short term refurbishment liability] )</f>
        <v>29754</v>
      </c>
      <c r="GU4" s="5">
        <f xml:space="preserve"> SUM( Data_Consolidated[Pension deficit contribution liability - current] )</f>
        <v>69163</v>
      </c>
      <c r="GV4" s="5">
        <f xml:space="preserve"> SUM( Data_Consolidated[Fair value of derivative financial instruments - Current Liabilities] )</f>
        <v>35168</v>
      </c>
      <c r="GW4" s="5">
        <f xml:space="preserve"> SUM( Data_Consolidated[Other creditors] )</f>
        <v>1280799</v>
      </c>
      <c r="GX4" s="5">
        <f xml:space="preserve"> SUM( Data_Consolidated[Total other current liabilities] )</f>
        <v>5001358</v>
      </c>
      <c r="GY4" s="5">
        <f xml:space="preserve"> SUM( Data_Consolidated[OLTC - Recycled capital grant fund] )</f>
        <v>818493</v>
      </c>
      <c r="GZ4" s="5">
        <f xml:space="preserve"> SUM( Data_Consolidated[OLTC - Disposal proceeds fund] )</f>
        <v>119686</v>
      </c>
      <c r="HA4" s="5">
        <f xml:space="preserve"> SUM( Data_Consolidated[Pension deficit contribution liability - Long Term] )</f>
        <v>483232</v>
      </c>
      <c r="HB4" s="5">
        <f xml:space="preserve"> SUM( Data_Consolidated[OLTC - Other creditors] )</f>
        <v>1020563</v>
      </c>
      <c r="HC4" s="5">
        <f xml:space="preserve"> SUM( Data_Consolidated[Total other long term creditors] )</f>
        <v>2441974</v>
      </c>
      <c r="HD4" s="5">
        <f xml:space="preserve"> SUM( Data_Consolidated[Refurbishment provision] )</f>
        <v>883791</v>
      </c>
      <c r="HE4" s="5">
        <f xml:space="preserve"> SUM( Data_Consolidated[Other provisions - other] )</f>
        <v>355299</v>
      </c>
      <c r="HF4" s="5">
        <f xml:space="preserve"> SUM( Data_Consolidated[Total other provisions] )</f>
        <v>1239090</v>
      </c>
      <c r="HG4" s="5">
        <f xml:space="preserve"> SUM( Data_Consolidated[Interest payable on liabilities] )</f>
        <v>2952298</v>
      </c>
      <c r="HH4" s="5">
        <f xml:space="preserve"> SUM( Data_Consolidated[Amortisation of loan premiums and arrangement costs] )</f>
        <v>39653</v>
      </c>
      <c r="HI4" s="5">
        <f xml:space="preserve"> SUM( Data_Consolidated[Defined benefit pension charges] )</f>
        <v>64188</v>
      </c>
      <c r="HJ4" s="5">
        <f xml:space="preserve"> SUM( Data_Consolidated[Accruals on DPF and RCGF] )</f>
        <v>4017</v>
      </c>
      <c r="HK4" s="5">
        <f xml:space="preserve"> SUM( Data_Consolidated[Other amounts payable] )</f>
        <v>640631</v>
      </c>
      <c r="HL4" s="5">
        <f xml:space="preserve"> SUM( Data_Consolidated[Less: interest capitalised in housing properties] )</f>
        <v>-236081</v>
      </c>
      <c r="HM4" s="5">
        <f xml:space="preserve"> SUM( Data_Consolidated[Total interest payable and financing costs] )</f>
        <v>3464706</v>
      </c>
      <c r="HN4" s="5">
        <f xml:space="preserve"> SUM( Data_Consolidated[Capitalised major repairs expenditure for period] )</f>
        <v>1595954</v>
      </c>
      <c r="HO4" s="5">
        <f xml:space="preserve"> SUM( Data_Consolidated[Total depreciation charge for period] )</f>
        <v>2311135</v>
      </c>
      <c r="HP4" s="5">
        <f xml:space="preserve"> SUM( Data_Consolidated[Total impairment charged/(released) for the period] )</f>
        <v>102183</v>
      </c>
      <c r="HQ4" s="5">
        <f xml:space="preserve"> SUM( Data_Consolidated[Social housing units acquired or developed] )</f>
        <v>40788</v>
      </c>
      <c r="HR4" s="5">
        <f xml:space="preserve"> SUM( Data_Consolidated[Social housing units sold / demolished] )</f>
        <v>-17697</v>
      </c>
      <c r="HS4" s="5">
        <f xml:space="preserve"> SUM( Data_Consolidated[Social housing units transferred and other movements (~)] )</f>
        <v>30627</v>
      </c>
      <c r="HT4" s="5">
        <f xml:space="preserve"> SUM( Data_Consolidated[Closing social housing units managed] )</f>
        <v>2761387</v>
      </c>
      <c r="HU4" s="5">
        <f xml:space="preserve"> SUM( Data_Consolidated[Non-social housing units acquired or developed] )</f>
        <v>4078</v>
      </c>
      <c r="HV4" s="5">
        <f xml:space="preserve"> SUM( Data_Consolidated[Non-social housing units sold / demolished] )</f>
        <v>-1109</v>
      </c>
      <c r="HW4" s="5">
        <f xml:space="preserve"> SUM( Data_Consolidated[Non-social housing units transferred and other movements] )</f>
        <v>16623</v>
      </c>
      <c r="HX4" s="5">
        <f xml:space="preserve"> SUM( Data_Consolidated[Closing non-social housing units managed] )</f>
        <v>228607</v>
      </c>
    </row>
    <row r="5" spans="1:232" s="6" customFormat="1" ht="102" customHeight="1" x14ac:dyDescent="0.2">
      <c r="A5" s="3" t="s">
        <v>1095</v>
      </c>
      <c r="B5" s="3" t="s">
        <v>1096</v>
      </c>
      <c r="C5" s="3" t="s">
        <v>1097</v>
      </c>
      <c r="D5" s="3" t="s">
        <v>1099</v>
      </c>
      <c r="E5" s="3" t="s">
        <v>871</v>
      </c>
      <c r="F5" s="3" t="s">
        <v>873</v>
      </c>
      <c r="G5" s="3" t="s">
        <v>872</v>
      </c>
      <c r="H5" s="3" t="s">
        <v>874</v>
      </c>
      <c r="I5" s="3" t="s">
        <v>875</v>
      </c>
      <c r="J5" s="3" t="s">
        <v>876</v>
      </c>
      <c r="K5" s="3" t="s">
        <v>877</v>
      </c>
      <c r="L5" s="3" t="s">
        <v>878</v>
      </c>
      <c r="M5" s="3" t="s">
        <v>879</v>
      </c>
      <c r="N5" s="3" t="s">
        <v>880</v>
      </c>
      <c r="O5" s="3" t="s">
        <v>1063</v>
      </c>
      <c r="P5" s="3" t="s">
        <v>881</v>
      </c>
      <c r="Q5" s="3" t="s">
        <v>1108</v>
      </c>
      <c r="R5" s="3" t="s">
        <v>1186</v>
      </c>
      <c r="S5" s="3" t="s">
        <v>882</v>
      </c>
      <c r="T5" s="3" t="s">
        <v>883</v>
      </c>
      <c r="U5" s="3" t="s">
        <v>884</v>
      </c>
      <c r="V5" s="3" t="s">
        <v>885</v>
      </c>
      <c r="W5" s="3" t="s">
        <v>886</v>
      </c>
      <c r="X5" s="3" t="s">
        <v>887</v>
      </c>
      <c r="Y5" s="3" t="s">
        <v>1064</v>
      </c>
      <c r="Z5" s="3" t="s">
        <v>888</v>
      </c>
      <c r="AA5" s="3" t="s">
        <v>889</v>
      </c>
      <c r="AB5" s="3" t="s">
        <v>890</v>
      </c>
      <c r="AC5" s="3" t="s">
        <v>891</v>
      </c>
      <c r="AD5" s="3" t="s">
        <v>892</v>
      </c>
      <c r="AE5" s="3" t="s">
        <v>893</v>
      </c>
      <c r="AF5" s="3" t="s">
        <v>894</v>
      </c>
      <c r="AG5" s="3" t="s">
        <v>895</v>
      </c>
      <c r="AH5" s="3" t="s">
        <v>896</v>
      </c>
      <c r="AI5" s="3" t="s">
        <v>897</v>
      </c>
      <c r="AJ5" s="3" t="s">
        <v>898</v>
      </c>
      <c r="AK5" s="3" t="s">
        <v>899</v>
      </c>
      <c r="AL5" s="3" t="s">
        <v>900</v>
      </c>
      <c r="AM5" s="3" t="s">
        <v>901</v>
      </c>
      <c r="AN5" s="3" t="s">
        <v>902</v>
      </c>
      <c r="AO5" s="3" t="s">
        <v>903</v>
      </c>
      <c r="AP5" s="3" t="s">
        <v>904</v>
      </c>
      <c r="AQ5" s="3" t="s">
        <v>905</v>
      </c>
      <c r="AR5" s="3" t="s">
        <v>906</v>
      </c>
      <c r="AS5" s="3" t="s">
        <v>907</v>
      </c>
      <c r="AT5" s="3" t="s">
        <v>196</v>
      </c>
      <c r="AU5" s="3" t="s">
        <v>908</v>
      </c>
      <c r="AV5" s="3" t="s">
        <v>909</v>
      </c>
      <c r="AW5" s="3" t="s">
        <v>910</v>
      </c>
      <c r="AX5" s="3" t="s">
        <v>911</v>
      </c>
      <c r="AY5" s="3" t="s">
        <v>912</v>
      </c>
      <c r="AZ5" s="3" t="s">
        <v>913</v>
      </c>
      <c r="BA5" s="3" t="s">
        <v>914</v>
      </c>
      <c r="BB5" s="3" t="s">
        <v>915</v>
      </c>
      <c r="BC5" s="3" t="s">
        <v>1155</v>
      </c>
      <c r="BD5" s="3" t="s">
        <v>916</v>
      </c>
      <c r="BE5" s="3" t="s">
        <v>917</v>
      </c>
      <c r="BF5" s="3" t="s">
        <v>918</v>
      </c>
      <c r="BG5" s="3" t="s">
        <v>919</v>
      </c>
      <c r="BH5" s="3" t="s">
        <v>920</v>
      </c>
      <c r="BI5" s="3" t="s">
        <v>921</v>
      </c>
      <c r="BJ5" s="3" t="s">
        <v>922</v>
      </c>
      <c r="BK5" s="3" t="s">
        <v>923</v>
      </c>
      <c r="BL5" s="3" t="s">
        <v>924</v>
      </c>
      <c r="BM5" s="3" t="s">
        <v>925</v>
      </c>
      <c r="BN5" s="3" t="s">
        <v>926</v>
      </c>
      <c r="BO5" s="3" t="s">
        <v>1065</v>
      </c>
      <c r="BP5" s="3" t="s">
        <v>928</v>
      </c>
      <c r="BQ5" s="3" t="s">
        <v>929</v>
      </c>
      <c r="BR5" s="3" t="s">
        <v>930</v>
      </c>
      <c r="BS5" s="3" t="s">
        <v>931</v>
      </c>
      <c r="BT5" s="3" t="s">
        <v>932</v>
      </c>
      <c r="BU5" s="3" t="s">
        <v>933</v>
      </c>
      <c r="BV5" s="3" t="s">
        <v>934</v>
      </c>
      <c r="BW5" s="3" t="s">
        <v>935</v>
      </c>
      <c r="BX5" s="3" t="s">
        <v>1156</v>
      </c>
      <c r="BY5" s="3" t="s">
        <v>936</v>
      </c>
      <c r="BZ5" s="3" t="s">
        <v>937</v>
      </c>
      <c r="CA5" s="3" t="s">
        <v>938</v>
      </c>
      <c r="CB5" s="3" t="s">
        <v>939</v>
      </c>
      <c r="CC5" s="3" t="s">
        <v>940</v>
      </c>
      <c r="CD5" s="3" t="s">
        <v>941</v>
      </c>
      <c r="CE5" s="3" t="s">
        <v>942</v>
      </c>
      <c r="CF5" s="3" t="s">
        <v>943</v>
      </c>
      <c r="CG5" s="3" t="s">
        <v>1098</v>
      </c>
      <c r="CH5" s="3" t="s">
        <v>944</v>
      </c>
      <c r="CI5" s="3" t="s">
        <v>945</v>
      </c>
      <c r="CJ5" s="3" t="s">
        <v>946</v>
      </c>
      <c r="CK5" s="3" t="s">
        <v>947</v>
      </c>
      <c r="CL5" s="3" t="s">
        <v>948</v>
      </c>
      <c r="CM5" s="3" t="s">
        <v>949</v>
      </c>
      <c r="CN5" s="3" t="s">
        <v>950</v>
      </c>
      <c r="CO5" s="3" t="s">
        <v>951</v>
      </c>
      <c r="CP5" s="97" t="s">
        <v>952</v>
      </c>
      <c r="CQ5" s="3" t="s">
        <v>953</v>
      </c>
      <c r="CR5" s="3" t="s">
        <v>1073</v>
      </c>
      <c r="CS5" s="3" t="s">
        <v>1074</v>
      </c>
      <c r="CT5" s="97" t="s">
        <v>1075</v>
      </c>
      <c r="CU5" s="3" t="s">
        <v>1076</v>
      </c>
      <c r="CV5" s="3" t="s">
        <v>1077</v>
      </c>
      <c r="CW5" s="3" t="s">
        <v>1078</v>
      </c>
      <c r="CX5" s="97" t="s">
        <v>1079</v>
      </c>
      <c r="CY5" s="3" t="s">
        <v>1080</v>
      </c>
      <c r="CZ5" s="3" t="s">
        <v>954</v>
      </c>
      <c r="DA5" s="3" t="s">
        <v>955</v>
      </c>
      <c r="DB5" s="3" t="s">
        <v>956</v>
      </c>
      <c r="DC5" s="3" t="s">
        <v>957</v>
      </c>
      <c r="DD5" s="3" t="s">
        <v>958</v>
      </c>
      <c r="DE5" s="3" t="s">
        <v>959</v>
      </c>
      <c r="DF5" s="3" t="s">
        <v>960</v>
      </c>
      <c r="DG5" s="3" t="s">
        <v>961</v>
      </c>
      <c r="DH5" s="3" t="s">
        <v>962</v>
      </c>
      <c r="DI5" s="3" t="s">
        <v>963</v>
      </c>
      <c r="DJ5" s="3" t="s">
        <v>964</v>
      </c>
      <c r="DK5" s="3" t="s">
        <v>965</v>
      </c>
      <c r="DL5" s="3" t="s">
        <v>966</v>
      </c>
      <c r="DM5" s="3" t="s">
        <v>967</v>
      </c>
      <c r="DN5" s="3" t="s">
        <v>968</v>
      </c>
      <c r="DO5" s="3" t="s">
        <v>969</v>
      </c>
      <c r="DP5" s="3" t="s">
        <v>970</v>
      </c>
      <c r="DQ5" s="3" t="s">
        <v>971</v>
      </c>
      <c r="DR5" s="3" t="s">
        <v>972</v>
      </c>
      <c r="DS5" s="3" t="s">
        <v>973</v>
      </c>
      <c r="DT5" s="3" t="s">
        <v>974</v>
      </c>
      <c r="DU5" s="3" t="s">
        <v>975</v>
      </c>
      <c r="DV5" s="3" t="s">
        <v>976</v>
      </c>
      <c r="DW5" s="3" t="s">
        <v>977</v>
      </c>
      <c r="DX5" s="3" t="s">
        <v>1066</v>
      </c>
      <c r="DY5" s="3" t="s">
        <v>1069</v>
      </c>
      <c r="DZ5" s="3" t="s">
        <v>1068</v>
      </c>
      <c r="EA5" s="3" t="s">
        <v>1067</v>
      </c>
      <c r="EB5" s="3" t="s">
        <v>978</v>
      </c>
      <c r="EC5" s="3" t="s">
        <v>979</v>
      </c>
      <c r="ED5" s="3" t="s">
        <v>980</v>
      </c>
      <c r="EE5" s="3" t="s">
        <v>981</v>
      </c>
      <c r="EF5" s="3" t="s">
        <v>982</v>
      </c>
      <c r="EG5" s="3" t="s">
        <v>983</v>
      </c>
      <c r="EH5" s="3" t="s">
        <v>984</v>
      </c>
      <c r="EI5" s="3" t="s">
        <v>985</v>
      </c>
      <c r="EJ5" s="3" t="s">
        <v>986</v>
      </c>
      <c r="EK5" s="3" t="s">
        <v>987</v>
      </c>
      <c r="EL5" s="3" t="s">
        <v>988</v>
      </c>
      <c r="EM5" s="3" t="s">
        <v>989</v>
      </c>
      <c r="EN5" s="3" t="s">
        <v>992</v>
      </c>
      <c r="EO5" s="3" t="s">
        <v>993</v>
      </c>
      <c r="EP5" s="3" t="s">
        <v>994</v>
      </c>
      <c r="EQ5" s="3" t="s">
        <v>995</v>
      </c>
      <c r="ER5" s="3" t="s">
        <v>1187</v>
      </c>
      <c r="ES5" s="3" t="s">
        <v>1188</v>
      </c>
      <c r="ET5" s="3" t="s">
        <v>996</v>
      </c>
      <c r="EU5" s="3" t="s">
        <v>997</v>
      </c>
      <c r="EV5" s="3" t="s">
        <v>998</v>
      </c>
      <c r="EW5" s="82" t="s">
        <v>1191</v>
      </c>
      <c r="EX5" s="3" t="s">
        <v>1085</v>
      </c>
      <c r="EY5" s="3" t="s">
        <v>1183</v>
      </c>
      <c r="EZ5" s="3" t="s">
        <v>999</v>
      </c>
      <c r="FA5" s="3" t="s">
        <v>1000</v>
      </c>
      <c r="FB5" s="3" t="s">
        <v>1001</v>
      </c>
      <c r="FC5" s="3" t="s">
        <v>1002</v>
      </c>
      <c r="FD5" s="3" t="s">
        <v>1003</v>
      </c>
      <c r="FE5" s="3" t="s">
        <v>1004</v>
      </c>
      <c r="FF5" s="3" t="s">
        <v>1086</v>
      </c>
      <c r="FG5" s="3" t="s">
        <v>1005</v>
      </c>
      <c r="FH5" s="3" t="s">
        <v>1006</v>
      </c>
      <c r="FI5" s="3" t="s">
        <v>1007</v>
      </c>
      <c r="FJ5" s="3" t="s">
        <v>1008</v>
      </c>
      <c r="FK5" s="3" t="s">
        <v>1009</v>
      </c>
      <c r="FL5" s="3" t="s">
        <v>1010</v>
      </c>
      <c r="FM5" s="3" t="s">
        <v>1011</v>
      </c>
      <c r="FN5" s="3" t="s">
        <v>1012</v>
      </c>
      <c r="FO5" s="3" t="s">
        <v>1013</v>
      </c>
      <c r="FP5" s="3" t="s">
        <v>1014</v>
      </c>
      <c r="FQ5" s="3" t="s">
        <v>1015</v>
      </c>
      <c r="FR5" s="3" t="s">
        <v>1016</v>
      </c>
      <c r="FS5" s="3" t="s">
        <v>1017</v>
      </c>
      <c r="FT5" s="3" t="s">
        <v>1018</v>
      </c>
      <c r="FU5" s="3" t="s">
        <v>1019</v>
      </c>
      <c r="FV5" s="3" t="s">
        <v>1020</v>
      </c>
      <c r="FW5" s="3" t="s">
        <v>1021</v>
      </c>
      <c r="FX5" s="3" t="s">
        <v>1022</v>
      </c>
      <c r="FY5" s="3" t="s">
        <v>1023</v>
      </c>
      <c r="FZ5" s="3" t="s">
        <v>1024</v>
      </c>
      <c r="GA5" s="3" t="s">
        <v>1025</v>
      </c>
      <c r="GB5" s="3" t="s">
        <v>1026</v>
      </c>
      <c r="GC5" s="3" t="s">
        <v>1027</v>
      </c>
      <c r="GD5" s="3" t="s">
        <v>1028</v>
      </c>
      <c r="GE5" s="3" t="s">
        <v>1029</v>
      </c>
      <c r="GF5" s="3" t="s">
        <v>1071</v>
      </c>
      <c r="GG5" s="3" t="s">
        <v>1030</v>
      </c>
      <c r="GH5" s="3" t="s">
        <v>1031</v>
      </c>
      <c r="GI5" s="3" t="s">
        <v>1032</v>
      </c>
      <c r="GJ5" s="3" t="s">
        <v>1157</v>
      </c>
      <c r="GK5" s="3" t="s">
        <v>1033</v>
      </c>
      <c r="GL5" s="3" t="s">
        <v>1034</v>
      </c>
      <c r="GM5" s="3" t="s">
        <v>1035</v>
      </c>
      <c r="GN5" s="3" t="s">
        <v>1036</v>
      </c>
      <c r="GO5" s="3" t="s">
        <v>1072</v>
      </c>
      <c r="GP5" s="3" t="s">
        <v>1037</v>
      </c>
      <c r="GQ5" s="3" t="s">
        <v>1038</v>
      </c>
      <c r="GR5" s="3" t="s">
        <v>1039</v>
      </c>
      <c r="GS5" s="3" t="s">
        <v>1040</v>
      </c>
      <c r="GT5" s="3" t="s">
        <v>1041</v>
      </c>
      <c r="GU5" s="3" t="s">
        <v>1159</v>
      </c>
      <c r="GV5" s="3" t="s">
        <v>1158</v>
      </c>
      <c r="GW5" s="3" t="s">
        <v>1042</v>
      </c>
      <c r="GX5" s="3" t="s">
        <v>1043</v>
      </c>
      <c r="GY5" s="3" t="s">
        <v>1044</v>
      </c>
      <c r="GZ5" s="3" t="s">
        <v>1045</v>
      </c>
      <c r="HA5" s="3" t="s">
        <v>1160</v>
      </c>
      <c r="HB5" s="3" t="s">
        <v>1046</v>
      </c>
      <c r="HC5" s="3" t="s">
        <v>1047</v>
      </c>
      <c r="HD5" s="3" t="s">
        <v>1048</v>
      </c>
      <c r="HE5" s="3" t="s">
        <v>1049</v>
      </c>
      <c r="HF5" s="3" t="s">
        <v>1050</v>
      </c>
      <c r="HG5" s="3" t="s">
        <v>1088</v>
      </c>
      <c r="HH5" s="3" t="s">
        <v>1089</v>
      </c>
      <c r="HI5" s="3" t="s">
        <v>1090</v>
      </c>
      <c r="HJ5" s="3" t="s">
        <v>1091</v>
      </c>
      <c r="HK5" s="3" t="s">
        <v>1092</v>
      </c>
      <c r="HL5" s="3" t="s">
        <v>1093</v>
      </c>
      <c r="HM5" s="3" t="s">
        <v>1094</v>
      </c>
      <c r="HN5" s="3" t="s">
        <v>1051</v>
      </c>
      <c r="HO5" s="3" t="s">
        <v>1052</v>
      </c>
      <c r="HP5" s="3" t="s">
        <v>1053</v>
      </c>
      <c r="HQ5" s="3" t="s">
        <v>1070</v>
      </c>
      <c r="HR5" s="3" t="s">
        <v>990</v>
      </c>
      <c r="HS5" s="82" t="s">
        <v>1193</v>
      </c>
      <c r="HT5" s="3" t="s">
        <v>991</v>
      </c>
      <c r="HU5" s="3" t="s">
        <v>1081</v>
      </c>
      <c r="HV5" s="3" t="s">
        <v>1082</v>
      </c>
      <c r="HW5" s="3" t="s">
        <v>1083</v>
      </c>
      <c r="HX5" s="3" t="s">
        <v>1084</v>
      </c>
    </row>
    <row r="6" spans="1:232" x14ac:dyDescent="0.2">
      <c r="A6" s="74" t="s">
        <v>207</v>
      </c>
      <c r="B6" s="74" t="s">
        <v>208</v>
      </c>
      <c r="C6" s="75" t="s">
        <v>200</v>
      </c>
      <c r="D6" s="75">
        <v>12</v>
      </c>
      <c r="E6" s="76">
        <v>371885</v>
      </c>
      <c r="F6" s="76">
        <v>-99283</v>
      </c>
      <c r="G6" s="76">
        <v>-166380</v>
      </c>
      <c r="H6" s="76">
        <v>106222</v>
      </c>
      <c r="I6" s="76">
        <v>13707</v>
      </c>
      <c r="J6" s="76">
        <v>0</v>
      </c>
      <c r="K6" s="76">
        <v>-308</v>
      </c>
      <c r="L6" s="76">
        <v>-1157</v>
      </c>
      <c r="M6" s="76">
        <v>6364</v>
      </c>
      <c r="N6" s="76">
        <v>-55825</v>
      </c>
      <c r="O6" s="76">
        <v>18734</v>
      </c>
      <c r="P6" s="76">
        <v>-3406</v>
      </c>
      <c r="Q6" s="76">
        <v>0</v>
      </c>
      <c r="R6" s="76">
        <v>0</v>
      </c>
      <c r="S6" s="76">
        <v>84331</v>
      </c>
      <c r="T6" s="76">
        <v>-230</v>
      </c>
      <c r="U6" s="76">
        <v>84101</v>
      </c>
      <c r="V6" s="76">
        <v>0</v>
      </c>
      <c r="W6" s="76">
        <v>-783</v>
      </c>
      <c r="X6" s="76">
        <v>3494</v>
      </c>
      <c r="Y6" s="76">
        <v>0</v>
      </c>
      <c r="Z6" s="76">
        <v>86812</v>
      </c>
      <c r="AA6" s="76">
        <v>171512</v>
      </c>
      <c r="AB6" s="76">
        <v>20678</v>
      </c>
      <c r="AC6" s="76">
        <v>192190</v>
      </c>
      <c r="AD6" s="76">
        <v>16865</v>
      </c>
      <c r="AE6" s="76">
        <v>0</v>
      </c>
      <c r="AF6" s="76">
        <v>0</v>
      </c>
      <c r="AG6" s="76">
        <v>2664</v>
      </c>
      <c r="AH6" s="76">
        <v>211719</v>
      </c>
      <c r="AI6" s="76">
        <v>37099</v>
      </c>
      <c r="AJ6" s="76">
        <v>25623</v>
      </c>
      <c r="AK6" s="76">
        <v>17370</v>
      </c>
      <c r="AL6" s="76">
        <v>20815</v>
      </c>
      <c r="AM6" s="76">
        <v>0</v>
      </c>
      <c r="AN6" s="76">
        <v>1057</v>
      </c>
      <c r="AO6" s="76">
        <v>29254</v>
      </c>
      <c r="AP6" s="76">
        <v>0</v>
      </c>
      <c r="AQ6" s="76">
        <v>7087</v>
      </c>
      <c r="AR6" s="76">
        <v>138305</v>
      </c>
      <c r="AS6" s="76">
        <v>73414</v>
      </c>
      <c r="AT6" s="76">
        <v>2381</v>
      </c>
      <c r="AU6" s="76">
        <v>2534784</v>
      </c>
      <c r="AV6" s="76">
        <v>0</v>
      </c>
      <c r="AW6" s="76">
        <v>20785</v>
      </c>
      <c r="AX6" s="76">
        <v>0</v>
      </c>
      <c r="AY6" s="76">
        <v>2622</v>
      </c>
      <c r="AZ6" s="76">
        <v>427878</v>
      </c>
      <c r="BA6" s="76">
        <v>54834</v>
      </c>
      <c r="BB6" s="76">
        <v>0</v>
      </c>
      <c r="BC6" s="76">
        <v>0</v>
      </c>
      <c r="BD6" s="76">
        <v>19830</v>
      </c>
      <c r="BE6" s="76">
        <v>3060733</v>
      </c>
      <c r="BF6" s="76">
        <v>221881</v>
      </c>
      <c r="BG6" s="76">
        <v>127917</v>
      </c>
      <c r="BH6" s="76">
        <v>148089</v>
      </c>
      <c r="BI6" s="76">
        <v>70000</v>
      </c>
      <c r="BJ6" s="76">
        <v>10418</v>
      </c>
      <c r="BK6" s="76">
        <v>578305</v>
      </c>
      <c r="BL6" s="76">
        <v>33892</v>
      </c>
      <c r="BM6" s="76">
        <v>0</v>
      </c>
      <c r="BN6" s="76">
        <v>15450</v>
      </c>
      <c r="BO6" s="76">
        <v>85000</v>
      </c>
      <c r="BP6" s="76">
        <v>134342</v>
      </c>
      <c r="BQ6" s="76">
        <v>443963</v>
      </c>
      <c r="BR6" s="76">
        <v>3504696</v>
      </c>
      <c r="BS6" s="76">
        <v>1527736</v>
      </c>
      <c r="BT6" s="76">
        <v>0</v>
      </c>
      <c r="BU6" s="76">
        <v>0</v>
      </c>
      <c r="BV6" s="76">
        <v>996387</v>
      </c>
      <c r="BW6" s="76">
        <v>0</v>
      </c>
      <c r="BX6" s="76">
        <v>84690</v>
      </c>
      <c r="BY6" s="76">
        <v>49850</v>
      </c>
      <c r="BZ6" s="76">
        <v>2658663</v>
      </c>
      <c r="CA6" s="76">
        <v>5704</v>
      </c>
      <c r="CB6" s="76">
        <v>4636</v>
      </c>
      <c r="CC6" s="76">
        <v>835693</v>
      </c>
      <c r="CD6" s="76">
        <v>834033</v>
      </c>
      <c r="CE6" s="76">
        <v>0</v>
      </c>
      <c r="CF6" s="76">
        <v>500</v>
      </c>
      <c r="CG6" s="76">
        <v>-43941</v>
      </c>
      <c r="CH6" s="76">
        <v>45101</v>
      </c>
      <c r="CI6" s="76">
        <v>835693</v>
      </c>
      <c r="CJ6" s="76">
        <v>15578</v>
      </c>
      <c r="CK6" s="76">
        <v>9546</v>
      </c>
      <c r="CL6" s="76">
        <v>0</v>
      </c>
      <c r="CM6" s="76">
        <v>6032</v>
      </c>
      <c r="CN6" s="76">
        <v>2211</v>
      </c>
      <c r="CO6" s="76">
        <v>0</v>
      </c>
      <c r="CP6" s="76">
        <v>2448</v>
      </c>
      <c r="CQ6" s="76">
        <v>-237</v>
      </c>
      <c r="CR6" s="76">
        <v>1992</v>
      </c>
      <c r="CS6" s="76">
        <v>2004</v>
      </c>
      <c r="CT6" s="76">
        <v>0</v>
      </c>
      <c r="CU6" s="76">
        <v>-12</v>
      </c>
      <c r="CV6" s="76">
        <v>0</v>
      </c>
      <c r="CW6" s="76">
        <v>0</v>
      </c>
      <c r="CX6" s="76">
        <v>0</v>
      </c>
      <c r="CY6" s="76">
        <v>0</v>
      </c>
      <c r="CZ6" s="76">
        <v>3958</v>
      </c>
      <c r="DA6" s="76">
        <v>0</v>
      </c>
      <c r="DB6" s="76">
        <v>8645</v>
      </c>
      <c r="DC6" s="76">
        <v>-4687</v>
      </c>
      <c r="DD6" s="76">
        <v>23739</v>
      </c>
      <c r="DE6" s="76">
        <v>11550</v>
      </c>
      <c r="DF6" s="76">
        <v>11093</v>
      </c>
      <c r="DG6" s="76">
        <v>1096</v>
      </c>
      <c r="DH6" s="76">
        <v>114067</v>
      </c>
      <c r="DI6" s="76">
        <v>87733</v>
      </c>
      <c r="DJ6" s="76">
        <v>7273</v>
      </c>
      <c r="DK6" s="76">
        <v>19061</v>
      </c>
      <c r="DL6" s="76">
        <v>8532</v>
      </c>
      <c r="DM6" s="76">
        <v>0</v>
      </c>
      <c r="DN6" s="76">
        <v>4169</v>
      </c>
      <c r="DO6" s="76">
        <v>4363</v>
      </c>
      <c r="DP6" s="76">
        <v>0</v>
      </c>
      <c r="DQ6" s="76">
        <v>0</v>
      </c>
      <c r="DR6" s="76">
        <v>0</v>
      </c>
      <c r="DS6" s="76">
        <v>0</v>
      </c>
      <c r="DT6" s="76">
        <v>11767</v>
      </c>
      <c r="DU6" s="76">
        <v>0</v>
      </c>
      <c r="DV6" s="76">
        <v>5247</v>
      </c>
      <c r="DW6" s="76">
        <v>6520</v>
      </c>
      <c r="DX6" s="76">
        <v>0</v>
      </c>
      <c r="DY6" s="76">
        <v>0</v>
      </c>
      <c r="DZ6" s="76">
        <v>0</v>
      </c>
      <c r="EA6" s="76">
        <v>0</v>
      </c>
      <c r="EB6" s="76">
        <v>2062</v>
      </c>
      <c r="EC6" s="76">
        <v>0</v>
      </c>
      <c r="ED6" s="76">
        <v>294</v>
      </c>
      <c r="EE6" s="76">
        <v>1768</v>
      </c>
      <c r="EF6" s="76">
        <v>136428</v>
      </c>
      <c r="EG6" s="76">
        <v>87733</v>
      </c>
      <c r="EH6" s="76">
        <v>16983</v>
      </c>
      <c r="EI6" s="76">
        <v>31712</v>
      </c>
      <c r="EJ6" s="76">
        <v>160167</v>
      </c>
      <c r="EK6" s="76">
        <v>99283</v>
      </c>
      <c r="EL6" s="76">
        <v>28076</v>
      </c>
      <c r="EM6" s="76">
        <v>32808</v>
      </c>
      <c r="EN6" s="76">
        <v>7906</v>
      </c>
      <c r="EO6" s="76">
        <v>4228</v>
      </c>
      <c r="EP6" s="76">
        <v>2214</v>
      </c>
      <c r="EQ6" s="76">
        <v>4228</v>
      </c>
      <c r="ER6" s="76">
        <v>2816246</v>
      </c>
      <c r="ES6" s="76">
        <v>0</v>
      </c>
      <c r="ET6" s="76">
        <v>2816246</v>
      </c>
      <c r="EU6" s="76">
        <v>63643</v>
      </c>
      <c r="EV6" s="76">
        <v>-26343</v>
      </c>
      <c r="EW6" s="76">
        <v>0</v>
      </c>
      <c r="EX6" s="76">
        <v>0</v>
      </c>
      <c r="EY6" s="76">
        <v>-7873</v>
      </c>
      <c r="EZ6" s="76">
        <v>2845673</v>
      </c>
      <c r="FA6" s="76">
        <v>285610</v>
      </c>
      <c r="FB6" s="76">
        <v>29254</v>
      </c>
      <c r="FC6" s="76">
        <v>0</v>
      </c>
      <c r="FD6" s="76">
        <v>0</v>
      </c>
      <c r="FE6" s="76">
        <v>-3833</v>
      </c>
      <c r="FF6" s="76">
        <v>0</v>
      </c>
      <c r="FG6" s="76">
        <v>-142</v>
      </c>
      <c r="FH6" s="76">
        <v>310889</v>
      </c>
      <c r="FI6" s="76">
        <v>2534784</v>
      </c>
      <c r="FJ6" s="76">
        <v>2530636</v>
      </c>
      <c r="FK6" s="76">
        <v>29243</v>
      </c>
      <c r="FL6" s="76">
        <v>16828</v>
      </c>
      <c r="FM6" s="76">
        <v>12415</v>
      </c>
      <c r="FN6" s="76">
        <v>0</v>
      </c>
      <c r="FO6" s="76">
        <v>0</v>
      </c>
      <c r="FP6" s="76">
        <v>0</v>
      </c>
      <c r="FQ6" s="76">
        <v>0</v>
      </c>
      <c r="FR6" s="76">
        <v>0</v>
      </c>
      <c r="FS6" s="76">
        <v>0</v>
      </c>
      <c r="FT6" s="76">
        <v>4587</v>
      </c>
      <c r="FU6" s="76">
        <v>3612</v>
      </c>
      <c r="FV6" s="76">
        <v>975</v>
      </c>
      <c r="FW6" s="76">
        <v>5335</v>
      </c>
      <c r="FX6" s="76">
        <v>5479</v>
      </c>
      <c r="FY6" s="76">
        <v>-144</v>
      </c>
      <c r="FZ6" s="76">
        <v>1075</v>
      </c>
      <c r="GA6" s="76">
        <v>614</v>
      </c>
      <c r="GB6" s="76">
        <v>461</v>
      </c>
      <c r="GC6" s="76">
        <v>40240</v>
      </c>
      <c r="GD6" s="76">
        <v>26533</v>
      </c>
      <c r="GE6" s="76">
        <v>13707</v>
      </c>
      <c r="GF6" s="76">
        <v>0</v>
      </c>
      <c r="GG6" s="76">
        <v>0</v>
      </c>
      <c r="GH6" s="76">
        <v>0</v>
      </c>
      <c r="GI6" s="76">
        <v>0</v>
      </c>
      <c r="GJ6" s="76">
        <v>0</v>
      </c>
      <c r="GK6" s="76">
        <v>10418</v>
      </c>
      <c r="GL6" s="76">
        <v>10418</v>
      </c>
      <c r="GM6" s="76">
        <v>11046</v>
      </c>
      <c r="GN6" s="76">
        <v>11046</v>
      </c>
      <c r="GO6" s="76">
        <v>0</v>
      </c>
      <c r="GP6" s="76">
        <v>7609</v>
      </c>
      <c r="GQ6" s="76">
        <v>1346</v>
      </c>
      <c r="GR6" s="76">
        <v>33555</v>
      </c>
      <c r="GS6" s="76">
        <v>0</v>
      </c>
      <c r="GT6" s="76">
        <v>0</v>
      </c>
      <c r="GU6" s="76">
        <v>1675</v>
      </c>
      <c r="GV6" s="76">
        <v>0</v>
      </c>
      <c r="GW6" s="76">
        <v>18723</v>
      </c>
      <c r="GX6" s="76">
        <v>85000</v>
      </c>
      <c r="GY6" s="76">
        <v>14422</v>
      </c>
      <c r="GZ6" s="76">
        <v>3162</v>
      </c>
      <c r="HA6" s="76">
        <v>13216</v>
      </c>
      <c r="HB6" s="76">
        <v>19050</v>
      </c>
      <c r="HC6" s="76">
        <v>49850</v>
      </c>
      <c r="HD6" s="76">
        <v>0</v>
      </c>
      <c r="HE6" s="76">
        <v>4636</v>
      </c>
      <c r="HF6" s="76">
        <v>4636</v>
      </c>
      <c r="HG6" s="76">
        <v>66835</v>
      </c>
      <c r="HH6" s="76">
        <v>0</v>
      </c>
      <c r="HI6" s="76">
        <v>639</v>
      </c>
      <c r="HJ6" s="76">
        <v>146</v>
      </c>
      <c r="HK6" s="76">
        <v>2447</v>
      </c>
      <c r="HL6" s="76">
        <v>-14242</v>
      </c>
      <c r="HM6" s="76">
        <v>55825</v>
      </c>
      <c r="HN6" s="76">
        <v>9323</v>
      </c>
      <c r="HO6" s="76">
        <v>36433</v>
      </c>
      <c r="HP6" s="76">
        <v>0</v>
      </c>
      <c r="HQ6" s="76">
        <v>407</v>
      </c>
      <c r="HR6" s="76">
        <v>-101</v>
      </c>
      <c r="HS6" s="76">
        <v>142</v>
      </c>
      <c r="HT6" s="76">
        <v>34259</v>
      </c>
      <c r="HU6" s="76">
        <v>179</v>
      </c>
      <c r="HV6" s="76">
        <v>-25</v>
      </c>
      <c r="HW6" s="76">
        <v>7</v>
      </c>
      <c r="HX6" s="76">
        <v>2480</v>
      </c>
    </row>
    <row r="7" spans="1:232" x14ac:dyDescent="0.2">
      <c r="A7" s="74" t="s">
        <v>4</v>
      </c>
      <c r="B7" s="74" t="s">
        <v>3</v>
      </c>
      <c r="C7" s="75" t="s">
        <v>200</v>
      </c>
      <c r="D7" s="75">
        <v>12</v>
      </c>
      <c r="E7" s="76">
        <v>94152</v>
      </c>
      <c r="F7" s="76">
        <v>0</v>
      </c>
      <c r="G7" s="76">
        <v>-63119</v>
      </c>
      <c r="H7" s="76">
        <v>31033</v>
      </c>
      <c r="I7" s="76">
        <v>2338</v>
      </c>
      <c r="J7" s="76">
        <v>0</v>
      </c>
      <c r="K7" s="76">
        <v>0</v>
      </c>
      <c r="L7" s="76">
        <v>127</v>
      </c>
      <c r="M7" s="76">
        <v>231</v>
      </c>
      <c r="N7" s="76">
        <v>-17069</v>
      </c>
      <c r="O7" s="76">
        <v>0</v>
      </c>
      <c r="P7" s="76">
        <v>465</v>
      </c>
      <c r="Q7" s="76">
        <v>0</v>
      </c>
      <c r="R7" s="76">
        <v>0</v>
      </c>
      <c r="S7" s="76">
        <v>17125</v>
      </c>
      <c r="T7" s="76">
        <v>362</v>
      </c>
      <c r="U7" s="76">
        <v>17487</v>
      </c>
      <c r="V7" s="76">
        <v>0</v>
      </c>
      <c r="W7" s="76">
        <v>-5177</v>
      </c>
      <c r="X7" s="76">
        <v>0</v>
      </c>
      <c r="Y7" s="76">
        <v>0</v>
      </c>
      <c r="Z7" s="76">
        <v>12310</v>
      </c>
      <c r="AA7" s="76">
        <v>83478</v>
      </c>
      <c r="AB7" s="76">
        <v>7761</v>
      </c>
      <c r="AC7" s="76">
        <v>91239</v>
      </c>
      <c r="AD7" s="76">
        <v>0</v>
      </c>
      <c r="AE7" s="76">
        <v>720</v>
      </c>
      <c r="AF7" s="76">
        <v>0</v>
      </c>
      <c r="AG7" s="76">
        <v>0</v>
      </c>
      <c r="AH7" s="76">
        <v>91959</v>
      </c>
      <c r="AI7" s="76">
        <v>14731</v>
      </c>
      <c r="AJ7" s="76">
        <v>7671</v>
      </c>
      <c r="AK7" s="76">
        <v>16544</v>
      </c>
      <c r="AL7" s="76">
        <v>7145</v>
      </c>
      <c r="AM7" s="76">
        <v>0</v>
      </c>
      <c r="AN7" s="76">
        <v>133</v>
      </c>
      <c r="AO7" s="76">
        <v>11989</v>
      </c>
      <c r="AP7" s="76">
        <v>0</v>
      </c>
      <c r="AQ7" s="76">
        <v>1665</v>
      </c>
      <c r="AR7" s="76">
        <v>59878</v>
      </c>
      <c r="AS7" s="76">
        <v>32081</v>
      </c>
      <c r="AT7" s="76">
        <v>755</v>
      </c>
      <c r="AU7" s="76">
        <v>0</v>
      </c>
      <c r="AV7" s="76">
        <v>576743</v>
      </c>
      <c r="AW7" s="76">
        <v>10530</v>
      </c>
      <c r="AX7" s="76">
        <v>0</v>
      </c>
      <c r="AY7" s="76">
        <v>0</v>
      </c>
      <c r="AZ7" s="76">
        <v>1035</v>
      </c>
      <c r="BA7" s="76">
        <v>126</v>
      </c>
      <c r="BB7" s="76">
        <v>13</v>
      </c>
      <c r="BC7" s="76">
        <v>0</v>
      </c>
      <c r="BD7" s="76">
        <v>0</v>
      </c>
      <c r="BE7" s="76">
        <v>588447</v>
      </c>
      <c r="BF7" s="76">
        <v>1313</v>
      </c>
      <c r="BG7" s="76">
        <v>1859</v>
      </c>
      <c r="BH7" s="76">
        <v>20861</v>
      </c>
      <c r="BI7" s="76">
        <v>39739</v>
      </c>
      <c r="BJ7" s="76">
        <v>7083</v>
      </c>
      <c r="BK7" s="76">
        <v>70855</v>
      </c>
      <c r="BL7" s="76">
        <v>15893</v>
      </c>
      <c r="BM7" s="76">
        <v>0</v>
      </c>
      <c r="BN7" s="76">
        <v>22</v>
      </c>
      <c r="BO7" s="76">
        <v>23819</v>
      </c>
      <c r="BP7" s="76">
        <v>39734</v>
      </c>
      <c r="BQ7" s="76">
        <v>31121</v>
      </c>
      <c r="BR7" s="76">
        <v>619568</v>
      </c>
      <c r="BS7" s="76">
        <v>329658</v>
      </c>
      <c r="BT7" s="76">
        <v>0</v>
      </c>
      <c r="BU7" s="76">
        <v>104</v>
      </c>
      <c r="BV7" s="76">
        <v>877</v>
      </c>
      <c r="BW7" s="76">
        <v>0</v>
      </c>
      <c r="BX7" s="76">
        <v>3283</v>
      </c>
      <c r="BY7" s="76">
        <v>8506</v>
      </c>
      <c r="BZ7" s="76">
        <v>342428</v>
      </c>
      <c r="CA7" s="76">
        <v>25707</v>
      </c>
      <c r="CB7" s="76">
        <v>0</v>
      </c>
      <c r="CC7" s="76">
        <v>251433</v>
      </c>
      <c r="CD7" s="76">
        <v>187941</v>
      </c>
      <c r="CE7" s="76">
        <v>63492</v>
      </c>
      <c r="CF7" s="76">
        <v>0</v>
      </c>
      <c r="CG7" s="76">
        <v>0</v>
      </c>
      <c r="CH7" s="76">
        <v>0</v>
      </c>
      <c r="CI7" s="76">
        <v>251433</v>
      </c>
      <c r="CJ7" s="76">
        <v>0</v>
      </c>
      <c r="CK7" s="76">
        <v>0</v>
      </c>
      <c r="CL7" s="76">
        <v>0</v>
      </c>
      <c r="CM7" s="76">
        <v>0</v>
      </c>
      <c r="CN7" s="76">
        <v>227</v>
      </c>
      <c r="CO7" s="76">
        <v>0</v>
      </c>
      <c r="CP7" s="76">
        <v>234</v>
      </c>
      <c r="CQ7" s="76">
        <v>-7</v>
      </c>
      <c r="CR7" s="76">
        <v>0</v>
      </c>
      <c r="CS7" s="76">
        <v>0</v>
      </c>
      <c r="CT7" s="76">
        <v>0</v>
      </c>
      <c r="CU7" s="76">
        <v>0</v>
      </c>
      <c r="CV7" s="76">
        <v>0</v>
      </c>
      <c r="CW7" s="76">
        <v>0</v>
      </c>
      <c r="CX7" s="76">
        <v>0</v>
      </c>
      <c r="CY7" s="76">
        <v>0</v>
      </c>
      <c r="CZ7" s="76">
        <v>376</v>
      </c>
      <c r="DA7" s="76">
        <v>0</v>
      </c>
      <c r="DB7" s="76">
        <v>2258</v>
      </c>
      <c r="DC7" s="76">
        <v>-1882</v>
      </c>
      <c r="DD7" s="76">
        <v>603</v>
      </c>
      <c r="DE7" s="76">
        <v>0</v>
      </c>
      <c r="DF7" s="76">
        <v>2492</v>
      </c>
      <c r="DG7" s="76">
        <v>-1889</v>
      </c>
      <c r="DH7" s="76">
        <v>0</v>
      </c>
      <c r="DI7" s="76">
        <v>0</v>
      </c>
      <c r="DJ7" s="76">
        <v>0</v>
      </c>
      <c r="DK7" s="76">
        <v>0</v>
      </c>
      <c r="DL7" s="76">
        <v>0</v>
      </c>
      <c r="DM7" s="76">
        <v>0</v>
      </c>
      <c r="DN7" s="76">
        <v>0</v>
      </c>
      <c r="DO7" s="76">
        <v>0</v>
      </c>
      <c r="DP7" s="76">
        <v>0</v>
      </c>
      <c r="DQ7" s="76">
        <v>0</v>
      </c>
      <c r="DR7" s="76">
        <v>0</v>
      </c>
      <c r="DS7" s="76">
        <v>0</v>
      </c>
      <c r="DT7" s="76">
        <v>117</v>
      </c>
      <c r="DU7" s="76">
        <v>0</v>
      </c>
      <c r="DV7" s="76">
        <v>31</v>
      </c>
      <c r="DW7" s="76">
        <v>86</v>
      </c>
      <c r="DX7" s="76">
        <v>0</v>
      </c>
      <c r="DY7" s="76">
        <v>0</v>
      </c>
      <c r="DZ7" s="76">
        <v>0</v>
      </c>
      <c r="EA7" s="76">
        <v>0</v>
      </c>
      <c r="EB7" s="76">
        <v>1473</v>
      </c>
      <c r="EC7" s="76">
        <v>0</v>
      </c>
      <c r="ED7" s="76">
        <v>718</v>
      </c>
      <c r="EE7" s="76">
        <v>755</v>
      </c>
      <c r="EF7" s="76">
        <v>1590</v>
      </c>
      <c r="EG7" s="76">
        <v>0</v>
      </c>
      <c r="EH7" s="76">
        <v>749</v>
      </c>
      <c r="EI7" s="76">
        <v>841</v>
      </c>
      <c r="EJ7" s="76">
        <v>2193</v>
      </c>
      <c r="EK7" s="76">
        <v>0</v>
      </c>
      <c r="EL7" s="76">
        <v>3241</v>
      </c>
      <c r="EM7" s="76">
        <v>-1048</v>
      </c>
      <c r="EN7" s="76">
        <v>2495</v>
      </c>
      <c r="EO7" s="76">
        <v>1361</v>
      </c>
      <c r="EP7" s="76">
        <v>640</v>
      </c>
      <c r="EQ7" s="76">
        <v>1357</v>
      </c>
      <c r="ER7" s="76">
        <v>0</v>
      </c>
      <c r="ES7" s="76">
        <v>579930</v>
      </c>
      <c r="ET7" s="76">
        <v>579930</v>
      </c>
      <c r="EU7" s="76">
        <v>17919</v>
      </c>
      <c r="EV7" s="76">
        <v>-4042</v>
      </c>
      <c r="EW7" s="76">
        <v>0</v>
      </c>
      <c r="EX7" s="76">
        <v>0</v>
      </c>
      <c r="EY7" s="76">
        <v>-482</v>
      </c>
      <c r="EZ7" s="76">
        <v>593325</v>
      </c>
      <c r="FA7" s="76">
        <v>6856</v>
      </c>
      <c r="FB7" s="76">
        <v>11564</v>
      </c>
      <c r="FC7" s="76">
        <v>0</v>
      </c>
      <c r="FD7" s="76">
        <v>0</v>
      </c>
      <c r="FE7" s="76">
        <v>-1798</v>
      </c>
      <c r="FF7" s="76">
        <v>0</v>
      </c>
      <c r="FG7" s="76">
        <v>-40</v>
      </c>
      <c r="FH7" s="76">
        <v>16582</v>
      </c>
      <c r="FI7" s="76">
        <v>576743</v>
      </c>
      <c r="FJ7" s="76">
        <v>573074</v>
      </c>
      <c r="FK7" s="76">
        <v>2090</v>
      </c>
      <c r="FL7" s="76">
        <v>2224</v>
      </c>
      <c r="FM7" s="76">
        <v>-134</v>
      </c>
      <c r="FN7" s="76">
        <v>609</v>
      </c>
      <c r="FO7" s="76">
        <v>222</v>
      </c>
      <c r="FP7" s="76">
        <v>387</v>
      </c>
      <c r="FQ7" s="76">
        <v>628</v>
      </c>
      <c r="FR7" s="76">
        <v>311</v>
      </c>
      <c r="FS7" s="76">
        <v>317</v>
      </c>
      <c r="FT7" s="76">
        <v>3209</v>
      </c>
      <c r="FU7" s="76">
        <v>1441</v>
      </c>
      <c r="FV7" s="76">
        <v>1768</v>
      </c>
      <c r="FW7" s="76">
        <v>0</v>
      </c>
      <c r="FX7" s="76">
        <v>0</v>
      </c>
      <c r="FY7" s="76">
        <v>0</v>
      </c>
      <c r="FZ7" s="76">
        <v>0</v>
      </c>
      <c r="GA7" s="76">
        <v>0</v>
      </c>
      <c r="GB7" s="76">
        <v>0</v>
      </c>
      <c r="GC7" s="76">
        <v>6536</v>
      </c>
      <c r="GD7" s="76">
        <v>4198</v>
      </c>
      <c r="GE7" s="76">
        <v>2338</v>
      </c>
      <c r="GF7" s="76">
        <v>0</v>
      </c>
      <c r="GG7" s="76">
        <v>0</v>
      </c>
      <c r="GH7" s="76">
        <v>0</v>
      </c>
      <c r="GI7" s="76">
        <v>0</v>
      </c>
      <c r="GJ7" s="76">
        <v>0</v>
      </c>
      <c r="GK7" s="76">
        <v>7083</v>
      </c>
      <c r="GL7" s="76">
        <v>7083</v>
      </c>
      <c r="GM7" s="76">
        <v>3045</v>
      </c>
      <c r="GN7" s="76">
        <v>2510</v>
      </c>
      <c r="GO7" s="76">
        <v>0</v>
      </c>
      <c r="GP7" s="76">
        <v>734</v>
      </c>
      <c r="GQ7" s="76">
        <v>68</v>
      </c>
      <c r="GR7" s="76">
        <v>9597</v>
      </c>
      <c r="GS7" s="76">
        <v>6</v>
      </c>
      <c r="GT7" s="76">
        <v>0</v>
      </c>
      <c r="GU7" s="76">
        <v>338</v>
      </c>
      <c r="GV7" s="76">
        <v>0</v>
      </c>
      <c r="GW7" s="76">
        <v>7521</v>
      </c>
      <c r="GX7" s="76">
        <v>23819</v>
      </c>
      <c r="GY7" s="76">
        <v>2427</v>
      </c>
      <c r="GZ7" s="76">
        <v>369</v>
      </c>
      <c r="HA7" s="76">
        <v>2422</v>
      </c>
      <c r="HB7" s="76">
        <v>3288</v>
      </c>
      <c r="HC7" s="76">
        <v>8506</v>
      </c>
      <c r="HD7" s="76">
        <v>0</v>
      </c>
      <c r="HE7" s="76">
        <v>0</v>
      </c>
      <c r="HF7" s="76">
        <v>0</v>
      </c>
      <c r="HG7" s="76">
        <v>16242</v>
      </c>
      <c r="HH7" s="76">
        <v>123</v>
      </c>
      <c r="HI7" s="76">
        <v>799</v>
      </c>
      <c r="HJ7" s="76">
        <v>0</v>
      </c>
      <c r="HK7" s="76">
        <v>0</v>
      </c>
      <c r="HL7" s="76">
        <v>-95</v>
      </c>
      <c r="HM7" s="76">
        <v>17069</v>
      </c>
      <c r="HN7" s="76">
        <v>11129</v>
      </c>
      <c r="HO7" s="76">
        <v>13969</v>
      </c>
      <c r="HP7" s="76">
        <v>0</v>
      </c>
      <c r="HQ7" s="76">
        <v>39</v>
      </c>
      <c r="HR7" s="76">
        <v>-143</v>
      </c>
      <c r="HS7" s="76">
        <v>-80</v>
      </c>
      <c r="HT7" s="76">
        <v>19685</v>
      </c>
      <c r="HU7" s="76">
        <v>0</v>
      </c>
      <c r="HV7" s="76">
        <v>0</v>
      </c>
      <c r="HW7" s="76">
        <v>51</v>
      </c>
      <c r="HX7" s="76">
        <v>897</v>
      </c>
    </row>
    <row r="8" spans="1:232" x14ac:dyDescent="0.2">
      <c r="A8" s="74" t="s">
        <v>213</v>
      </c>
      <c r="B8" s="74" t="s">
        <v>214</v>
      </c>
      <c r="C8" s="75" t="s">
        <v>200</v>
      </c>
      <c r="D8" s="75">
        <v>12</v>
      </c>
      <c r="E8" s="76">
        <v>113845</v>
      </c>
      <c r="F8" s="76">
        <v>-377</v>
      </c>
      <c r="G8" s="76">
        <v>-90005</v>
      </c>
      <c r="H8" s="76">
        <v>23463</v>
      </c>
      <c r="I8" s="76">
        <v>1011</v>
      </c>
      <c r="J8" s="76">
        <v>0</v>
      </c>
      <c r="K8" s="76">
        <v>0</v>
      </c>
      <c r="L8" s="76">
        <v>0</v>
      </c>
      <c r="M8" s="76">
        <v>23</v>
      </c>
      <c r="N8" s="76">
        <v>-15727</v>
      </c>
      <c r="O8" s="76">
        <v>0</v>
      </c>
      <c r="P8" s="76">
        <v>0</v>
      </c>
      <c r="Q8" s="76">
        <v>0</v>
      </c>
      <c r="R8" s="76">
        <v>0</v>
      </c>
      <c r="S8" s="76">
        <v>8770</v>
      </c>
      <c r="T8" s="76">
        <v>-83</v>
      </c>
      <c r="U8" s="76">
        <v>8687</v>
      </c>
      <c r="V8" s="76">
        <v>0</v>
      </c>
      <c r="W8" s="76">
        <v>-239</v>
      </c>
      <c r="X8" s="76">
        <v>0</v>
      </c>
      <c r="Y8" s="76">
        <v>0</v>
      </c>
      <c r="Z8" s="76">
        <v>8448</v>
      </c>
      <c r="AA8" s="76">
        <v>49239</v>
      </c>
      <c r="AB8" s="76">
        <v>20298</v>
      </c>
      <c r="AC8" s="76">
        <v>69537</v>
      </c>
      <c r="AD8" s="76">
        <v>2237</v>
      </c>
      <c r="AE8" s="76">
        <v>0</v>
      </c>
      <c r="AF8" s="76">
        <v>0</v>
      </c>
      <c r="AG8" s="76">
        <v>0</v>
      </c>
      <c r="AH8" s="76">
        <v>71774</v>
      </c>
      <c r="AI8" s="76">
        <v>8941</v>
      </c>
      <c r="AJ8" s="76">
        <v>19691</v>
      </c>
      <c r="AK8" s="76">
        <v>8051</v>
      </c>
      <c r="AL8" s="76">
        <v>2867</v>
      </c>
      <c r="AM8" s="76">
        <v>0</v>
      </c>
      <c r="AN8" s="76">
        <v>506</v>
      </c>
      <c r="AO8" s="76">
        <v>7437</v>
      </c>
      <c r="AP8" s="76">
        <v>0</v>
      </c>
      <c r="AQ8" s="76">
        <v>0</v>
      </c>
      <c r="AR8" s="76">
        <v>47493</v>
      </c>
      <c r="AS8" s="76">
        <v>24281</v>
      </c>
      <c r="AT8" s="76">
        <v>1101</v>
      </c>
      <c r="AU8" s="76">
        <v>802929</v>
      </c>
      <c r="AV8" s="76">
        <v>0</v>
      </c>
      <c r="AW8" s="76">
        <v>8418</v>
      </c>
      <c r="AX8" s="76">
        <v>22605</v>
      </c>
      <c r="AY8" s="76">
        <v>0</v>
      </c>
      <c r="AZ8" s="76">
        <v>0</v>
      </c>
      <c r="BA8" s="76">
        <v>0</v>
      </c>
      <c r="BB8" s="76">
        <v>70</v>
      </c>
      <c r="BC8" s="76">
        <v>0</v>
      </c>
      <c r="BD8" s="76">
        <v>0</v>
      </c>
      <c r="BE8" s="76">
        <v>834022</v>
      </c>
      <c r="BF8" s="76">
        <v>905</v>
      </c>
      <c r="BG8" s="76">
        <v>1757</v>
      </c>
      <c r="BH8" s="76">
        <v>8249</v>
      </c>
      <c r="BI8" s="76">
        <v>0</v>
      </c>
      <c r="BJ8" s="76">
        <v>16612</v>
      </c>
      <c r="BK8" s="76">
        <v>27523</v>
      </c>
      <c r="BL8" s="76">
        <v>13101</v>
      </c>
      <c r="BM8" s="76">
        <v>1368</v>
      </c>
      <c r="BN8" s="76">
        <v>2498</v>
      </c>
      <c r="BO8" s="76">
        <v>19764</v>
      </c>
      <c r="BP8" s="76">
        <v>36731</v>
      </c>
      <c r="BQ8" s="76">
        <v>-9208</v>
      </c>
      <c r="BR8" s="76">
        <v>824814</v>
      </c>
      <c r="BS8" s="76">
        <v>397064</v>
      </c>
      <c r="BT8" s="76">
        <v>0</v>
      </c>
      <c r="BU8" s="76">
        <v>0</v>
      </c>
      <c r="BV8" s="76">
        <v>281463</v>
      </c>
      <c r="BW8" s="76">
        <v>0</v>
      </c>
      <c r="BX8" s="76">
        <v>0</v>
      </c>
      <c r="BY8" s="76">
        <v>9134</v>
      </c>
      <c r="BZ8" s="76">
        <v>687661</v>
      </c>
      <c r="CA8" s="76">
        <v>0</v>
      </c>
      <c r="CB8" s="76">
        <v>372</v>
      </c>
      <c r="CC8" s="76">
        <v>136781</v>
      </c>
      <c r="CD8" s="76">
        <v>136781</v>
      </c>
      <c r="CE8" s="76">
        <v>0</v>
      </c>
      <c r="CF8" s="76">
        <v>0</v>
      </c>
      <c r="CG8" s="76">
        <v>0</v>
      </c>
      <c r="CH8" s="76">
        <v>0</v>
      </c>
      <c r="CI8" s="76">
        <v>136781</v>
      </c>
      <c r="CJ8" s="76">
        <v>416</v>
      </c>
      <c r="CK8" s="76">
        <v>377</v>
      </c>
      <c r="CL8" s="76">
        <v>0</v>
      </c>
      <c r="CM8" s="76">
        <v>39</v>
      </c>
      <c r="CN8" s="76">
        <v>1391</v>
      </c>
      <c r="CO8" s="76">
        <v>0</v>
      </c>
      <c r="CP8" s="76">
        <v>1345</v>
      </c>
      <c r="CQ8" s="76">
        <v>46</v>
      </c>
      <c r="CR8" s="76">
        <v>0</v>
      </c>
      <c r="CS8" s="76">
        <v>0</v>
      </c>
      <c r="CT8" s="76">
        <v>0</v>
      </c>
      <c r="CU8" s="76">
        <v>0</v>
      </c>
      <c r="CV8" s="76">
        <v>0</v>
      </c>
      <c r="CW8" s="76">
        <v>0</v>
      </c>
      <c r="CX8" s="76">
        <v>0</v>
      </c>
      <c r="CY8" s="76">
        <v>0</v>
      </c>
      <c r="CZ8" s="76">
        <v>1008</v>
      </c>
      <c r="DA8" s="76">
        <v>0</v>
      </c>
      <c r="DB8" s="76">
        <v>608</v>
      </c>
      <c r="DC8" s="76">
        <v>400</v>
      </c>
      <c r="DD8" s="76">
        <v>2815</v>
      </c>
      <c r="DE8" s="76">
        <v>377</v>
      </c>
      <c r="DF8" s="76">
        <v>1953</v>
      </c>
      <c r="DG8" s="76">
        <v>485</v>
      </c>
      <c r="DH8" s="76">
        <v>0</v>
      </c>
      <c r="DI8" s="76">
        <v>0</v>
      </c>
      <c r="DJ8" s="76">
        <v>0</v>
      </c>
      <c r="DK8" s="76">
        <v>0</v>
      </c>
      <c r="DL8" s="76">
        <v>0</v>
      </c>
      <c r="DM8" s="76">
        <v>0</v>
      </c>
      <c r="DN8" s="76">
        <v>0</v>
      </c>
      <c r="DO8" s="76">
        <v>0</v>
      </c>
      <c r="DP8" s="76">
        <v>884</v>
      </c>
      <c r="DQ8" s="76">
        <v>0</v>
      </c>
      <c r="DR8" s="76">
        <v>845</v>
      </c>
      <c r="DS8" s="76">
        <v>39</v>
      </c>
      <c r="DT8" s="76">
        <v>63</v>
      </c>
      <c r="DU8" s="76">
        <v>0</v>
      </c>
      <c r="DV8" s="76">
        <v>213</v>
      </c>
      <c r="DW8" s="76">
        <v>-150</v>
      </c>
      <c r="DX8" s="76">
        <v>0</v>
      </c>
      <c r="DY8" s="76">
        <v>0</v>
      </c>
      <c r="DZ8" s="76">
        <v>0</v>
      </c>
      <c r="EA8" s="76">
        <v>0</v>
      </c>
      <c r="EB8" s="76">
        <v>38309</v>
      </c>
      <c r="EC8" s="76">
        <v>0</v>
      </c>
      <c r="ED8" s="76">
        <v>39501</v>
      </c>
      <c r="EE8" s="76">
        <v>-1192</v>
      </c>
      <c r="EF8" s="76">
        <v>39256</v>
      </c>
      <c r="EG8" s="76">
        <v>0</v>
      </c>
      <c r="EH8" s="76">
        <v>40559</v>
      </c>
      <c r="EI8" s="76">
        <v>-1303</v>
      </c>
      <c r="EJ8" s="76">
        <v>42071</v>
      </c>
      <c r="EK8" s="76">
        <v>377</v>
      </c>
      <c r="EL8" s="76">
        <v>42512</v>
      </c>
      <c r="EM8" s="76">
        <v>-818</v>
      </c>
      <c r="EN8" s="76">
        <v>1757</v>
      </c>
      <c r="EO8" s="76">
        <v>1661</v>
      </c>
      <c r="EP8" s="76">
        <v>0</v>
      </c>
      <c r="EQ8" s="76">
        <v>1661</v>
      </c>
      <c r="ER8" s="76">
        <v>842785</v>
      </c>
      <c r="ES8" s="76">
        <v>0</v>
      </c>
      <c r="ET8" s="76">
        <v>842785</v>
      </c>
      <c r="EU8" s="76">
        <v>39443</v>
      </c>
      <c r="EV8" s="76">
        <v>-4488</v>
      </c>
      <c r="EW8" s="76">
        <v>0</v>
      </c>
      <c r="EX8" s="76">
        <v>0</v>
      </c>
      <c r="EY8" s="76">
        <v>-158</v>
      </c>
      <c r="EZ8" s="76">
        <v>877582</v>
      </c>
      <c r="FA8" s="76">
        <v>68525</v>
      </c>
      <c r="FB8" s="76">
        <v>7279</v>
      </c>
      <c r="FC8" s="76">
        <v>0</v>
      </c>
      <c r="FD8" s="76">
        <v>0</v>
      </c>
      <c r="FE8" s="76">
        <v>-1151</v>
      </c>
      <c r="FF8" s="76">
        <v>0</v>
      </c>
      <c r="FG8" s="76">
        <v>0</v>
      </c>
      <c r="FH8" s="76">
        <v>74653</v>
      </c>
      <c r="FI8" s="76">
        <v>802929</v>
      </c>
      <c r="FJ8" s="76">
        <v>774260</v>
      </c>
      <c r="FK8" s="76">
        <v>755</v>
      </c>
      <c r="FL8" s="76">
        <v>624</v>
      </c>
      <c r="FM8" s="76">
        <v>131</v>
      </c>
      <c r="FN8" s="76">
        <v>0</v>
      </c>
      <c r="FO8" s="76">
        <v>0</v>
      </c>
      <c r="FP8" s="76">
        <v>0</v>
      </c>
      <c r="FQ8" s="76">
        <v>316</v>
      </c>
      <c r="FR8" s="76">
        <v>281</v>
      </c>
      <c r="FS8" s="76">
        <v>35</v>
      </c>
      <c r="FT8" s="76">
        <v>3443</v>
      </c>
      <c r="FU8" s="76">
        <v>2598</v>
      </c>
      <c r="FV8" s="76">
        <v>845</v>
      </c>
      <c r="FW8" s="76">
        <v>0</v>
      </c>
      <c r="FX8" s="76">
        <v>0</v>
      </c>
      <c r="FY8" s="76">
        <v>0</v>
      </c>
      <c r="FZ8" s="76">
        <v>0</v>
      </c>
      <c r="GA8" s="76">
        <v>0</v>
      </c>
      <c r="GB8" s="76">
        <v>0</v>
      </c>
      <c r="GC8" s="76">
        <v>4514</v>
      </c>
      <c r="GD8" s="76">
        <v>3503</v>
      </c>
      <c r="GE8" s="76">
        <v>1011</v>
      </c>
      <c r="GF8" s="76">
        <v>0</v>
      </c>
      <c r="GG8" s="76">
        <v>0</v>
      </c>
      <c r="GH8" s="76">
        <v>1584</v>
      </c>
      <c r="GI8" s="76">
        <v>0</v>
      </c>
      <c r="GJ8" s="76">
        <v>0</v>
      </c>
      <c r="GK8" s="76">
        <v>15028</v>
      </c>
      <c r="GL8" s="76">
        <v>16612</v>
      </c>
      <c r="GM8" s="76">
        <v>8335</v>
      </c>
      <c r="GN8" s="76">
        <v>1362</v>
      </c>
      <c r="GO8" s="76">
        <v>0</v>
      </c>
      <c r="GP8" s="76">
        <v>0</v>
      </c>
      <c r="GQ8" s="76">
        <v>29</v>
      </c>
      <c r="GR8" s="76">
        <v>2347</v>
      </c>
      <c r="GS8" s="76">
        <v>0</v>
      </c>
      <c r="GT8" s="76">
        <v>0</v>
      </c>
      <c r="GU8" s="76">
        <v>1025</v>
      </c>
      <c r="GV8" s="76">
        <v>0</v>
      </c>
      <c r="GW8" s="76">
        <v>6666</v>
      </c>
      <c r="GX8" s="76">
        <v>19764</v>
      </c>
      <c r="GY8" s="76">
        <v>1945</v>
      </c>
      <c r="GZ8" s="76">
        <v>135</v>
      </c>
      <c r="HA8" s="76">
        <v>7054</v>
      </c>
      <c r="HB8" s="76">
        <v>0</v>
      </c>
      <c r="HC8" s="76">
        <v>9134</v>
      </c>
      <c r="HD8" s="76">
        <v>0</v>
      </c>
      <c r="HE8" s="76">
        <v>372</v>
      </c>
      <c r="HF8" s="76">
        <v>372</v>
      </c>
      <c r="HG8" s="76">
        <v>16900</v>
      </c>
      <c r="HH8" s="76">
        <v>0</v>
      </c>
      <c r="HI8" s="76">
        <v>430</v>
      </c>
      <c r="HJ8" s="76">
        <v>0</v>
      </c>
      <c r="HK8" s="76">
        <v>-186</v>
      </c>
      <c r="HL8" s="76">
        <v>-1417</v>
      </c>
      <c r="HM8" s="76">
        <v>15727</v>
      </c>
      <c r="HN8" s="76">
        <v>4779</v>
      </c>
      <c r="HO8" s="76">
        <v>8935</v>
      </c>
      <c r="HP8" s="76">
        <v>0</v>
      </c>
      <c r="HQ8" s="76">
        <v>187</v>
      </c>
      <c r="HR8" s="76">
        <v>-74</v>
      </c>
      <c r="HS8" s="76">
        <v>-4</v>
      </c>
      <c r="HT8" s="76">
        <v>12280</v>
      </c>
      <c r="HU8" s="76">
        <v>0</v>
      </c>
      <c r="HV8" s="76">
        <v>0</v>
      </c>
      <c r="HW8" s="76">
        <v>-26</v>
      </c>
      <c r="HX8" s="76">
        <v>34</v>
      </c>
    </row>
    <row r="9" spans="1:232" x14ac:dyDescent="0.2">
      <c r="A9" s="74" t="s">
        <v>216</v>
      </c>
      <c r="B9" s="74" t="s">
        <v>217</v>
      </c>
      <c r="C9" s="75" t="s">
        <v>200</v>
      </c>
      <c r="D9" s="75">
        <v>12</v>
      </c>
      <c r="E9" s="76">
        <v>33666</v>
      </c>
      <c r="F9" s="76">
        <v>-2614</v>
      </c>
      <c r="G9" s="76">
        <v>-20125</v>
      </c>
      <c r="H9" s="76">
        <v>10927</v>
      </c>
      <c r="I9" s="76">
        <v>359</v>
      </c>
      <c r="J9" s="76">
        <v>0</v>
      </c>
      <c r="K9" s="76">
        <v>0</v>
      </c>
      <c r="L9" s="76">
        <v>0</v>
      </c>
      <c r="M9" s="76">
        <v>81</v>
      </c>
      <c r="N9" s="76">
        <v>-6178</v>
      </c>
      <c r="O9" s="76">
        <v>0</v>
      </c>
      <c r="P9" s="76">
        <v>0</v>
      </c>
      <c r="Q9" s="76">
        <v>0</v>
      </c>
      <c r="R9" s="76">
        <v>0</v>
      </c>
      <c r="S9" s="76">
        <v>5189</v>
      </c>
      <c r="T9" s="76">
        <v>-87</v>
      </c>
      <c r="U9" s="76">
        <v>5102</v>
      </c>
      <c r="V9" s="76">
        <v>0</v>
      </c>
      <c r="W9" s="76">
        <v>-120</v>
      </c>
      <c r="X9" s="76">
        <v>0</v>
      </c>
      <c r="Y9" s="76">
        <v>0</v>
      </c>
      <c r="Z9" s="76">
        <v>4982</v>
      </c>
      <c r="AA9" s="76">
        <v>22952</v>
      </c>
      <c r="AB9" s="76">
        <v>469</v>
      </c>
      <c r="AC9" s="76">
        <v>23421</v>
      </c>
      <c r="AD9" s="76">
        <v>701</v>
      </c>
      <c r="AE9" s="76">
        <v>0</v>
      </c>
      <c r="AF9" s="76">
        <v>0</v>
      </c>
      <c r="AG9" s="76">
        <v>0</v>
      </c>
      <c r="AH9" s="76">
        <v>24122</v>
      </c>
      <c r="AI9" s="76">
        <v>2404</v>
      </c>
      <c r="AJ9" s="76">
        <v>701</v>
      </c>
      <c r="AK9" s="76">
        <v>3939</v>
      </c>
      <c r="AL9" s="76">
        <v>909</v>
      </c>
      <c r="AM9" s="76">
        <v>1251</v>
      </c>
      <c r="AN9" s="76">
        <v>151</v>
      </c>
      <c r="AO9" s="76">
        <v>4755</v>
      </c>
      <c r="AP9" s="76">
        <v>0</v>
      </c>
      <c r="AQ9" s="76">
        <v>2888</v>
      </c>
      <c r="AR9" s="76">
        <v>16998</v>
      </c>
      <c r="AS9" s="76">
        <v>7124</v>
      </c>
      <c r="AT9" s="76">
        <v>369</v>
      </c>
      <c r="AU9" s="76">
        <v>210243</v>
      </c>
      <c r="AV9" s="76">
        <v>0</v>
      </c>
      <c r="AW9" s="76">
        <v>1519</v>
      </c>
      <c r="AX9" s="76">
        <v>0</v>
      </c>
      <c r="AY9" s="76">
        <v>0</v>
      </c>
      <c r="AZ9" s="76">
        <v>0</v>
      </c>
      <c r="BA9" s="76">
        <v>0</v>
      </c>
      <c r="BB9" s="76">
        <v>0</v>
      </c>
      <c r="BC9" s="76">
        <v>0</v>
      </c>
      <c r="BD9" s="76">
        <v>0</v>
      </c>
      <c r="BE9" s="76">
        <v>211762</v>
      </c>
      <c r="BF9" s="76">
        <v>1554</v>
      </c>
      <c r="BG9" s="76">
        <v>292</v>
      </c>
      <c r="BH9" s="76">
        <v>23965</v>
      </c>
      <c r="BI9" s="76">
        <v>0</v>
      </c>
      <c r="BJ9" s="76">
        <v>688</v>
      </c>
      <c r="BK9" s="76">
        <v>26499</v>
      </c>
      <c r="BL9" s="76">
        <v>5700</v>
      </c>
      <c r="BM9" s="76">
        <v>0</v>
      </c>
      <c r="BN9" s="76">
        <v>707</v>
      </c>
      <c r="BO9" s="76">
        <v>11970</v>
      </c>
      <c r="BP9" s="76">
        <v>18377</v>
      </c>
      <c r="BQ9" s="76">
        <v>8122</v>
      </c>
      <c r="BR9" s="76">
        <v>219884</v>
      </c>
      <c r="BS9" s="76">
        <v>155000</v>
      </c>
      <c r="BT9" s="76">
        <v>0</v>
      </c>
      <c r="BU9" s="76">
        <v>0</v>
      </c>
      <c r="BV9" s="76">
        <v>30938</v>
      </c>
      <c r="BW9" s="76">
        <v>0</v>
      </c>
      <c r="BX9" s="76">
        <v>0</v>
      </c>
      <c r="BY9" s="76">
        <v>2232</v>
      </c>
      <c r="BZ9" s="76">
        <v>188170</v>
      </c>
      <c r="CA9" s="76">
        <v>1520</v>
      </c>
      <c r="CB9" s="76">
        <v>0</v>
      </c>
      <c r="CC9" s="76">
        <v>30194</v>
      </c>
      <c r="CD9" s="76">
        <v>30194</v>
      </c>
      <c r="CE9" s="76">
        <v>0</v>
      </c>
      <c r="CF9" s="76">
        <v>0</v>
      </c>
      <c r="CG9" s="76">
        <v>0</v>
      </c>
      <c r="CH9" s="76">
        <v>0</v>
      </c>
      <c r="CI9" s="76">
        <v>30194</v>
      </c>
      <c r="CJ9" s="76">
        <v>1394</v>
      </c>
      <c r="CK9" s="76">
        <v>959</v>
      </c>
      <c r="CL9" s="76">
        <v>0</v>
      </c>
      <c r="CM9" s="76">
        <v>435</v>
      </c>
      <c r="CN9" s="76">
        <v>0</v>
      </c>
      <c r="CO9" s="76">
        <v>0</v>
      </c>
      <c r="CP9" s="76">
        <v>0</v>
      </c>
      <c r="CQ9" s="76">
        <v>0</v>
      </c>
      <c r="CR9" s="76">
        <v>0</v>
      </c>
      <c r="CS9" s="76">
        <v>0</v>
      </c>
      <c r="CT9" s="76">
        <v>0</v>
      </c>
      <c r="CU9" s="76">
        <v>0</v>
      </c>
      <c r="CV9" s="76">
        <v>0</v>
      </c>
      <c r="CW9" s="76">
        <v>0</v>
      </c>
      <c r="CX9" s="76">
        <v>0</v>
      </c>
      <c r="CY9" s="76">
        <v>0</v>
      </c>
      <c r="CZ9" s="76">
        <v>0</v>
      </c>
      <c r="DA9" s="76">
        <v>0</v>
      </c>
      <c r="DB9" s="76">
        <v>2</v>
      </c>
      <c r="DC9" s="76">
        <v>-2</v>
      </c>
      <c r="DD9" s="76">
        <v>1394</v>
      </c>
      <c r="DE9" s="76">
        <v>959</v>
      </c>
      <c r="DF9" s="76">
        <v>2</v>
      </c>
      <c r="DG9" s="76">
        <v>433</v>
      </c>
      <c r="DH9" s="76">
        <v>2117</v>
      </c>
      <c r="DI9" s="76">
        <v>1655</v>
      </c>
      <c r="DJ9" s="76">
        <v>0</v>
      </c>
      <c r="DK9" s="76">
        <v>462</v>
      </c>
      <c r="DL9" s="76">
        <v>4960</v>
      </c>
      <c r="DM9" s="76">
        <v>0</v>
      </c>
      <c r="DN9" s="76">
        <v>2946</v>
      </c>
      <c r="DO9" s="76">
        <v>2014</v>
      </c>
      <c r="DP9" s="76">
        <v>0</v>
      </c>
      <c r="DQ9" s="76">
        <v>0</v>
      </c>
      <c r="DR9" s="76">
        <v>0</v>
      </c>
      <c r="DS9" s="76">
        <v>0</v>
      </c>
      <c r="DT9" s="76">
        <v>259</v>
      </c>
      <c r="DU9" s="76">
        <v>0</v>
      </c>
      <c r="DV9" s="76">
        <v>138</v>
      </c>
      <c r="DW9" s="76">
        <v>121</v>
      </c>
      <c r="DX9" s="76">
        <v>0</v>
      </c>
      <c r="DY9" s="76">
        <v>0</v>
      </c>
      <c r="DZ9" s="76">
        <v>0</v>
      </c>
      <c r="EA9" s="76">
        <v>0</v>
      </c>
      <c r="EB9" s="76">
        <v>814</v>
      </c>
      <c r="EC9" s="76">
        <v>0</v>
      </c>
      <c r="ED9" s="76">
        <v>41</v>
      </c>
      <c r="EE9" s="76">
        <v>773</v>
      </c>
      <c r="EF9" s="76">
        <v>8150</v>
      </c>
      <c r="EG9" s="76">
        <v>1655</v>
      </c>
      <c r="EH9" s="76">
        <v>3125</v>
      </c>
      <c r="EI9" s="76">
        <v>3370</v>
      </c>
      <c r="EJ9" s="76">
        <v>9544</v>
      </c>
      <c r="EK9" s="76">
        <v>2614</v>
      </c>
      <c r="EL9" s="76">
        <v>3127</v>
      </c>
      <c r="EM9" s="76">
        <v>3803</v>
      </c>
      <c r="EN9" s="76">
        <v>643</v>
      </c>
      <c r="EO9" s="76">
        <v>43</v>
      </c>
      <c r="EP9" s="76">
        <v>351</v>
      </c>
      <c r="EQ9" s="76">
        <v>43</v>
      </c>
      <c r="ER9" s="76">
        <v>239858</v>
      </c>
      <c r="ES9" s="76">
        <v>0</v>
      </c>
      <c r="ET9" s="76">
        <v>239858</v>
      </c>
      <c r="EU9" s="76">
        <v>11774</v>
      </c>
      <c r="EV9" s="76">
        <v>-1733</v>
      </c>
      <c r="EW9" s="76">
        <v>0</v>
      </c>
      <c r="EX9" s="76">
        <v>0</v>
      </c>
      <c r="EY9" s="76">
        <v>-60</v>
      </c>
      <c r="EZ9" s="76">
        <v>249839</v>
      </c>
      <c r="FA9" s="76">
        <v>34678</v>
      </c>
      <c r="FB9" s="76">
        <v>5433</v>
      </c>
      <c r="FC9" s="76">
        <v>0</v>
      </c>
      <c r="FD9" s="76">
        <v>0</v>
      </c>
      <c r="FE9" s="76">
        <v>-515</v>
      </c>
      <c r="FF9" s="76">
        <v>0</v>
      </c>
      <c r="FG9" s="76">
        <v>0</v>
      </c>
      <c r="FH9" s="76">
        <v>39596</v>
      </c>
      <c r="FI9" s="76">
        <v>210243</v>
      </c>
      <c r="FJ9" s="76">
        <v>205180</v>
      </c>
      <c r="FK9" s="76">
        <v>274</v>
      </c>
      <c r="FL9" s="76">
        <v>172</v>
      </c>
      <c r="FM9" s="76">
        <v>102</v>
      </c>
      <c r="FN9" s="76">
        <v>314</v>
      </c>
      <c r="FO9" s="76">
        <v>248</v>
      </c>
      <c r="FP9" s="76">
        <v>66</v>
      </c>
      <c r="FQ9" s="76">
        <v>96</v>
      </c>
      <c r="FR9" s="76">
        <v>83</v>
      </c>
      <c r="FS9" s="76">
        <v>13</v>
      </c>
      <c r="FT9" s="76">
        <v>192</v>
      </c>
      <c r="FU9" s="76">
        <v>14</v>
      </c>
      <c r="FV9" s="76">
        <v>178</v>
      </c>
      <c r="FW9" s="76">
        <v>0</v>
      </c>
      <c r="FX9" s="76">
        <v>0</v>
      </c>
      <c r="FY9" s="76">
        <v>0</v>
      </c>
      <c r="FZ9" s="76">
        <v>0</v>
      </c>
      <c r="GA9" s="76">
        <v>0</v>
      </c>
      <c r="GB9" s="76">
        <v>0</v>
      </c>
      <c r="GC9" s="76">
        <v>876</v>
      </c>
      <c r="GD9" s="76">
        <v>517</v>
      </c>
      <c r="GE9" s="76">
        <v>359</v>
      </c>
      <c r="GF9" s="76">
        <v>0</v>
      </c>
      <c r="GG9" s="76">
        <v>35</v>
      </c>
      <c r="GH9" s="76">
        <v>0</v>
      </c>
      <c r="GI9" s="76">
        <v>0</v>
      </c>
      <c r="GJ9" s="76">
        <v>0</v>
      </c>
      <c r="GK9" s="76">
        <v>653</v>
      </c>
      <c r="GL9" s="76">
        <v>688</v>
      </c>
      <c r="GM9" s="76">
        <v>2431</v>
      </c>
      <c r="GN9" s="76">
        <v>570</v>
      </c>
      <c r="GO9" s="76">
        <v>0</v>
      </c>
      <c r="GP9" s="76">
        <v>178</v>
      </c>
      <c r="GQ9" s="76">
        <v>169</v>
      </c>
      <c r="GR9" s="76">
        <v>1639</v>
      </c>
      <c r="GS9" s="76">
        <v>0</v>
      </c>
      <c r="GT9" s="76">
        <v>0</v>
      </c>
      <c r="GU9" s="76">
        <v>5875</v>
      </c>
      <c r="GV9" s="76">
        <v>0</v>
      </c>
      <c r="GW9" s="76">
        <v>1108</v>
      </c>
      <c r="GX9" s="76">
        <v>11970</v>
      </c>
      <c r="GY9" s="76">
        <v>18</v>
      </c>
      <c r="GZ9" s="76">
        <v>380</v>
      </c>
      <c r="HA9" s="76">
        <v>0</v>
      </c>
      <c r="HB9" s="76">
        <v>1834</v>
      </c>
      <c r="HC9" s="76">
        <v>2232</v>
      </c>
      <c r="HD9" s="76">
        <v>0</v>
      </c>
      <c r="HE9" s="76">
        <v>0</v>
      </c>
      <c r="HF9" s="76">
        <v>0</v>
      </c>
      <c r="HG9" s="76">
        <v>6420</v>
      </c>
      <c r="HH9" s="76">
        <v>-350</v>
      </c>
      <c r="HI9" s="76">
        <v>150</v>
      </c>
      <c r="HJ9" s="76">
        <v>0</v>
      </c>
      <c r="HK9" s="76">
        <v>0</v>
      </c>
      <c r="HL9" s="76">
        <v>-42</v>
      </c>
      <c r="HM9" s="76">
        <v>6178</v>
      </c>
      <c r="HN9" s="76">
        <v>3934</v>
      </c>
      <c r="HO9" s="76">
        <v>5647</v>
      </c>
      <c r="HP9" s="76">
        <v>0</v>
      </c>
      <c r="HQ9" s="76">
        <v>127</v>
      </c>
      <c r="HR9" s="76">
        <v>-16</v>
      </c>
      <c r="HS9" s="76">
        <v>-10</v>
      </c>
      <c r="HT9" s="76">
        <v>5688</v>
      </c>
      <c r="HU9" s="76">
        <v>0</v>
      </c>
      <c r="HV9" s="76">
        <v>0</v>
      </c>
      <c r="HW9" s="76">
        <v>0</v>
      </c>
      <c r="HX9" s="76">
        <v>1112</v>
      </c>
    </row>
    <row r="10" spans="1:232" x14ac:dyDescent="0.2">
      <c r="A10" s="74" t="s">
        <v>219</v>
      </c>
      <c r="B10" s="74" t="s">
        <v>220</v>
      </c>
      <c r="C10" s="75" t="s">
        <v>200</v>
      </c>
      <c r="D10" s="75">
        <v>12</v>
      </c>
      <c r="E10" s="76">
        <v>68678</v>
      </c>
      <c r="F10" s="76">
        <v>-3296</v>
      </c>
      <c r="G10" s="76">
        <v>-37127</v>
      </c>
      <c r="H10" s="76">
        <v>28255</v>
      </c>
      <c r="I10" s="76">
        <v>1731</v>
      </c>
      <c r="J10" s="76">
        <v>0</v>
      </c>
      <c r="K10" s="76">
        <v>0</v>
      </c>
      <c r="L10" s="76">
        <v>0</v>
      </c>
      <c r="M10" s="76">
        <v>157</v>
      </c>
      <c r="N10" s="76">
        <v>-11603</v>
      </c>
      <c r="O10" s="76">
        <v>0</v>
      </c>
      <c r="P10" s="76">
        <v>0</v>
      </c>
      <c r="Q10" s="76">
        <v>0</v>
      </c>
      <c r="R10" s="76">
        <v>0</v>
      </c>
      <c r="S10" s="76">
        <v>18540</v>
      </c>
      <c r="T10" s="76">
        <v>-104</v>
      </c>
      <c r="U10" s="76">
        <v>18436</v>
      </c>
      <c r="V10" s="76">
        <v>0</v>
      </c>
      <c r="W10" s="76">
        <v>-1196</v>
      </c>
      <c r="X10" s="76">
        <v>0</v>
      </c>
      <c r="Y10" s="76">
        <v>0</v>
      </c>
      <c r="Z10" s="76">
        <v>17240</v>
      </c>
      <c r="AA10" s="76">
        <v>49406</v>
      </c>
      <c r="AB10" s="76">
        <v>4932</v>
      </c>
      <c r="AC10" s="76">
        <v>54338</v>
      </c>
      <c r="AD10" s="76">
        <v>2432</v>
      </c>
      <c r="AE10" s="76">
        <v>0</v>
      </c>
      <c r="AF10" s="76">
        <v>0</v>
      </c>
      <c r="AG10" s="76">
        <v>944</v>
      </c>
      <c r="AH10" s="76">
        <v>57714</v>
      </c>
      <c r="AI10" s="76">
        <v>6707</v>
      </c>
      <c r="AJ10" s="76">
        <v>5905</v>
      </c>
      <c r="AK10" s="76">
        <v>6536</v>
      </c>
      <c r="AL10" s="76">
        <v>5786</v>
      </c>
      <c r="AM10" s="76">
        <v>601</v>
      </c>
      <c r="AN10" s="76">
        <v>303</v>
      </c>
      <c r="AO10" s="76">
        <v>6911</v>
      </c>
      <c r="AP10" s="76">
        <v>0</v>
      </c>
      <c r="AQ10" s="76">
        <v>576</v>
      </c>
      <c r="AR10" s="76">
        <v>33325</v>
      </c>
      <c r="AS10" s="76">
        <v>24389</v>
      </c>
      <c r="AT10" s="76">
        <v>343</v>
      </c>
      <c r="AU10" s="76">
        <v>568668</v>
      </c>
      <c r="AV10" s="76">
        <v>0</v>
      </c>
      <c r="AW10" s="76">
        <v>8215</v>
      </c>
      <c r="AX10" s="76">
        <v>0</v>
      </c>
      <c r="AY10" s="76">
        <v>0</v>
      </c>
      <c r="AZ10" s="76">
        <v>192</v>
      </c>
      <c r="BA10" s="76">
        <v>0</v>
      </c>
      <c r="BB10" s="76">
        <v>0</v>
      </c>
      <c r="BC10" s="76">
        <v>0</v>
      </c>
      <c r="BD10" s="76">
        <v>0</v>
      </c>
      <c r="BE10" s="76">
        <v>577075</v>
      </c>
      <c r="BF10" s="76">
        <v>1208</v>
      </c>
      <c r="BG10" s="76">
        <v>11545</v>
      </c>
      <c r="BH10" s="76">
        <v>43997</v>
      </c>
      <c r="BI10" s="76">
        <v>1437</v>
      </c>
      <c r="BJ10" s="76">
        <v>0</v>
      </c>
      <c r="BK10" s="76">
        <v>58187</v>
      </c>
      <c r="BL10" s="76">
        <v>4459</v>
      </c>
      <c r="BM10" s="76">
        <v>0</v>
      </c>
      <c r="BN10" s="76">
        <v>2486</v>
      </c>
      <c r="BO10" s="76">
        <v>22952</v>
      </c>
      <c r="BP10" s="76">
        <v>29897</v>
      </c>
      <c r="BQ10" s="76">
        <v>28290</v>
      </c>
      <c r="BR10" s="76">
        <v>605365</v>
      </c>
      <c r="BS10" s="76">
        <v>269790</v>
      </c>
      <c r="BT10" s="76">
        <v>0</v>
      </c>
      <c r="BU10" s="76">
        <v>0</v>
      </c>
      <c r="BV10" s="76">
        <v>228724</v>
      </c>
      <c r="BW10" s="76">
        <v>0</v>
      </c>
      <c r="BX10" s="76">
        <v>0</v>
      </c>
      <c r="BY10" s="76">
        <v>8653</v>
      </c>
      <c r="BZ10" s="76">
        <v>507167</v>
      </c>
      <c r="CA10" s="76">
        <v>2989</v>
      </c>
      <c r="CB10" s="76">
        <v>0</v>
      </c>
      <c r="CC10" s="76">
        <v>95209</v>
      </c>
      <c r="CD10" s="76">
        <v>95209</v>
      </c>
      <c r="CE10" s="76">
        <v>0</v>
      </c>
      <c r="CF10" s="76">
        <v>0</v>
      </c>
      <c r="CG10" s="76">
        <v>0</v>
      </c>
      <c r="CH10" s="76">
        <v>0</v>
      </c>
      <c r="CI10" s="76">
        <v>95209</v>
      </c>
      <c r="CJ10" s="76">
        <v>4178</v>
      </c>
      <c r="CK10" s="76">
        <v>3296</v>
      </c>
      <c r="CL10" s="76">
        <v>0</v>
      </c>
      <c r="CM10" s="76">
        <v>882</v>
      </c>
      <c r="CN10" s="76">
        <v>0</v>
      </c>
      <c r="CO10" s="76">
        <v>0</v>
      </c>
      <c r="CP10" s="76">
        <v>0</v>
      </c>
      <c r="CQ10" s="76">
        <v>0</v>
      </c>
      <c r="CR10" s="76">
        <v>0</v>
      </c>
      <c r="CS10" s="76">
        <v>0</v>
      </c>
      <c r="CT10" s="76">
        <v>0</v>
      </c>
      <c r="CU10" s="76">
        <v>0</v>
      </c>
      <c r="CV10" s="76">
        <v>0</v>
      </c>
      <c r="CW10" s="76">
        <v>0</v>
      </c>
      <c r="CX10" s="76">
        <v>0</v>
      </c>
      <c r="CY10" s="76">
        <v>0</v>
      </c>
      <c r="CZ10" s="76">
        <v>6786</v>
      </c>
      <c r="DA10" s="76">
        <v>0</v>
      </c>
      <c r="DB10" s="76">
        <v>3802</v>
      </c>
      <c r="DC10" s="76">
        <v>2984</v>
      </c>
      <c r="DD10" s="76">
        <v>10964</v>
      </c>
      <c r="DE10" s="76">
        <v>3296</v>
      </c>
      <c r="DF10" s="76">
        <v>3802</v>
      </c>
      <c r="DG10" s="76">
        <v>3866</v>
      </c>
      <c r="DH10" s="76">
        <v>0</v>
      </c>
      <c r="DI10" s="76">
        <v>0</v>
      </c>
      <c r="DJ10" s="76">
        <v>0</v>
      </c>
      <c r="DK10" s="76">
        <v>0</v>
      </c>
      <c r="DL10" s="76">
        <v>0</v>
      </c>
      <c r="DM10" s="76">
        <v>0</v>
      </c>
      <c r="DN10" s="76">
        <v>0</v>
      </c>
      <c r="DO10" s="76">
        <v>0</v>
      </c>
      <c r="DP10" s="76">
        <v>0</v>
      </c>
      <c r="DQ10" s="76">
        <v>0</v>
      </c>
      <c r="DR10" s="76">
        <v>0</v>
      </c>
      <c r="DS10" s="76">
        <v>0</v>
      </c>
      <c r="DT10" s="76">
        <v>0</v>
      </c>
      <c r="DU10" s="76">
        <v>0</v>
      </c>
      <c r="DV10" s="76">
        <v>0</v>
      </c>
      <c r="DW10" s="76">
        <v>0</v>
      </c>
      <c r="DX10" s="76">
        <v>0</v>
      </c>
      <c r="DY10" s="76">
        <v>0</v>
      </c>
      <c r="DZ10" s="76">
        <v>0</v>
      </c>
      <c r="EA10" s="76">
        <v>0</v>
      </c>
      <c r="EB10" s="76">
        <v>0</v>
      </c>
      <c r="EC10" s="76">
        <v>0</v>
      </c>
      <c r="ED10" s="76">
        <v>0</v>
      </c>
      <c r="EE10" s="76">
        <v>0</v>
      </c>
      <c r="EF10" s="76">
        <v>0</v>
      </c>
      <c r="EG10" s="76">
        <v>0</v>
      </c>
      <c r="EH10" s="76">
        <v>0</v>
      </c>
      <c r="EI10" s="76">
        <v>0</v>
      </c>
      <c r="EJ10" s="76">
        <v>10964</v>
      </c>
      <c r="EK10" s="76">
        <v>3296</v>
      </c>
      <c r="EL10" s="76">
        <v>3802</v>
      </c>
      <c r="EM10" s="76">
        <v>3866</v>
      </c>
      <c r="EN10" s="76">
        <v>1261</v>
      </c>
      <c r="EO10" s="76">
        <v>610</v>
      </c>
      <c r="EP10" s="76">
        <v>254</v>
      </c>
      <c r="EQ10" s="76">
        <v>610</v>
      </c>
      <c r="ER10" s="76">
        <v>577528</v>
      </c>
      <c r="ES10" s="76">
        <v>0</v>
      </c>
      <c r="ET10" s="76">
        <v>577528</v>
      </c>
      <c r="EU10" s="76">
        <v>61296</v>
      </c>
      <c r="EV10" s="76">
        <v>-8821</v>
      </c>
      <c r="EW10" s="76">
        <v>0</v>
      </c>
      <c r="EX10" s="76">
        <v>0</v>
      </c>
      <c r="EY10" s="76">
        <v>2187</v>
      </c>
      <c r="EZ10" s="76">
        <v>632190</v>
      </c>
      <c r="FA10" s="76">
        <v>58510</v>
      </c>
      <c r="FB10" s="76">
        <v>6911</v>
      </c>
      <c r="FC10" s="76">
        <v>0</v>
      </c>
      <c r="FD10" s="76">
        <v>0</v>
      </c>
      <c r="FE10" s="76">
        <v>-1896</v>
      </c>
      <c r="FF10" s="76">
        <v>0</v>
      </c>
      <c r="FG10" s="76">
        <v>-3</v>
      </c>
      <c r="FH10" s="76">
        <v>63522</v>
      </c>
      <c r="FI10" s="76">
        <v>568668</v>
      </c>
      <c r="FJ10" s="76">
        <v>519018</v>
      </c>
      <c r="FK10" s="76">
        <v>964</v>
      </c>
      <c r="FL10" s="76">
        <v>910</v>
      </c>
      <c r="FM10" s="76">
        <v>54</v>
      </c>
      <c r="FN10" s="76">
        <v>345</v>
      </c>
      <c r="FO10" s="76">
        <v>123</v>
      </c>
      <c r="FP10" s="76">
        <v>222</v>
      </c>
      <c r="FQ10" s="76">
        <v>100</v>
      </c>
      <c r="FR10" s="76">
        <v>96</v>
      </c>
      <c r="FS10" s="76">
        <v>4</v>
      </c>
      <c r="FT10" s="76">
        <v>3971</v>
      </c>
      <c r="FU10" s="76">
        <v>2423</v>
      </c>
      <c r="FV10" s="76">
        <v>1548</v>
      </c>
      <c r="FW10" s="76">
        <v>0</v>
      </c>
      <c r="FX10" s="76">
        <v>0</v>
      </c>
      <c r="FY10" s="76">
        <v>0</v>
      </c>
      <c r="FZ10" s="76">
        <v>225</v>
      </c>
      <c r="GA10" s="76">
        <v>322</v>
      </c>
      <c r="GB10" s="76">
        <v>-97</v>
      </c>
      <c r="GC10" s="76">
        <v>5605</v>
      </c>
      <c r="GD10" s="76">
        <v>3874</v>
      </c>
      <c r="GE10" s="76">
        <v>1731</v>
      </c>
      <c r="GF10" s="76">
        <v>0</v>
      </c>
      <c r="GG10" s="76">
        <v>0</v>
      </c>
      <c r="GH10" s="76">
        <v>0</v>
      </c>
      <c r="GI10" s="76">
        <v>0</v>
      </c>
      <c r="GJ10" s="76">
        <v>0</v>
      </c>
      <c r="GK10" s="76">
        <v>0</v>
      </c>
      <c r="GL10" s="76">
        <v>0</v>
      </c>
      <c r="GM10" s="76">
        <v>1165</v>
      </c>
      <c r="GN10" s="76">
        <v>1857</v>
      </c>
      <c r="GO10" s="76">
        <v>0</v>
      </c>
      <c r="GP10" s="76">
        <v>706</v>
      </c>
      <c r="GQ10" s="76">
        <v>0</v>
      </c>
      <c r="GR10" s="76">
        <v>15548</v>
      </c>
      <c r="GS10" s="76">
        <v>0</v>
      </c>
      <c r="GT10" s="76">
        <v>0</v>
      </c>
      <c r="GU10" s="76">
        <v>0</v>
      </c>
      <c r="GV10" s="76">
        <v>0</v>
      </c>
      <c r="GW10" s="76">
        <v>3676</v>
      </c>
      <c r="GX10" s="76">
        <v>22952</v>
      </c>
      <c r="GY10" s="76">
        <v>1236</v>
      </c>
      <c r="GZ10" s="76">
        <v>242</v>
      </c>
      <c r="HA10" s="76">
        <v>0</v>
      </c>
      <c r="HB10" s="76">
        <v>7175</v>
      </c>
      <c r="HC10" s="76">
        <v>8653</v>
      </c>
      <c r="HD10" s="76">
        <v>0</v>
      </c>
      <c r="HE10" s="76">
        <v>0</v>
      </c>
      <c r="HF10" s="76">
        <v>0</v>
      </c>
      <c r="HG10" s="76">
        <v>12768</v>
      </c>
      <c r="HH10" s="76">
        <v>207</v>
      </c>
      <c r="HI10" s="76">
        <v>219</v>
      </c>
      <c r="HJ10" s="76">
        <v>2</v>
      </c>
      <c r="HK10" s="76">
        <v>0</v>
      </c>
      <c r="HL10" s="76">
        <v>-1593</v>
      </c>
      <c r="HM10" s="76">
        <v>11603</v>
      </c>
      <c r="HN10" s="76">
        <v>2653</v>
      </c>
      <c r="HO10" s="76">
        <v>7681</v>
      </c>
      <c r="HP10" s="76">
        <v>0</v>
      </c>
      <c r="HQ10" s="76">
        <v>434</v>
      </c>
      <c r="HR10" s="76">
        <v>-148</v>
      </c>
      <c r="HS10" s="76">
        <v>254</v>
      </c>
      <c r="HT10" s="76">
        <v>13325</v>
      </c>
      <c r="HU10" s="76">
        <v>0</v>
      </c>
      <c r="HV10" s="76">
        <v>0</v>
      </c>
      <c r="HW10" s="76">
        <v>0</v>
      </c>
      <c r="HX10" s="76">
        <v>0</v>
      </c>
    </row>
    <row r="11" spans="1:232" x14ac:dyDescent="0.2">
      <c r="A11" s="74" t="s">
        <v>221</v>
      </c>
      <c r="B11" s="74" t="s">
        <v>7</v>
      </c>
      <c r="C11" s="75" t="s">
        <v>200</v>
      </c>
      <c r="D11" s="75">
        <v>12</v>
      </c>
      <c r="E11" s="76">
        <v>36122</v>
      </c>
      <c r="F11" s="76">
        <v>0</v>
      </c>
      <c r="G11" s="76">
        <v>-34403</v>
      </c>
      <c r="H11" s="76">
        <v>1719</v>
      </c>
      <c r="I11" s="76">
        <v>115</v>
      </c>
      <c r="J11" s="76">
        <v>0</v>
      </c>
      <c r="K11" s="76">
        <v>-4634</v>
      </c>
      <c r="L11" s="76">
        <v>0</v>
      </c>
      <c r="M11" s="76">
        <v>62</v>
      </c>
      <c r="N11" s="76">
        <v>-524</v>
      </c>
      <c r="O11" s="76">
        <v>0</v>
      </c>
      <c r="P11" s="76">
        <v>0</v>
      </c>
      <c r="Q11" s="76">
        <v>0</v>
      </c>
      <c r="R11" s="76">
        <v>0</v>
      </c>
      <c r="S11" s="76">
        <v>-3262</v>
      </c>
      <c r="T11" s="76">
        <v>0</v>
      </c>
      <c r="U11" s="76">
        <v>-3262</v>
      </c>
      <c r="V11" s="76">
        <v>0</v>
      </c>
      <c r="W11" s="76">
        <v>0</v>
      </c>
      <c r="X11" s="76">
        <v>0</v>
      </c>
      <c r="Y11" s="76">
        <v>0</v>
      </c>
      <c r="Z11" s="76">
        <v>-3262</v>
      </c>
      <c r="AA11" s="76">
        <v>8153</v>
      </c>
      <c r="AB11" s="76">
        <v>5944</v>
      </c>
      <c r="AC11" s="76">
        <v>14097</v>
      </c>
      <c r="AD11" s="76">
        <v>1643</v>
      </c>
      <c r="AE11" s="76">
        <v>0</v>
      </c>
      <c r="AF11" s="76">
        <v>0</v>
      </c>
      <c r="AG11" s="76">
        <v>2179</v>
      </c>
      <c r="AH11" s="76">
        <v>17919</v>
      </c>
      <c r="AI11" s="76">
        <v>2936</v>
      </c>
      <c r="AJ11" s="76">
        <v>4121</v>
      </c>
      <c r="AK11" s="76">
        <v>2113</v>
      </c>
      <c r="AL11" s="76">
        <v>1805</v>
      </c>
      <c r="AM11" s="76">
        <v>800</v>
      </c>
      <c r="AN11" s="76">
        <v>125</v>
      </c>
      <c r="AO11" s="76">
        <v>2319</v>
      </c>
      <c r="AP11" s="76">
        <v>0</v>
      </c>
      <c r="AQ11" s="76">
        <v>1675</v>
      </c>
      <c r="AR11" s="76">
        <v>15894</v>
      </c>
      <c r="AS11" s="76">
        <v>2025</v>
      </c>
      <c r="AT11" s="76">
        <v>1209</v>
      </c>
      <c r="AU11" s="76">
        <v>100750</v>
      </c>
      <c r="AV11" s="76">
        <v>0</v>
      </c>
      <c r="AW11" s="76">
        <v>3142</v>
      </c>
      <c r="AX11" s="76">
        <v>0</v>
      </c>
      <c r="AY11" s="76">
        <v>0</v>
      </c>
      <c r="AZ11" s="76">
        <v>0</v>
      </c>
      <c r="BA11" s="76">
        <v>0</v>
      </c>
      <c r="BB11" s="76">
        <v>0</v>
      </c>
      <c r="BC11" s="76">
        <v>0</v>
      </c>
      <c r="BD11" s="76">
        <v>0</v>
      </c>
      <c r="BE11" s="76">
        <v>103892</v>
      </c>
      <c r="BF11" s="76">
        <v>0</v>
      </c>
      <c r="BG11" s="76">
        <v>2198</v>
      </c>
      <c r="BH11" s="76">
        <v>4000</v>
      </c>
      <c r="BI11" s="76">
        <v>7595</v>
      </c>
      <c r="BJ11" s="76">
        <v>1076</v>
      </c>
      <c r="BK11" s="76">
        <v>14869</v>
      </c>
      <c r="BL11" s="76">
        <v>682</v>
      </c>
      <c r="BM11" s="76">
        <v>0</v>
      </c>
      <c r="BN11" s="76">
        <v>1643</v>
      </c>
      <c r="BO11" s="76">
        <v>9405</v>
      </c>
      <c r="BP11" s="76">
        <v>11730</v>
      </c>
      <c r="BQ11" s="76">
        <v>3139</v>
      </c>
      <c r="BR11" s="76">
        <v>107031</v>
      </c>
      <c r="BS11" s="76">
        <v>11001</v>
      </c>
      <c r="BT11" s="76">
        <v>0</v>
      </c>
      <c r="BU11" s="76">
        <v>0</v>
      </c>
      <c r="BV11" s="76">
        <v>69258</v>
      </c>
      <c r="BW11" s="76">
        <v>0</v>
      </c>
      <c r="BX11" s="76">
        <v>0</v>
      </c>
      <c r="BY11" s="76">
        <v>5181</v>
      </c>
      <c r="BZ11" s="76">
        <v>85440</v>
      </c>
      <c r="CA11" s="76">
        <v>0</v>
      </c>
      <c r="CB11" s="76">
        <v>0</v>
      </c>
      <c r="CC11" s="76">
        <v>21591</v>
      </c>
      <c r="CD11" s="76">
        <v>21591</v>
      </c>
      <c r="CE11" s="76">
        <v>0</v>
      </c>
      <c r="CF11" s="76">
        <v>0</v>
      </c>
      <c r="CG11" s="76">
        <v>0</v>
      </c>
      <c r="CH11" s="76">
        <v>0</v>
      </c>
      <c r="CI11" s="76">
        <v>21591</v>
      </c>
      <c r="CJ11" s="76">
        <v>3110</v>
      </c>
      <c r="CK11" s="76">
        <v>0</v>
      </c>
      <c r="CL11" s="76">
        <v>3154</v>
      </c>
      <c r="CM11" s="76">
        <v>-44</v>
      </c>
      <c r="CN11" s="76">
        <v>0</v>
      </c>
      <c r="CO11" s="76">
        <v>0</v>
      </c>
      <c r="CP11" s="76">
        <v>0</v>
      </c>
      <c r="CQ11" s="76">
        <v>0</v>
      </c>
      <c r="CR11" s="76">
        <v>0</v>
      </c>
      <c r="CS11" s="76">
        <v>0</v>
      </c>
      <c r="CT11" s="76">
        <v>219</v>
      </c>
      <c r="CU11" s="76">
        <v>-219</v>
      </c>
      <c r="CV11" s="76">
        <v>0</v>
      </c>
      <c r="CW11" s="76">
        <v>0</v>
      </c>
      <c r="CX11" s="76">
        <v>0</v>
      </c>
      <c r="CY11" s="76">
        <v>0</v>
      </c>
      <c r="CZ11" s="76">
        <v>0</v>
      </c>
      <c r="DA11" s="76">
        <v>0</v>
      </c>
      <c r="DB11" s="76">
        <v>0</v>
      </c>
      <c r="DC11" s="76">
        <v>0</v>
      </c>
      <c r="DD11" s="76">
        <v>3110</v>
      </c>
      <c r="DE11" s="76">
        <v>0</v>
      </c>
      <c r="DF11" s="76">
        <v>3373</v>
      </c>
      <c r="DG11" s="76">
        <v>-263</v>
      </c>
      <c r="DH11" s="76">
        <v>0</v>
      </c>
      <c r="DI11" s="76">
        <v>0</v>
      </c>
      <c r="DJ11" s="76">
        <v>0</v>
      </c>
      <c r="DK11" s="76">
        <v>0</v>
      </c>
      <c r="DL11" s="76">
        <v>0</v>
      </c>
      <c r="DM11" s="76">
        <v>0</v>
      </c>
      <c r="DN11" s="76">
        <v>0</v>
      </c>
      <c r="DO11" s="76">
        <v>0</v>
      </c>
      <c r="DP11" s="76">
        <v>0</v>
      </c>
      <c r="DQ11" s="76">
        <v>0</v>
      </c>
      <c r="DR11" s="76">
        <v>0</v>
      </c>
      <c r="DS11" s="76">
        <v>0</v>
      </c>
      <c r="DT11" s="76">
        <v>0</v>
      </c>
      <c r="DU11" s="76">
        <v>0</v>
      </c>
      <c r="DV11" s="76">
        <v>0</v>
      </c>
      <c r="DW11" s="76">
        <v>0</v>
      </c>
      <c r="DX11" s="76">
        <v>12720</v>
      </c>
      <c r="DY11" s="76">
        <v>0</v>
      </c>
      <c r="DZ11" s="76">
        <v>12944</v>
      </c>
      <c r="EA11" s="76">
        <v>-224</v>
      </c>
      <c r="EB11" s="76">
        <v>2373</v>
      </c>
      <c r="EC11" s="76">
        <v>0</v>
      </c>
      <c r="ED11" s="76">
        <v>2192</v>
      </c>
      <c r="EE11" s="76">
        <v>181</v>
      </c>
      <c r="EF11" s="76">
        <v>15093</v>
      </c>
      <c r="EG11" s="76">
        <v>0</v>
      </c>
      <c r="EH11" s="76">
        <v>15136</v>
      </c>
      <c r="EI11" s="76">
        <v>-43</v>
      </c>
      <c r="EJ11" s="76">
        <v>18203</v>
      </c>
      <c r="EK11" s="76">
        <v>0</v>
      </c>
      <c r="EL11" s="76">
        <v>18509</v>
      </c>
      <c r="EM11" s="76">
        <v>-306</v>
      </c>
      <c r="EN11" s="76">
        <v>932</v>
      </c>
      <c r="EO11" s="76">
        <v>214</v>
      </c>
      <c r="EP11" s="76">
        <v>425</v>
      </c>
      <c r="EQ11" s="76">
        <v>203</v>
      </c>
      <c r="ER11" s="76">
        <v>118803</v>
      </c>
      <c r="ES11" s="76">
        <v>0</v>
      </c>
      <c r="ET11" s="76">
        <v>118803</v>
      </c>
      <c r="EU11" s="76">
        <v>5305</v>
      </c>
      <c r="EV11" s="76">
        <v>-1326</v>
      </c>
      <c r="EW11" s="76">
        <v>0</v>
      </c>
      <c r="EX11" s="76">
        <v>0</v>
      </c>
      <c r="EY11" s="76">
        <v>-31</v>
      </c>
      <c r="EZ11" s="76">
        <v>122751</v>
      </c>
      <c r="FA11" s="76">
        <v>20275</v>
      </c>
      <c r="FB11" s="76">
        <v>2110</v>
      </c>
      <c r="FC11" s="76">
        <v>0</v>
      </c>
      <c r="FD11" s="76">
        <v>0</v>
      </c>
      <c r="FE11" s="76">
        <v>-353</v>
      </c>
      <c r="FF11" s="76">
        <v>0</v>
      </c>
      <c r="FG11" s="76">
        <v>-31</v>
      </c>
      <c r="FH11" s="76">
        <v>22001</v>
      </c>
      <c r="FI11" s="76">
        <v>100750</v>
      </c>
      <c r="FJ11" s="76">
        <v>98528</v>
      </c>
      <c r="FK11" s="76">
        <v>120</v>
      </c>
      <c r="FL11" s="76">
        <v>104</v>
      </c>
      <c r="FM11" s="76">
        <v>16</v>
      </c>
      <c r="FN11" s="76">
        <v>0</v>
      </c>
      <c r="FO11" s="76">
        <v>0</v>
      </c>
      <c r="FP11" s="76">
        <v>0</v>
      </c>
      <c r="FQ11" s="76">
        <v>0</v>
      </c>
      <c r="FR11" s="76">
        <v>0</v>
      </c>
      <c r="FS11" s="76">
        <v>0</v>
      </c>
      <c r="FT11" s="76">
        <v>938</v>
      </c>
      <c r="FU11" s="76">
        <v>839</v>
      </c>
      <c r="FV11" s="76">
        <v>99</v>
      </c>
      <c r="FW11" s="76">
        <v>0</v>
      </c>
      <c r="FX11" s="76">
        <v>0</v>
      </c>
      <c r="FY11" s="76">
        <v>0</v>
      </c>
      <c r="FZ11" s="76">
        <v>0</v>
      </c>
      <c r="GA11" s="76">
        <v>0</v>
      </c>
      <c r="GB11" s="76">
        <v>0</v>
      </c>
      <c r="GC11" s="76">
        <v>1058</v>
      </c>
      <c r="GD11" s="76">
        <v>943</v>
      </c>
      <c r="GE11" s="76">
        <v>115</v>
      </c>
      <c r="GF11" s="76">
        <v>0</v>
      </c>
      <c r="GG11" s="76">
        <v>0</v>
      </c>
      <c r="GH11" s="76">
        <v>448</v>
      </c>
      <c r="GI11" s="76">
        <v>0</v>
      </c>
      <c r="GJ11" s="76">
        <v>0</v>
      </c>
      <c r="GK11" s="76">
        <v>628</v>
      </c>
      <c r="GL11" s="76">
        <v>1076</v>
      </c>
      <c r="GM11" s="76">
        <v>493</v>
      </c>
      <c r="GN11" s="76">
        <v>591</v>
      </c>
      <c r="GO11" s="76">
        <v>0</v>
      </c>
      <c r="GP11" s="76">
        <v>388</v>
      </c>
      <c r="GQ11" s="76">
        <v>0</v>
      </c>
      <c r="GR11" s="76">
        <v>3725</v>
      </c>
      <c r="GS11" s="76">
        <v>0</v>
      </c>
      <c r="GT11" s="76">
        <v>0</v>
      </c>
      <c r="GU11" s="76">
        <v>610</v>
      </c>
      <c r="GV11" s="76">
        <v>0</v>
      </c>
      <c r="GW11" s="76">
        <v>3598</v>
      </c>
      <c r="GX11" s="76">
        <v>9405</v>
      </c>
      <c r="GY11" s="76">
        <v>1193</v>
      </c>
      <c r="GZ11" s="76">
        <v>0</v>
      </c>
      <c r="HA11" s="76">
        <v>3988</v>
      </c>
      <c r="HB11" s="76">
        <v>0</v>
      </c>
      <c r="HC11" s="76">
        <v>5181</v>
      </c>
      <c r="HD11" s="76">
        <v>0</v>
      </c>
      <c r="HE11" s="76">
        <v>0</v>
      </c>
      <c r="HF11" s="76">
        <v>0</v>
      </c>
      <c r="HG11" s="76">
        <v>428</v>
      </c>
      <c r="HH11" s="76">
        <v>0</v>
      </c>
      <c r="HI11" s="76">
        <v>96</v>
      </c>
      <c r="HJ11" s="76">
        <v>0</v>
      </c>
      <c r="HK11" s="76">
        <v>0</v>
      </c>
      <c r="HL11" s="76">
        <v>0</v>
      </c>
      <c r="HM11" s="76">
        <v>524</v>
      </c>
      <c r="HN11" s="76">
        <v>718</v>
      </c>
      <c r="HO11" s="76">
        <v>3025</v>
      </c>
      <c r="HP11" s="76">
        <v>0</v>
      </c>
      <c r="HQ11" s="76">
        <v>34</v>
      </c>
      <c r="HR11" s="76">
        <v>-15</v>
      </c>
      <c r="HS11" s="76">
        <v>0</v>
      </c>
      <c r="HT11" s="76">
        <v>2287</v>
      </c>
      <c r="HU11" s="76">
        <v>0</v>
      </c>
      <c r="HV11" s="76">
        <v>0</v>
      </c>
      <c r="HW11" s="76">
        <v>0</v>
      </c>
      <c r="HX11" s="76">
        <v>0</v>
      </c>
    </row>
    <row r="12" spans="1:232" x14ac:dyDescent="0.2">
      <c r="A12" s="74" t="s">
        <v>224</v>
      </c>
      <c r="B12" s="74" t="s">
        <v>225</v>
      </c>
      <c r="C12" s="75" t="s">
        <v>200</v>
      </c>
      <c r="D12" s="75">
        <v>12</v>
      </c>
      <c r="E12" s="76">
        <v>93177</v>
      </c>
      <c r="F12" s="76">
        <v>-21767</v>
      </c>
      <c r="G12" s="76">
        <v>-39522</v>
      </c>
      <c r="H12" s="76">
        <v>31888</v>
      </c>
      <c r="I12" s="76">
        <v>2569</v>
      </c>
      <c r="J12" s="76">
        <v>0</v>
      </c>
      <c r="K12" s="76">
        <v>-2569</v>
      </c>
      <c r="L12" s="76">
        <v>0</v>
      </c>
      <c r="M12" s="76">
        <v>74</v>
      </c>
      <c r="N12" s="76">
        <v>-23773</v>
      </c>
      <c r="O12" s="76">
        <v>603</v>
      </c>
      <c r="P12" s="76">
        <v>-2821</v>
      </c>
      <c r="Q12" s="76">
        <v>0</v>
      </c>
      <c r="R12" s="76">
        <v>0</v>
      </c>
      <c r="S12" s="76">
        <v>5971</v>
      </c>
      <c r="T12" s="76">
        <v>-125</v>
      </c>
      <c r="U12" s="76">
        <v>5846</v>
      </c>
      <c r="V12" s="76">
        <v>0</v>
      </c>
      <c r="W12" s="76">
        <v>0</v>
      </c>
      <c r="X12" s="76">
        <v>-1361</v>
      </c>
      <c r="Y12" s="76">
        <v>0</v>
      </c>
      <c r="Z12" s="76">
        <v>4485</v>
      </c>
      <c r="AA12" s="76">
        <v>48284</v>
      </c>
      <c r="AB12" s="76">
        <v>5056</v>
      </c>
      <c r="AC12" s="76">
        <v>53340</v>
      </c>
      <c r="AD12" s="76">
        <v>0</v>
      </c>
      <c r="AE12" s="76">
        <v>303</v>
      </c>
      <c r="AF12" s="76">
        <v>0</v>
      </c>
      <c r="AG12" s="76">
        <v>0</v>
      </c>
      <c r="AH12" s="76">
        <v>53643</v>
      </c>
      <c r="AI12" s="76">
        <v>11339</v>
      </c>
      <c r="AJ12" s="76">
        <v>4764</v>
      </c>
      <c r="AK12" s="76">
        <v>5190</v>
      </c>
      <c r="AL12" s="76">
        <v>2766</v>
      </c>
      <c r="AM12" s="76">
        <v>1161</v>
      </c>
      <c r="AN12" s="76">
        <v>340</v>
      </c>
      <c r="AO12" s="76">
        <v>6614</v>
      </c>
      <c r="AP12" s="76">
        <v>0</v>
      </c>
      <c r="AQ12" s="76">
        <v>1712</v>
      </c>
      <c r="AR12" s="76">
        <v>33886</v>
      </c>
      <c r="AS12" s="76">
        <v>19757</v>
      </c>
      <c r="AT12" s="76">
        <v>355</v>
      </c>
      <c r="AU12" s="76">
        <v>613771</v>
      </c>
      <c r="AV12" s="76">
        <v>0</v>
      </c>
      <c r="AW12" s="76">
        <v>4763</v>
      </c>
      <c r="AX12" s="76">
        <v>1070</v>
      </c>
      <c r="AY12" s="76">
        <v>19133</v>
      </c>
      <c r="AZ12" s="76">
        <v>4480</v>
      </c>
      <c r="BA12" s="76">
        <v>0</v>
      </c>
      <c r="BB12" s="76">
        <v>0</v>
      </c>
      <c r="BC12" s="76">
        <v>0</v>
      </c>
      <c r="BD12" s="76">
        <v>0</v>
      </c>
      <c r="BE12" s="76">
        <v>643217</v>
      </c>
      <c r="BF12" s="76">
        <v>50590</v>
      </c>
      <c r="BG12" s="76">
        <v>3928</v>
      </c>
      <c r="BH12" s="76">
        <v>24760</v>
      </c>
      <c r="BI12" s="76">
        <v>85</v>
      </c>
      <c r="BJ12" s="76">
        <v>2892</v>
      </c>
      <c r="BK12" s="76">
        <v>82255</v>
      </c>
      <c r="BL12" s="76">
        <v>33834</v>
      </c>
      <c r="BM12" s="76">
        <v>0</v>
      </c>
      <c r="BN12" s="76">
        <v>0</v>
      </c>
      <c r="BO12" s="76">
        <v>19217</v>
      </c>
      <c r="BP12" s="76">
        <v>53051</v>
      </c>
      <c r="BQ12" s="76">
        <v>29204</v>
      </c>
      <c r="BR12" s="76">
        <v>672421</v>
      </c>
      <c r="BS12" s="76">
        <v>384058</v>
      </c>
      <c r="BT12" s="76">
        <v>0</v>
      </c>
      <c r="BU12" s="76">
        <v>0</v>
      </c>
      <c r="BV12" s="76">
        <v>49968</v>
      </c>
      <c r="BW12" s="76">
        <v>0</v>
      </c>
      <c r="BX12" s="76">
        <v>92548</v>
      </c>
      <c r="BY12" s="76">
        <v>23794</v>
      </c>
      <c r="BZ12" s="76">
        <v>550368</v>
      </c>
      <c r="CA12" s="76">
        <v>0</v>
      </c>
      <c r="CB12" s="76">
        <v>0</v>
      </c>
      <c r="CC12" s="76">
        <v>122053</v>
      </c>
      <c r="CD12" s="76">
        <v>-40786</v>
      </c>
      <c r="CE12" s="76">
        <v>-44320</v>
      </c>
      <c r="CF12" s="76">
        <v>211842</v>
      </c>
      <c r="CG12" s="76">
        <v>-4683</v>
      </c>
      <c r="CH12" s="76">
        <v>0</v>
      </c>
      <c r="CI12" s="76">
        <v>122053</v>
      </c>
      <c r="CJ12" s="76">
        <v>12714</v>
      </c>
      <c r="CK12" s="76">
        <v>7534</v>
      </c>
      <c r="CL12" s="76">
        <v>302</v>
      </c>
      <c r="CM12" s="76">
        <v>4878</v>
      </c>
      <c r="CN12" s="76">
        <v>1656</v>
      </c>
      <c r="CO12" s="76">
        <v>0</v>
      </c>
      <c r="CP12" s="76">
        <v>1656</v>
      </c>
      <c r="CQ12" s="76">
        <v>0</v>
      </c>
      <c r="CR12" s="76">
        <v>0</v>
      </c>
      <c r="CS12" s="76">
        <v>0</v>
      </c>
      <c r="CT12" s="76">
        <v>0</v>
      </c>
      <c r="CU12" s="76">
        <v>0</v>
      </c>
      <c r="CV12" s="76">
        <v>0</v>
      </c>
      <c r="CW12" s="76">
        <v>0</v>
      </c>
      <c r="CX12" s="76">
        <v>0</v>
      </c>
      <c r="CY12" s="76">
        <v>0</v>
      </c>
      <c r="CZ12" s="76">
        <v>9853</v>
      </c>
      <c r="DA12" s="76">
        <v>5782</v>
      </c>
      <c r="DB12" s="76">
        <v>499</v>
      </c>
      <c r="DC12" s="76">
        <v>3572</v>
      </c>
      <c r="DD12" s="76">
        <v>24223</v>
      </c>
      <c r="DE12" s="76">
        <v>13316</v>
      </c>
      <c r="DF12" s="76">
        <v>2457</v>
      </c>
      <c r="DG12" s="76">
        <v>8450</v>
      </c>
      <c r="DH12" s="76">
        <v>10847</v>
      </c>
      <c r="DI12" s="76">
        <v>7893</v>
      </c>
      <c r="DJ12" s="76">
        <v>258</v>
      </c>
      <c r="DK12" s="76">
        <v>2696</v>
      </c>
      <c r="DL12" s="76">
        <v>849</v>
      </c>
      <c r="DM12" s="76">
        <v>0</v>
      </c>
      <c r="DN12" s="76">
        <v>205</v>
      </c>
      <c r="DO12" s="76">
        <v>644</v>
      </c>
      <c r="DP12" s="76">
        <v>0</v>
      </c>
      <c r="DQ12" s="76">
        <v>0</v>
      </c>
      <c r="DR12" s="76">
        <v>0</v>
      </c>
      <c r="DS12" s="76">
        <v>0</v>
      </c>
      <c r="DT12" s="76">
        <v>286</v>
      </c>
      <c r="DU12" s="76">
        <v>0</v>
      </c>
      <c r="DV12" s="76">
        <v>130</v>
      </c>
      <c r="DW12" s="76">
        <v>156</v>
      </c>
      <c r="DX12" s="76">
        <v>0</v>
      </c>
      <c r="DY12" s="76">
        <v>0</v>
      </c>
      <c r="DZ12" s="76">
        <v>0</v>
      </c>
      <c r="EA12" s="76">
        <v>0</v>
      </c>
      <c r="EB12" s="76">
        <v>3329</v>
      </c>
      <c r="EC12" s="76">
        <v>558</v>
      </c>
      <c r="ED12" s="76">
        <v>2586</v>
      </c>
      <c r="EE12" s="76">
        <v>185</v>
      </c>
      <c r="EF12" s="76">
        <v>15311</v>
      </c>
      <c r="EG12" s="76">
        <v>8451</v>
      </c>
      <c r="EH12" s="76">
        <v>3179</v>
      </c>
      <c r="EI12" s="76">
        <v>3681</v>
      </c>
      <c r="EJ12" s="76">
        <v>39534</v>
      </c>
      <c r="EK12" s="76">
        <v>21767</v>
      </c>
      <c r="EL12" s="76">
        <v>5636</v>
      </c>
      <c r="EM12" s="76">
        <v>12131</v>
      </c>
      <c r="EN12" s="76">
        <v>2469</v>
      </c>
      <c r="EO12" s="76">
        <v>359</v>
      </c>
      <c r="EP12" s="76">
        <v>990</v>
      </c>
      <c r="EQ12" s="76">
        <v>359</v>
      </c>
      <c r="ER12" s="76">
        <v>615916</v>
      </c>
      <c r="ES12" s="76">
        <v>0</v>
      </c>
      <c r="ET12" s="76">
        <v>615916</v>
      </c>
      <c r="EU12" s="76">
        <v>16605</v>
      </c>
      <c r="EV12" s="76">
        <v>-2941</v>
      </c>
      <c r="EW12" s="76">
        <v>0</v>
      </c>
      <c r="EX12" s="76">
        <v>0</v>
      </c>
      <c r="EY12" s="76">
        <v>0</v>
      </c>
      <c r="EZ12" s="76">
        <v>629580</v>
      </c>
      <c r="FA12" s="76">
        <v>10055</v>
      </c>
      <c r="FB12" s="76">
        <v>6691</v>
      </c>
      <c r="FC12" s="76">
        <v>0</v>
      </c>
      <c r="FD12" s="76">
        <v>0</v>
      </c>
      <c r="FE12" s="76">
        <v>-937</v>
      </c>
      <c r="FF12" s="76">
        <v>0</v>
      </c>
      <c r="FG12" s="76">
        <v>0</v>
      </c>
      <c r="FH12" s="76">
        <v>15809</v>
      </c>
      <c r="FI12" s="76">
        <v>613771</v>
      </c>
      <c r="FJ12" s="76">
        <v>605861</v>
      </c>
      <c r="FK12" s="76">
        <v>3215</v>
      </c>
      <c r="FL12" s="76">
        <v>2205</v>
      </c>
      <c r="FM12" s="76">
        <v>1010</v>
      </c>
      <c r="FN12" s="76">
        <v>105</v>
      </c>
      <c r="FO12" s="76">
        <v>88</v>
      </c>
      <c r="FP12" s="76">
        <v>17</v>
      </c>
      <c r="FQ12" s="76">
        <v>0</v>
      </c>
      <c r="FR12" s="76">
        <v>0</v>
      </c>
      <c r="FS12" s="76">
        <v>0</v>
      </c>
      <c r="FT12" s="76">
        <v>5031</v>
      </c>
      <c r="FU12" s="76">
        <v>3489</v>
      </c>
      <c r="FV12" s="76">
        <v>1542</v>
      </c>
      <c r="FW12" s="76">
        <v>0</v>
      </c>
      <c r="FX12" s="76">
        <v>0</v>
      </c>
      <c r="FY12" s="76">
        <v>0</v>
      </c>
      <c r="FZ12" s="76">
        <v>0</v>
      </c>
      <c r="GA12" s="76">
        <v>0</v>
      </c>
      <c r="GB12" s="76">
        <v>0</v>
      </c>
      <c r="GC12" s="76">
        <v>8351</v>
      </c>
      <c r="GD12" s="76">
        <v>5782</v>
      </c>
      <c r="GE12" s="76">
        <v>2569</v>
      </c>
      <c r="GF12" s="76">
        <v>0</v>
      </c>
      <c r="GG12" s="76">
        <v>0</v>
      </c>
      <c r="GH12" s="76">
        <v>0</v>
      </c>
      <c r="GI12" s="76">
        <v>0</v>
      </c>
      <c r="GJ12" s="76">
        <v>0</v>
      </c>
      <c r="GK12" s="76">
        <v>2892</v>
      </c>
      <c r="GL12" s="76">
        <v>2892</v>
      </c>
      <c r="GM12" s="76">
        <v>3666</v>
      </c>
      <c r="GN12" s="76">
        <v>2050</v>
      </c>
      <c r="GO12" s="76">
        <v>0</v>
      </c>
      <c r="GP12" s="76">
        <v>0</v>
      </c>
      <c r="GQ12" s="76">
        <v>0</v>
      </c>
      <c r="GR12" s="76">
        <v>12119</v>
      </c>
      <c r="GS12" s="76">
        <v>0</v>
      </c>
      <c r="GT12" s="76">
        <v>0</v>
      </c>
      <c r="GU12" s="76">
        <v>996</v>
      </c>
      <c r="GV12" s="76">
        <v>0</v>
      </c>
      <c r="GW12" s="76">
        <v>386</v>
      </c>
      <c r="GX12" s="76">
        <v>19217</v>
      </c>
      <c r="GY12" s="76">
        <v>15046</v>
      </c>
      <c r="GZ12" s="76">
        <v>140</v>
      </c>
      <c r="HA12" s="76">
        <v>6193</v>
      </c>
      <c r="HB12" s="76">
        <v>2415</v>
      </c>
      <c r="HC12" s="76">
        <v>23794</v>
      </c>
      <c r="HD12" s="76">
        <v>0</v>
      </c>
      <c r="HE12" s="76">
        <v>0</v>
      </c>
      <c r="HF12" s="76">
        <v>0</v>
      </c>
      <c r="HG12" s="76">
        <v>23912</v>
      </c>
      <c r="HH12" s="76">
        <v>0</v>
      </c>
      <c r="HI12" s="76">
        <v>214</v>
      </c>
      <c r="HJ12" s="76">
        <v>0</v>
      </c>
      <c r="HK12" s="76">
        <v>0</v>
      </c>
      <c r="HL12" s="76">
        <v>-353</v>
      </c>
      <c r="HM12" s="76">
        <v>23773</v>
      </c>
      <c r="HN12" s="76">
        <v>6120</v>
      </c>
      <c r="HO12" s="76">
        <v>7034</v>
      </c>
      <c r="HP12" s="76">
        <v>0</v>
      </c>
      <c r="HQ12" s="76">
        <v>222</v>
      </c>
      <c r="HR12" s="76">
        <v>-27</v>
      </c>
      <c r="HS12" s="76">
        <v>32</v>
      </c>
      <c r="HT12" s="76">
        <v>10125</v>
      </c>
      <c r="HU12" s="76">
        <v>0</v>
      </c>
      <c r="HV12" s="76">
        <v>-3</v>
      </c>
      <c r="HW12" s="76">
        <v>-2</v>
      </c>
      <c r="HX12" s="76">
        <v>542</v>
      </c>
    </row>
    <row r="13" spans="1:232" x14ac:dyDescent="0.2">
      <c r="A13" s="74" t="s">
        <v>227</v>
      </c>
      <c r="B13" s="74" t="s">
        <v>228</v>
      </c>
      <c r="C13" s="75" t="s">
        <v>200</v>
      </c>
      <c r="D13" s="75">
        <v>12</v>
      </c>
      <c r="E13" s="76">
        <v>188072</v>
      </c>
      <c r="F13" s="76">
        <v>-6353</v>
      </c>
      <c r="G13" s="76">
        <v>-105242</v>
      </c>
      <c r="H13" s="76">
        <v>76477</v>
      </c>
      <c r="I13" s="76">
        <v>22835</v>
      </c>
      <c r="J13" s="76">
        <v>0</v>
      </c>
      <c r="K13" s="76">
        <v>16</v>
      </c>
      <c r="L13" s="76">
        <v>0</v>
      </c>
      <c r="M13" s="76">
        <v>873</v>
      </c>
      <c r="N13" s="76">
        <v>-31123</v>
      </c>
      <c r="O13" s="76">
        <v>667</v>
      </c>
      <c r="P13" s="76">
        <v>-122</v>
      </c>
      <c r="Q13" s="76">
        <v>0</v>
      </c>
      <c r="R13" s="76">
        <v>0</v>
      </c>
      <c r="S13" s="76">
        <v>69623</v>
      </c>
      <c r="T13" s="76">
        <v>-5</v>
      </c>
      <c r="U13" s="76">
        <v>69618</v>
      </c>
      <c r="V13" s="76">
        <v>0</v>
      </c>
      <c r="W13" s="76">
        <v>-2064</v>
      </c>
      <c r="X13" s="76">
        <v>-621</v>
      </c>
      <c r="Y13" s="76">
        <v>0</v>
      </c>
      <c r="Z13" s="76">
        <v>66933</v>
      </c>
      <c r="AA13" s="76">
        <v>136663</v>
      </c>
      <c r="AB13" s="76">
        <v>13472</v>
      </c>
      <c r="AC13" s="76">
        <v>150135</v>
      </c>
      <c r="AD13" s="76">
        <v>4754</v>
      </c>
      <c r="AE13" s="76">
        <v>0</v>
      </c>
      <c r="AF13" s="76">
        <v>67</v>
      </c>
      <c r="AG13" s="76">
        <v>2193</v>
      </c>
      <c r="AH13" s="76">
        <v>157149</v>
      </c>
      <c r="AI13" s="76">
        <v>25903</v>
      </c>
      <c r="AJ13" s="76">
        <v>12253</v>
      </c>
      <c r="AK13" s="76">
        <v>18339</v>
      </c>
      <c r="AL13" s="76">
        <v>21316</v>
      </c>
      <c r="AM13" s="76">
        <v>4187</v>
      </c>
      <c r="AN13" s="76">
        <v>354</v>
      </c>
      <c r="AO13" s="76">
        <v>20686</v>
      </c>
      <c r="AP13" s="76">
        <v>-539</v>
      </c>
      <c r="AQ13" s="76">
        <v>620</v>
      </c>
      <c r="AR13" s="76">
        <v>103119</v>
      </c>
      <c r="AS13" s="76">
        <v>54030</v>
      </c>
      <c r="AT13" s="76">
        <v>1129</v>
      </c>
      <c r="AU13" s="76">
        <v>1319078</v>
      </c>
      <c r="AV13" s="76">
        <v>0</v>
      </c>
      <c r="AW13" s="76">
        <v>8828</v>
      </c>
      <c r="AX13" s="76">
        <v>0</v>
      </c>
      <c r="AY13" s="76">
        <v>0</v>
      </c>
      <c r="AZ13" s="76">
        <v>28125</v>
      </c>
      <c r="BA13" s="76">
        <v>0</v>
      </c>
      <c r="BB13" s="76">
        <v>0</v>
      </c>
      <c r="BC13" s="76">
        <v>0</v>
      </c>
      <c r="BD13" s="76">
        <v>0</v>
      </c>
      <c r="BE13" s="76">
        <v>1356031</v>
      </c>
      <c r="BF13" s="76">
        <v>14370</v>
      </c>
      <c r="BG13" s="76">
        <v>8999</v>
      </c>
      <c r="BH13" s="76">
        <v>92513</v>
      </c>
      <c r="BI13" s="76">
        <v>0</v>
      </c>
      <c r="BJ13" s="76">
        <v>12116</v>
      </c>
      <c r="BK13" s="76">
        <v>127998</v>
      </c>
      <c r="BL13" s="76">
        <v>12396</v>
      </c>
      <c r="BM13" s="76">
        <v>0</v>
      </c>
      <c r="BN13" s="76">
        <v>4932</v>
      </c>
      <c r="BO13" s="76">
        <v>40842</v>
      </c>
      <c r="BP13" s="76">
        <v>58170</v>
      </c>
      <c r="BQ13" s="76">
        <v>69828</v>
      </c>
      <c r="BR13" s="76">
        <v>1425859</v>
      </c>
      <c r="BS13" s="76">
        <v>653140</v>
      </c>
      <c r="BT13" s="76">
        <v>0</v>
      </c>
      <c r="BU13" s="76">
        <v>0</v>
      </c>
      <c r="BV13" s="76">
        <v>490382</v>
      </c>
      <c r="BW13" s="76">
        <v>0</v>
      </c>
      <c r="BX13" s="76">
        <v>111883</v>
      </c>
      <c r="BY13" s="76">
        <v>18603</v>
      </c>
      <c r="BZ13" s="76">
        <v>1274008</v>
      </c>
      <c r="CA13" s="76">
        <v>26163</v>
      </c>
      <c r="CB13" s="76">
        <v>489</v>
      </c>
      <c r="CC13" s="76">
        <v>125199</v>
      </c>
      <c r="CD13" s="76">
        <v>235643</v>
      </c>
      <c r="CE13" s="76">
        <v>462</v>
      </c>
      <c r="CF13" s="76">
        <v>843</v>
      </c>
      <c r="CG13" s="76">
        <v>-112055</v>
      </c>
      <c r="CH13" s="76">
        <v>306</v>
      </c>
      <c r="CI13" s="76">
        <v>125199</v>
      </c>
      <c r="CJ13" s="76">
        <v>6930</v>
      </c>
      <c r="CK13" s="76">
        <v>5706</v>
      </c>
      <c r="CL13" s="76">
        <v>0</v>
      </c>
      <c r="CM13" s="76">
        <v>1224</v>
      </c>
      <c r="CN13" s="76">
        <v>76</v>
      </c>
      <c r="CO13" s="76">
        <v>0</v>
      </c>
      <c r="CP13" s="76">
        <v>76</v>
      </c>
      <c r="CQ13" s="76">
        <v>0</v>
      </c>
      <c r="CR13" s="76">
        <v>0</v>
      </c>
      <c r="CS13" s="76">
        <v>0</v>
      </c>
      <c r="CT13" s="76">
        <v>496</v>
      </c>
      <c r="CU13" s="76">
        <v>-496</v>
      </c>
      <c r="CV13" s="76">
        <v>301</v>
      </c>
      <c r="CW13" s="76">
        <v>0</v>
      </c>
      <c r="CX13" s="76">
        <v>301</v>
      </c>
      <c r="CY13" s="76">
        <v>0</v>
      </c>
      <c r="CZ13" s="76">
        <v>20537</v>
      </c>
      <c r="DA13" s="76">
        <v>0</v>
      </c>
      <c r="DB13" s="76">
        <v>0</v>
      </c>
      <c r="DC13" s="76">
        <v>20537</v>
      </c>
      <c r="DD13" s="76">
        <v>27844</v>
      </c>
      <c r="DE13" s="76">
        <v>5706</v>
      </c>
      <c r="DF13" s="76">
        <v>873</v>
      </c>
      <c r="DG13" s="76">
        <v>21265</v>
      </c>
      <c r="DH13" s="76">
        <v>728</v>
      </c>
      <c r="DI13" s="76">
        <v>647</v>
      </c>
      <c r="DJ13" s="76">
        <v>0</v>
      </c>
      <c r="DK13" s="76">
        <v>81</v>
      </c>
      <c r="DL13" s="76">
        <v>0</v>
      </c>
      <c r="DM13" s="76">
        <v>0</v>
      </c>
      <c r="DN13" s="76">
        <v>0</v>
      </c>
      <c r="DO13" s="76">
        <v>0</v>
      </c>
      <c r="DP13" s="76">
        <v>0</v>
      </c>
      <c r="DQ13" s="76">
        <v>0</v>
      </c>
      <c r="DR13" s="76">
        <v>0</v>
      </c>
      <c r="DS13" s="76">
        <v>0</v>
      </c>
      <c r="DT13" s="76">
        <v>371</v>
      </c>
      <c r="DU13" s="76">
        <v>0</v>
      </c>
      <c r="DV13" s="76">
        <v>126</v>
      </c>
      <c r="DW13" s="76">
        <v>245</v>
      </c>
      <c r="DX13" s="76">
        <v>0</v>
      </c>
      <c r="DY13" s="76">
        <v>0</v>
      </c>
      <c r="DZ13" s="76">
        <v>0</v>
      </c>
      <c r="EA13" s="76">
        <v>0</v>
      </c>
      <c r="EB13" s="76">
        <v>1980</v>
      </c>
      <c r="EC13" s="76">
        <v>0</v>
      </c>
      <c r="ED13" s="76">
        <v>1124</v>
      </c>
      <c r="EE13" s="76">
        <v>856</v>
      </c>
      <c r="EF13" s="76">
        <v>3079</v>
      </c>
      <c r="EG13" s="76">
        <v>647</v>
      </c>
      <c r="EH13" s="76">
        <v>1250</v>
      </c>
      <c r="EI13" s="76">
        <v>1182</v>
      </c>
      <c r="EJ13" s="76">
        <v>30923</v>
      </c>
      <c r="EK13" s="76">
        <v>6353</v>
      </c>
      <c r="EL13" s="76">
        <v>2123</v>
      </c>
      <c r="EM13" s="76">
        <v>22447</v>
      </c>
      <c r="EN13" s="76">
        <v>6891</v>
      </c>
      <c r="EO13" s="76">
        <v>4560</v>
      </c>
      <c r="EP13" s="76">
        <v>796</v>
      </c>
      <c r="EQ13" s="76">
        <v>4560</v>
      </c>
      <c r="ER13" s="76">
        <v>1464512</v>
      </c>
      <c r="ES13" s="76">
        <v>0</v>
      </c>
      <c r="ET13" s="76">
        <v>1464512</v>
      </c>
      <c r="EU13" s="76">
        <v>74219</v>
      </c>
      <c r="EV13" s="76">
        <v>-19327</v>
      </c>
      <c r="EW13" s="76">
        <v>24851</v>
      </c>
      <c r="EX13" s="76">
        <v>0</v>
      </c>
      <c r="EY13" s="76">
        <v>-12</v>
      </c>
      <c r="EZ13" s="76">
        <v>1544243</v>
      </c>
      <c r="FA13" s="76">
        <v>218963</v>
      </c>
      <c r="FB13" s="76">
        <v>20610</v>
      </c>
      <c r="FC13" s="76">
        <v>-539</v>
      </c>
      <c r="FD13" s="76">
        <v>0</v>
      </c>
      <c r="FE13" s="76">
        <v>-13869</v>
      </c>
      <c r="FF13" s="76">
        <v>0</v>
      </c>
      <c r="FG13" s="76">
        <v>0</v>
      </c>
      <c r="FH13" s="76">
        <v>225165</v>
      </c>
      <c r="FI13" s="76">
        <v>1319078</v>
      </c>
      <c r="FJ13" s="76">
        <v>1245549</v>
      </c>
      <c r="FK13" s="76">
        <v>12409</v>
      </c>
      <c r="FL13" s="76">
        <v>5702</v>
      </c>
      <c r="FM13" s="76">
        <v>6707</v>
      </c>
      <c r="FN13" s="76">
        <v>1444</v>
      </c>
      <c r="FO13" s="76">
        <v>1100</v>
      </c>
      <c r="FP13" s="76">
        <v>344</v>
      </c>
      <c r="FQ13" s="76">
        <v>288</v>
      </c>
      <c r="FR13" s="76">
        <v>288</v>
      </c>
      <c r="FS13" s="76">
        <v>0</v>
      </c>
      <c r="FT13" s="76">
        <v>18738</v>
      </c>
      <c r="FU13" s="76">
        <v>3443</v>
      </c>
      <c r="FV13" s="76">
        <v>15295</v>
      </c>
      <c r="FW13" s="76">
        <v>0</v>
      </c>
      <c r="FX13" s="76">
        <v>0</v>
      </c>
      <c r="FY13" s="76">
        <v>0</v>
      </c>
      <c r="FZ13" s="76">
        <v>2672</v>
      </c>
      <c r="GA13" s="76">
        <v>2183</v>
      </c>
      <c r="GB13" s="76">
        <v>489</v>
      </c>
      <c r="GC13" s="76">
        <v>35551</v>
      </c>
      <c r="GD13" s="76">
        <v>12716</v>
      </c>
      <c r="GE13" s="76">
        <v>22835</v>
      </c>
      <c r="GF13" s="76">
        <v>0</v>
      </c>
      <c r="GG13" s="76">
        <v>6</v>
      </c>
      <c r="GH13" s="76">
        <v>685</v>
      </c>
      <c r="GI13" s="76">
        <v>0</v>
      </c>
      <c r="GJ13" s="76">
        <v>0</v>
      </c>
      <c r="GK13" s="76">
        <v>11425</v>
      </c>
      <c r="GL13" s="76">
        <v>12116</v>
      </c>
      <c r="GM13" s="76">
        <v>2842</v>
      </c>
      <c r="GN13" s="76">
        <v>5365</v>
      </c>
      <c r="GO13" s="76">
        <v>0</v>
      </c>
      <c r="GP13" s="76">
        <v>2461</v>
      </c>
      <c r="GQ13" s="76">
        <v>138</v>
      </c>
      <c r="GR13" s="76">
        <v>19466</v>
      </c>
      <c r="GS13" s="76">
        <v>0</v>
      </c>
      <c r="GT13" s="76">
        <v>0</v>
      </c>
      <c r="GU13" s="76">
        <v>820</v>
      </c>
      <c r="GV13" s="76">
        <v>0</v>
      </c>
      <c r="GW13" s="76">
        <v>9750</v>
      </c>
      <c r="GX13" s="76">
        <v>40842</v>
      </c>
      <c r="GY13" s="76">
        <v>8959</v>
      </c>
      <c r="GZ13" s="76">
        <v>504</v>
      </c>
      <c r="HA13" s="76">
        <v>4591</v>
      </c>
      <c r="HB13" s="76">
        <v>4549</v>
      </c>
      <c r="HC13" s="76">
        <v>18603</v>
      </c>
      <c r="HD13" s="76">
        <v>489</v>
      </c>
      <c r="HE13" s="76">
        <v>0</v>
      </c>
      <c r="HF13" s="76">
        <v>489</v>
      </c>
      <c r="HG13" s="76">
        <v>29548</v>
      </c>
      <c r="HH13" s="76">
        <v>1527</v>
      </c>
      <c r="HI13" s="76">
        <v>1026</v>
      </c>
      <c r="HJ13" s="76">
        <v>36</v>
      </c>
      <c r="HK13" s="76">
        <v>349</v>
      </c>
      <c r="HL13" s="76">
        <v>-1363</v>
      </c>
      <c r="HM13" s="76">
        <v>31123</v>
      </c>
      <c r="HN13" s="76">
        <v>16738</v>
      </c>
      <c r="HO13" s="76">
        <v>22284</v>
      </c>
      <c r="HP13" s="76">
        <v>-539</v>
      </c>
      <c r="HQ13" s="76">
        <v>187</v>
      </c>
      <c r="HR13" s="76">
        <v>-310</v>
      </c>
      <c r="HS13" s="76">
        <v>787</v>
      </c>
      <c r="HT13" s="76">
        <v>26990</v>
      </c>
      <c r="HU13" s="76">
        <v>0</v>
      </c>
      <c r="HV13" s="76">
        <v>-1</v>
      </c>
      <c r="HW13" s="76">
        <v>-2</v>
      </c>
      <c r="HX13" s="76">
        <v>41</v>
      </c>
    </row>
    <row r="14" spans="1:232" x14ac:dyDescent="0.2">
      <c r="A14" s="74" t="s">
        <v>230</v>
      </c>
      <c r="B14" s="74" t="s">
        <v>231</v>
      </c>
      <c r="C14" s="75" t="s">
        <v>200</v>
      </c>
      <c r="D14" s="75">
        <v>12</v>
      </c>
      <c r="E14" s="76">
        <v>374709</v>
      </c>
      <c r="F14" s="76">
        <v>0</v>
      </c>
      <c r="G14" s="76">
        <v>-359441</v>
      </c>
      <c r="H14" s="76">
        <v>15268</v>
      </c>
      <c r="I14" s="76">
        <v>7065</v>
      </c>
      <c r="J14" s="76">
        <v>0</v>
      </c>
      <c r="K14" s="76">
        <v>-735</v>
      </c>
      <c r="L14" s="76">
        <v>0</v>
      </c>
      <c r="M14" s="76">
        <v>2262</v>
      </c>
      <c r="N14" s="76">
        <v>-12304</v>
      </c>
      <c r="O14" s="76">
        <v>0</v>
      </c>
      <c r="P14" s="76">
        <v>0</v>
      </c>
      <c r="Q14" s="76">
        <v>0</v>
      </c>
      <c r="R14" s="76">
        <v>0</v>
      </c>
      <c r="S14" s="76">
        <v>11556</v>
      </c>
      <c r="T14" s="76">
        <v>-1002</v>
      </c>
      <c r="U14" s="76">
        <v>10554</v>
      </c>
      <c r="V14" s="76">
        <v>0</v>
      </c>
      <c r="W14" s="76">
        <v>-994</v>
      </c>
      <c r="X14" s="76">
        <v>0</v>
      </c>
      <c r="Y14" s="76">
        <v>-235</v>
      </c>
      <c r="Z14" s="76">
        <v>9325</v>
      </c>
      <c r="AA14" s="76">
        <v>270019</v>
      </c>
      <c r="AB14" s="76">
        <v>49372</v>
      </c>
      <c r="AC14" s="76">
        <v>319391</v>
      </c>
      <c r="AD14" s="76">
        <v>10207</v>
      </c>
      <c r="AE14" s="76">
        <v>0</v>
      </c>
      <c r="AF14" s="76">
        <v>287</v>
      </c>
      <c r="AG14" s="76">
        <v>4371</v>
      </c>
      <c r="AH14" s="76">
        <v>334256</v>
      </c>
      <c r="AI14" s="76">
        <v>47591</v>
      </c>
      <c r="AJ14" s="76">
        <v>174245</v>
      </c>
      <c r="AK14" s="76">
        <v>13649</v>
      </c>
      <c r="AL14" s="76">
        <v>13431</v>
      </c>
      <c r="AM14" s="76">
        <v>0</v>
      </c>
      <c r="AN14" s="76">
        <v>448</v>
      </c>
      <c r="AO14" s="76">
        <v>56873</v>
      </c>
      <c r="AP14" s="76">
        <v>1854</v>
      </c>
      <c r="AQ14" s="76">
        <v>8113</v>
      </c>
      <c r="AR14" s="76">
        <v>316204</v>
      </c>
      <c r="AS14" s="76">
        <v>18052</v>
      </c>
      <c r="AT14" s="76">
        <v>1542</v>
      </c>
      <c r="AU14" s="76">
        <v>668142</v>
      </c>
      <c r="AV14" s="76">
        <v>0</v>
      </c>
      <c r="AW14" s="76">
        <v>13259</v>
      </c>
      <c r="AX14" s="76">
        <v>3078</v>
      </c>
      <c r="AY14" s="76">
        <v>0</v>
      </c>
      <c r="AZ14" s="76">
        <v>0</v>
      </c>
      <c r="BA14" s="76">
        <v>0</v>
      </c>
      <c r="BB14" s="76">
        <v>0</v>
      </c>
      <c r="BC14" s="76">
        <v>0</v>
      </c>
      <c r="BD14" s="76">
        <v>1706</v>
      </c>
      <c r="BE14" s="76">
        <v>686185</v>
      </c>
      <c r="BF14" s="76">
        <v>80087</v>
      </c>
      <c r="BG14" s="76">
        <v>5768</v>
      </c>
      <c r="BH14" s="76">
        <v>44253</v>
      </c>
      <c r="BI14" s="76">
        <v>5113</v>
      </c>
      <c r="BJ14" s="76">
        <v>38242</v>
      </c>
      <c r="BK14" s="76">
        <v>173463</v>
      </c>
      <c r="BL14" s="76">
        <v>3510</v>
      </c>
      <c r="BM14" s="76">
        <v>0</v>
      </c>
      <c r="BN14" s="76">
        <v>10344</v>
      </c>
      <c r="BO14" s="76">
        <v>87461</v>
      </c>
      <c r="BP14" s="76">
        <v>101315</v>
      </c>
      <c r="BQ14" s="76">
        <v>72148</v>
      </c>
      <c r="BR14" s="76">
        <v>758333</v>
      </c>
      <c r="BS14" s="76">
        <v>297139</v>
      </c>
      <c r="BT14" s="76">
        <v>0</v>
      </c>
      <c r="BU14" s="76">
        <v>22503</v>
      </c>
      <c r="BV14" s="76">
        <v>91282</v>
      </c>
      <c r="BW14" s="76">
        <v>0</v>
      </c>
      <c r="BX14" s="76">
        <v>0</v>
      </c>
      <c r="BY14" s="76">
        <v>16472</v>
      </c>
      <c r="BZ14" s="76">
        <v>427396</v>
      </c>
      <c r="CA14" s="76">
        <v>21419</v>
      </c>
      <c r="CB14" s="76">
        <v>1588</v>
      </c>
      <c r="CC14" s="76">
        <v>307930</v>
      </c>
      <c r="CD14" s="76">
        <v>307808</v>
      </c>
      <c r="CE14" s="76">
        <v>0</v>
      </c>
      <c r="CF14" s="76">
        <v>122</v>
      </c>
      <c r="CG14" s="76">
        <v>0</v>
      </c>
      <c r="CH14" s="76">
        <v>0</v>
      </c>
      <c r="CI14" s="76">
        <v>307930</v>
      </c>
      <c r="CJ14" s="76">
        <v>0</v>
      </c>
      <c r="CK14" s="76">
        <v>0</v>
      </c>
      <c r="CL14" s="76">
        <v>0</v>
      </c>
      <c r="CM14" s="76">
        <v>0</v>
      </c>
      <c r="CN14" s="76">
        <v>0</v>
      </c>
      <c r="CO14" s="76">
        <v>0</v>
      </c>
      <c r="CP14" s="76">
        <v>0</v>
      </c>
      <c r="CQ14" s="76">
        <v>0</v>
      </c>
      <c r="CR14" s="76">
        <v>0</v>
      </c>
      <c r="CS14" s="76">
        <v>0</v>
      </c>
      <c r="CT14" s="76">
        <v>0</v>
      </c>
      <c r="CU14" s="76">
        <v>0</v>
      </c>
      <c r="CV14" s="76">
        <v>0</v>
      </c>
      <c r="CW14" s="76">
        <v>0</v>
      </c>
      <c r="CX14" s="76">
        <v>0</v>
      </c>
      <c r="CY14" s="76">
        <v>0</v>
      </c>
      <c r="CZ14" s="76">
        <v>2220</v>
      </c>
      <c r="DA14" s="76">
        <v>0</v>
      </c>
      <c r="DB14" s="76">
        <v>2076</v>
      </c>
      <c r="DC14" s="76">
        <v>144</v>
      </c>
      <c r="DD14" s="76">
        <v>2220</v>
      </c>
      <c r="DE14" s="76">
        <v>0</v>
      </c>
      <c r="DF14" s="76">
        <v>2076</v>
      </c>
      <c r="DG14" s="76">
        <v>144</v>
      </c>
      <c r="DH14" s="76">
        <v>30948</v>
      </c>
      <c r="DI14" s="76">
        <v>0</v>
      </c>
      <c r="DJ14" s="76">
        <v>25443</v>
      </c>
      <c r="DK14" s="76">
        <v>5505</v>
      </c>
      <c r="DL14" s="76">
        <v>0</v>
      </c>
      <c r="DM14" s="76">
        <v>0</v>
      </c>
      <c r="DN14" s="76">
        <v>0</v>
      </c>
      <c r="DO14" s="76">
        <v>0</v>
      </c>
      <c r="DP14" s="76">
        <v>0</v>
      </c>
      <c r="DQ14" s="76">
        <v>0</v>
      </c>
      <c r="DR14" s="76">
        <v>0</v>
      </c>
      <c r="DS14" s="76">
        <v>0</v>
      </c>
      <c r="DT14" s="76">
        <v>0</v>
      </c>
      <c r="DU14" s="76">
        <v>0</v>
      </c>
      <c r="DV14" s="76">
        <v>0</v>
      </c>
      <c r="DW14" s="76">
        <v>0</v>
      </c>
      <c r="DX14" s="76">
        <v>0</v>
      </c>
      <c r="DY14" s="76">
        <v>0</v>
      </c>
      <c r="DZ14" s="76">
        <v>0</v>
      </c>
      <c r="EA14" s="76">
        <v>0</v>
      </c>
      <c r="EB14" s="76">
        <v>7285</v>
      </c>
      <c r="EC14" s="76">
        <v>0</v>
      </c>
      <c r="ED14" s="76">
        <v>15718</v>
      </c>
      <c r="EE14" s="76">
        <v>-8433</v>
      </c>
      <c r="EF14" s="76">
        <v>38233</v>
      </c>
      <c r="EG14" s="76">
        <v>0</v>
      </c>
      <c r="EH14" s="76">
        <v>41161</v>
      </c>
      <c r="EI14" s="76">
        <v>-2928</v>
      </c>
      <c r="EJ14" s="76">
        <v>40453</v>
      </c>
      <c r="EK14" s="76">
        <v>0</v>
      </c>
      <c r="EL14" s="76">
        <v>43237</v>
      </c>
      <c r="EM14" s="76">
        <v>-2784</v>
      </c>
      <c r="EN14" s="76">
        <v>6915</v>
      </c>
      <c r="EO14" s="76">
        <v>384</v>
      </c>
      <c r="EP14" s="76">
        <v>1972</v>
      </c>
      <c r="EQ14" s="76">
        <v>384</v>
      </c>
      <c r="ER14" s="76">
        <v>1370900</v>
      </c>
      <c r="ES14" s="76">
        <v>0</v>
      </c>
      <c r="ET14" s="76">
        <v>1370900</v>
      </c>
      <c r="EU14" s="76">
        <v>44158</v>
      </c>
      <c r="EV14" s="76">
        <v>-15533</v>
      </c>
      <c r="EW14" s="76">
        <v>0</v>
      </c>
      <c r="EX14" s="76">
        <v>0</v>
      </c>
      <c r="EY14" s="76">
        <v>0</v>
      </c>
      <c r="EZ14" s="76">
        <v>1399525</v>
      </c>
      <c r="FA14" s="76">
        <v>685344</v>
      </c>
      <c r="FB14" s="76">
        <v>56114</v>
      </c>
      <c r="FC14" s="76">
        <v>1854</v>
      </c>
      <c r="FD14" s="76">
        <v>0</v>
      </c>
      <c r="FE14" s="76">
        <v>-11929</v>
      </c>
      <c r="FF14" s="76">
        <v>0</v>
      </c>
      <c r="FG14" s="76">
        <v>0</v>
      </c>
      <c r="FH14" s="76">
        <v>731383</v>
      </c>
      <c r="FI14" s="76">
        <v>668142</v>
      </c>
      <c r="FJ14" s="76">
        <v>685556</v>
      </c>
      <c r="FK14" s="76">
        <v>0</v>
      </c>
      <c r="FL14" s="76">
        <v>0</v>
      </c>
      <c r="FM14" s="76">
        <v>0</v>
      </c>
      <c r="FN14" s="76">
        <v>0</v>
      </c>
      <c r="FO14" s="76">
        <v>0</v>
      </c>
      <c r="FP14" s="76">
        <v>0</v>
      </c>
      <c r="FQ14" s="76">
        <v>0</v>
      </c>
      <c r="FR14" s="76">
        <v>0</v>
      </c>
      <c r="FS14" s="76">
        <v>0</v>
      </c>
      <c r="FT14" s="76">
        <v>8569</v>
      </c>
      <c r="FU14" s="76">
        <v>1499</v>
      </c>
      <c r="FV14" s="76">
        <v>7070</v>
      </c>
      <c r="FW14" s="76">
        <v>0</v>
      </c>
      <c r="FX14" s="76">
        <v>0</v>
      </c>
      <c r="FY14" s="76">
        <v>0</v>
      </c>
      <c r="FZ14" s="76">
        <v>2847</v>
      </c>
      <c r="GA14" s="76">
        <v>2852</v>
      </c>
      <c r="GB14" s="76">
        <v>-5</v>
      </c>
      <c r="GC14" s="76">
        <v>11416</v>
      </c>
      <c r="GD14" s="76">
        <v>4351</v>
      </c>
      <c r="GE14" s="76">
        <v>7065</v>
      </c>
      <c r="GF14" s="76">
        <v>0</v>
      </c>
      <c r="GG14" s="76">
        <v>0</v>
      </c>
      <c r="GH14" s="76">
        <v>0</v>
      </c>
      <c r="GI14" s="76">
        <v>0</v>
      </c>
      <c r="GJ14" s="76">
        <v>0</v>
      </c>
      <c r="GK14" s="76">
        <v>38242</v>
      </c>
      <c r="GL14" s="76">
        <v>38242</v>
      </c>
      <c r="GM14" s="76">
        <v>16382</v>
      </c>
      <c r="GN14" s="76">
        <v>11479</v>
      </c>
      <c r="GO14" s="76">
        <v>0</v>
      </c>
      <c r="GP14" s="76">
        <v>2904</v>
      </c>
      <c r="GQ14" s="76">
        <v>0</v>
      </c>
      <c r="GR14" s="76">
        <v>45353</v>
      </c>
      <c r="GS14" s="76">
        <v>420</v>
      </c>
      <c r="GT14" s="76">
        <v>0</v>
      </c>
      <c r="GU14" s="76">
        <v>0</v>
      </c>
      <c r="GV14" s="76">
        <v>0</v>
      </c>
      <c r="GW14" s="76">
        <v>10923</v>
      </c>
      <c r="GX14" s="76">
        <v>87461</v>
      </c>
      <c r="GY14" s="76">
        <v>2273</v>
      </c>
      <c r="GZ14" s="76">
        <v>0</v>
      </c>
      <c r="HA14" s="76">
        <v>0</v>
      </c>
      <c r="HB14" s="76">
        <v>14199</v>
      </c>
      <c r="HC14" s="76">
        <v>16472</v>
      </c>
      <c r="HD14" s="76">
        <v>0</v>
      </c>
      <c r="HE14" s="76">
        <v>1588</v>
      </c>
      <c r="HF14" s="76">
        <v>1588</v>
      </c>
      <c r="HG14" s="76">
        <v>8725</v>
      </c>
      <c r="HH14" s="76">
        <v>0</v>
      </c>
      <c r="HI14" s="76">
        <v>782</v>
      </c>
      <c r="HJ14" s="76">
        <v>33</v>
      </c>
      <c r="HK14" s="76">
        <v>2765</v>
      </c>
      <c r="HL14" s="76">
        <v>0</v>
      </c>
      <c r="HM14" s="76">
        <v>12305</v>
      </c>
      <c r="HN14" s="76">
        <v>38949</v>
      </c>
      <c r="HO14" s="76">
        <v>59550</v>
      </c>
      <c r="HP14" s="76">
        <v>1854</v>
      </c>
      <c r="HQ14" s="76">
        <v>92</v>
      </c>
      <c r="HR14" s="76">
        <v>-62</v>
      </c>
      <c r="HS14" s="76">
        <v>0</v>
      </c>
      <c r="HT14" s="76">
        <v>28470</v>
      </c>
      <c r="HU14" s="76">
        <v>83</v>
      </c>
      <c r="HV14" s="76">
        <v>0</v>
      </c>
      <c r="HW14" s="76">
        <v>0</v>
      </c>
      <c r="HX14" s="76">
        <v>6628</v>
      </c>
    </row>
    <row r="15" spans="1:232" x14ac:dyDescent="0.2">
      <c r="A15" s="74" t="s">
        <v>10</v>
      </c>
      <c r="B15" s="74" t="s">
        <v>9</v>
      </c>
      <c r="C15" s="75" t="s">
        <v>200</v>
      </c>
      <c r="D15" s="75">
        <v>12</v>
      </c>
      <c r="E15" s="76">
        <v>5391</v>
      </c>
      <c r="F15" s="76">
        <v>0</v>
      </c>
      <c r="G15" s="76">
        <v>-3381</v>
      </c>
      <c r="H15" s="76">
        <v>2010</v>
      </c>
      <c r="I15" s="76">
        <v>14</v>
      </c>
      <c r="J15" s="76">
        <v>0</v>
      </c>
      <c r="K15" s="76">
        <v>0</v>
      </c>
      <c r="L15" s="76">
        <v>0</v>
      </c>
      <c r="M15" s="76">
        <v>2</v>
      </c>
      <c r="N15" s="76">
        <v>-568</v>
      </c>
      <c r="O15" s="76">
        <v>0</v>
      </c>
      <c r="P15" s="76">
        <v>0</v>
      </c>
      <c r="Q15" s="76">
        <v>0</v>
      </c>
      <c r="R15" s="76">
        <v>0</v>
      </c>
      <c r="S15" s="76">
        <v>1458</v>
      </c>
      <c r="T15" s="76">
        <v>0</v>
      </c>
      <c r="U15" s="76">
        <v>1458</v>
      </c>
      <c r="V15" s="76">
        <v>0</v>
      </c>
      <c r="W15" s="76">
        <v>0</v>
      </c>
      <c r="X15" s="76">
        <v>0</v>
      </c>
      <c r="Y15" s="76">
        <v>0</v>
      </c>
      <c r="Z15" s="76">
        <v>1458</v>
      </c>
      <c r="AA15" s="76">
        <v>4428</v>
      </c>
      <c r="AB15" s="76">
        <v>432</v>
      </c>
      <c r="AC15" s="76">
        <v>4860</v>
      </c>
      <c r="AD15" s="76">
        <v>89</v>
      </c>
      <c r="AE15" s="76">
        <v>0</v>
      </c>
      <c r="AF15" s="76">
        <v>341</v>
      </c>
      <c r="AG15" s="76">
        <v>0</v>
      </c>
      <c r="AH15" s="76">
        <v>5290</v>
      </c>
      <c r="AI15" s="76">
        <v>777</v>
      </c>
      <c r="AJ15" s="76">
        <v>417</v>
      </c>
      <c r="AK15" s="76">
        <v>914</v>
      </c>
      <c r="AL15" s="76">
        <v>137</v>
      </c>
      <c r="AM15" s="76">
        <v>381</v>
      </c>
      <c r="AN15" s="76">
        <v>2</v>
      </c>
      <c r="AO15" s="76">
        <v>682</v>
      </c>
      <c r="AP15" s="76">
        <v>0</v>
      </c>
      <c r="AQ15" s="76">
        <v>0</v>
      </c>
      <c r="AR15" s="76">
        <v>3310</v>
      </c>
      <c r="AS15" s="76">
        <v>1980</v>
      </c>
      <c r="AT15" s="76">
        <v>15</v>
      </c>
      <c r="AU15" s="76">
        <v>31211</v>
      </c>
      <c r="AV15" s="76">
        <v>0</v>
      </c>
      <c r="AW15" s="76">
        <v>421</v>
      </c>
      <c r="AX15" s="76">
        <v>0</v>
      </c>
      <c r="AY15" s="76">
        <v>0</v>
      </c>
      <c r="AZ15" s="76">
        <v>0</v>
      </c>
      <c r="BA15" s="76">
        <v>0</v>
      </c>
      <c r="BB15" s="76">
        <v>0</v>
      </c>
      <c r="BC15" s="76">
        <v>0</v>
      </c>
      <c r="BD15" s="76">
        <v>0</v>
      </c>
      <c r="BE15" s="76">
        <v>31632</v>
      </c>
      <c r="BF15" s="76">
        <v>0</v>
      </c>
      <c r="BG15" s="76">
        <v>210</v>
      </c>
      <c r="BH15" s="76">
        <v>723</v>
      </c>
      <c r="BI15" s="76">
        <v>0</v>
      </c>
      <c r="BJ15" s="76">
        <v>0</v>
      </c>
      <c r="BK15" s="76">
        <v>933</v>
      </c>
      <c r="BL15" s="76">
        <v>773</v>
      </c>
      <c r="BM15" s="76">
        <v>0</v>
      </c>
      <c r="BN15" s="76">
        <v>89</v>
      </c>
      <c r="BO15" s="76">
        <v>766</v>
      </c>
      <c r="BP15" s="76">
        <v>1628</v>
      </c>
      <c r="BQ15" s="76">
        <v>-695</v>
      </c>
      <c r="BR15" s="76">
        <v>30937</v>
      </c>
      <c r="BS15" s="76">
        <v>14738</v>
      </c>
      <c r="BT15" s="76">
        <v>0</v>
      </c>
      <c r="BU15" s="76">
        <v>0</v>
      </c>
      <c r="BV15" s="76">
        <v>5420</v>
      </c>
      <c r="BW15" s="76">
        <v>0</v>
      </c>
      <c r="BX15" s="76">
        <v>0</v>
      </c>
      <c r="BY15" s="76">
        <v>517</v>
      </c>
      <c r="BZ15" s="76">
        <v>20675</v>
      </c>
      <c r="CA15" s="76">
        <v>0</v>
      </c>
      <c r="CB15" s="76">
        <v>0</v>
      </c>
      <c r="CC15" s="76">
        <v>10262</v>
      </c>
      <c r="CD15" s="76">
        <v>10262</v>
      </c>
      <c r="CE15" s="76">
        <v>0</v>
      </c>
      <c r="CF15" s="76">
        <v>0</v>
      </c>
      <c r="CG15" s="76">
        <v>0</v>
      </c>
      <c r="CH15" s="76">
        <v>0</v>
      </c>
      <c r="CI15" s="76">
        <v>10262</v>
      </c>
      <c r="CJ15" s="76">
        <v>0</v>
      </c>
      <c r="CK15" s="76">
        <v>0</v>
      </c>
      <c r="CL15" s="76">
        <v>0</v>
      </c>
      <c r="CM15" s="76">
        <v>0</v>
      </c>
      <c r="CN15" s="76">
        <v>34</v>
      </c>
      <c r="CO15" s="76">
        <v>0</v>
      </c>
      <c r="CP15" s="76">
        <v>31</v>
      </c>
      <c r="CQ15" s="76">
        <v>3</v>
      </c>
      <c r="CR15" s="76">
        <v>0</v>
      </c>
      <c r="CS15" s="76">
        <v>0</v>
      </c>
      <c r="CT15" s="76">
        <v>0</v>
      </c>
      <c r="CU15" s="76">
        <v>0</v>
      </c>
      <c r="CV15" s="76">
        <v>0</v>
      </c>
      <c r="CW15" s="76">
        <v>0</v>
      </c>
      <c r="CX15" s="76">
        <v>0</v>
      </c>
      <c r="CY15" s="76">
        <v>0</v>
      </c>
      <c r="CZ15" s="76">
        <v>48</v>
      </c>
      <c r="DA15" s="76">
        <v>0</v>
      </c>
      <c r="DB15" s="76">
        <v>40</v>
      </c>
      <c r="DC15" s="76">
        <v>8</v>
      </c>
      <c r="DD15" s="76">
        <v>82</v>
      </c>
      <c r="DE15" s="76">
        <v>0</v>
      </c>
      <c r="DF15" s="76">
        <v>71</v>
      </c>
      <c r="DG15" s="76">
        <v>11</v>
      </c>
      <c r="DH15" s="76">
        <v>0</v>
      </c>
      <c r="DI15" s="76">
        <v>0</v>
      </c>
      <c r="DJ15" s="76">
        <v>0</v>
      </c>
      <c r="DK15" s="76">
        <v>0</v>
      </c>
      <c r="DL15" s="76">
        <v>0</v>
      </c>
      <c r="DM15" s="76">
        <v>0</v>
      </c>
      <c r="DN15" s="76">
        <v>0</v>
      </c>
      <c r="DO15" s="76">
        <v>0</v>
      </c>
      <c r="DP15" s="76">
        <v>0</v>
      </c>
      <c r="DQ15" s="76">
        <v>0</v>
      </c>
      <c r="DR15" s="76">
        <v>0</v>
      </c>
      <c r="DS15" s="76">
        <v>0</v>
      </c>
      <c r="DT15" s="76">
        <v>0</v>
      </c>
      <c r="DU15" s="76">
        <v>0</v>
      </c>
      <c r="DV15" s="76">
        <v>0</v>
      </c>
      <c r="DW15" s="76">
        <v>0</v>
      </c>
      <c r="DX15" s="76">
        <v>0</v>
      </c>
      <c r="DY15" s="76">
        <v>0</v>
      </c>
      <c r="DZ15" s="76">
        <v>0</v>
      </c>
      <c r="EA15" s="76">
        <v>0</v>
      </c>
      <c r="EB15" s="76">
        <v>18</v>
      </c>
      <c r="EC15" s="76">
        <v>0</v>
      </c>
      <c r="ED15" s="76">
        <v>0</v>
      </c>
      <c r="EE15" s="76">
        <v>18</v>
      </c>
      <c r="EF15" s="76">
        <v>18</v>
      </c>
      <c r="EG15" s="76">
        <v>0</v>
      </c>
      <c r="EH15" s="76">
        <v>0</v>
      </c>
      <c r="EI15" s="76">
        <v>18</v>
      </c>
      <c r="EJ15" s="76">
        <v>100</v>
      </c>
      <c r="EK15" s="76">
        <v>0</v>
      </c>
      <c r="EL15" s="76">
        <v>71</v>
      </c>
      <c r="EM15" s="76">
        <v>29</v>
      </c>
      <c r="EN15" s="76">
        <v>201</v>
      </c>
      <c r="EO15" s="76">
        <v>52</v>
      </c>
      <c r="EP15" s="76">
        <v>70</v>
      </c>
      <c r="EQ15" s="76">
        <v>52</v>
      </c>
      <c r="ER15" s="76">
        <v>35222</v>
      </c>
      <c r="ES15" s="76">
        <v>0</v>
      </c>
      <c r="ET15" s="76">
        <v>35222</v>
      </c>
      <c r="EU15" s="76">
        <v>2131</v>
      </c>
      <c r="EV15" s="76">
        <v>-235</v>
      </c>
      <c r="EW15" s="76">
        <v>0</v>
      </c>
      <c r="EX15" s="76">
        <v>0</v>
      </c>
      <c r="EY15" s="76">
        <v>0</v>
      </c>
      <c r="EZ15" s="76">
        <v>37118</v>
      </c>
      <c r="FA15" s="76">
        <v>5347</v>
      </c>
      <c r="FB15" s="76">
        <v>682</v>
      </c>
      <c r="FC15" s="76">
        <v>0</v>
      </c>
      <c r="FD15" s="76">
        <v>0</v>
      </c>
      <c r="FE15" s="76">
        <v>-122</v>
      </c>
      <c r="FF15" s="76">
        <v>0</v>
      </c>
      <c r="FG15" s="76">
        <v>0</v>
      </c>
      <c r="FH15" s="76">
        <v>5907</v>
      </c>
      <c r="FI15" s="76">
        <v>31211</v>
      </c>
      <c r="FJ15" s="76">
        <v>29875</v>
      </c>
      <c r="FK15" s="76">
        <v>0</v>
      </c>
      <c r="FL15" s="76">
        <v>0</v>
      </c>
      <c r="FM15" s="76">
        <v>0</v>
      </c>
      <c r="FN15" s="76">
        <v>0</v>
      </c>
      <c r="FO15" s="76">
        <v>0</v>
      </c>
      <c r="FP15" s="76">
        <v>0</v>
      </c>
      <c r="FQ15" s="76">
        <v>85</v>
      </c>
      <c r="FR15" s="76">
        <v>71</v>
      </c>
      <c r="FS15" s="76">
        <v>14</v>
      </c>
      <c r="FT15" s="76">
        <v>0</v>
      </c>
      <c r="FU15" s="76">
        <v>0</v>
      </c>
      <c r="FV15" s="76">
        <v>0</v>
      </c>
      <c r="FW15" s="76">
        <v>0</v>
      </c>
      <c r="FX15" s="76">
        <v>0</v>
      </c>
      <c r="FY15" s="76">
        <v>0</v>
      </c>
      <c r="FZ15" s="76">
        <v>0</v>
      </c>
      <c r="GA15" s="76">
        <v>0</v>
      </c>
      <c r="GB15" s="76">
        <v>0</v>
      </c>
      <c r="GC15" s="76">
        <v>85</v>
      </c>
      <c r="GD15" s="76">
        <v>71</v>
      </c>
      <c r="GE15" s="76">
        <v>14</v>
      </c>
      <c r="GF15" s="76">
        <v>0</v>
      </c>
      <c r="GG15" s="76">
        <v>4</v>
      </c>
      <c r="GH15" s="76">
        <v>0</v>
      </c>
      <c r="GI15" s="76">
        <v>0</v>
      </c>
      <c r="GJ15" s="76">
        <v>0</v>
      </c>
      <c r="GK15" s="76">
        <v>0</v>
      </c>
      <c r="GL15" s="76">
        <v>4</v>
      </c>
      <c r="GM15" s="76">
        <v>32</v>
      </c>
      <c r="GN15" s="76">
        <v>110</v>
      </c>
      <c r="GO15" s="76">
        <v>0</v>
      </c>
      <c r="GP15" s="76">
        <v>0</v>
      </c>
      <c r="GQ15" s="76">
        <v>35</v>
      </c>
      <c r="GR15" s="76">
        <v>493</v>
      </c>
      <c r="GS15" s="76">
        <v>0</v>
      </c>
      <c r="GT15" s="76">
        <v>0</v>
      </c>
      <c r="GU15" s="76">
        <v>64</v>
      </c>
      <c r="GV15" s="76">
        <v>0</v>
      </c>
      <c r="GW15" s="76">
        <v>32</v>
      </c>
      <c r="GX15" s="76">
        <v>766</v>
      </c>
      <c r="GY15" s="76">
        <v>0</v>
      </c>
      <c r="GZ15" s="76">
        <v>31</v>
      </c>
      <c r="HA15" s="76">
        <v>456</v>
      </c>
      <c r="HB15" s="76">
        <v>31</v>
      </c>
      <c r="HC15" s="76">
        <v>518</v>
      </c>
      <c r="HD15" s="76">
        <v>0</v>
      </c>
      <c r="HE15" s="76">
        <v>0</v>
      </c>
      <c r="HF15" s="76">
        <v>0</v>
      </c>
      <c r="HG15" s="76">
        <v>549</v>
      </c>
      <c r="HH15" s="76">
        <v>9</v>
      </c>
      <c r="HI15" s="76">
        <v>10</v>
      </c>
      <c r="HJ15" s="76">
        <v>0</v>
      </c>
      <c r="HK15" s="76">
        <v>0</v>
      </c>
      <c r="HL15" s="76">
        <v>0</v>
      </c>
      <c r="HM15" s="76">
        <v>568</v>
      </c>
      <c r="HN15" s="76">
        <v>291</v>
      </c>
      <c r="HO15" s="76">
        <v>695</v>
      </c>
      <c r="HP15" s="76">
        <v>0</v>
      </c>
      <c r="HQ15" s="76">
        <v>8</v>
      </c>
      <c r="HR15" s="76">
        <v>-1</v>
      </c>
      <c r="HS15" s="76">
        <v>20</v>
      </c>
      <c r="HT15" s="76">
        <v>1051</v>
      </c>
      <c r="HU15" s="76">
        <v>0</v>
      </c>
      <c r="HV15" s="76">
        <v>0</v>
      </c>
      <c r="HW15" s="76">
        <v>59</v>
      </c>
      <c r="HX15" s="76">
        <v>60</v>
      </c>
    </row>
    <row r="16" spans="1:232" x14ac:dyDescent="0.2">
      <c r="A16" s="74" t="s">
        <v>12</v>
      </c>
      <c r="B16" s="74" t="s">
        <v>11</v>
      </c>
      <c r="C16" s="75" t="s">
        <v>200</v>
      </c>
      <c r="D16" s="75">
        <v>12</v>
      </c>
      <c r="E16" s="76">
        <v>5891</v>
      </c>
      <c r="F16" s="76">
        <v>-37</v>
      </c>
      <c r="G16" s="76">
        <v>-3698</v>
      </c>
      <c r="H16" s="76">
        <v>2156</v>
      </c>
      <c r="I16" s="76">
        <v>14</v>
      </c>
      <c r="J16" s="76">
        <v>0</v>
      </c>
      <c r="K16" s="76">
        <v>0</v>
      </c>
      <c r="L16" s="76">
        <v>0</v>
      </c>
      <c r="M16" s="76">
        <v>24</v>
      </c>
      <c r="N16" s="76">
        <v>-739</v>
      </c>
      <c r="O16" s="76">
        <v>0</v>
      </c>
      <c r="P16" s="76">
        <v>0</v>
      </c>
      <c r="Q16" s="76">
        <v>0</v>
      </c>
      <c r="R16" s="76">
        <v>0</v>
      </c>
      <c r="S16" s="76">
        <v>1455</v>
      </c>
      <c r="T16" s="76">
        <v>0</v>
      </c>
      <c r="U16" s="76">
        <v>1455</v>
      </c>
      <c r="V16" s="76">
        <v>0</v>
      </c>
      <c r="W16" s="76">
        <v>0</v>
      </c>
      <c r="X16" s="76">
        <v>0</v>
      </c>
      <c r="Y16" s="76">
        <v>0</v>
      </c>
      <c r="Z16" s="76">
        <v>1455</v>
      </c>
      <c r="AA16" s="76">
        <v>4923</v>
      </c>
      <c r="AB16" s="76">
        <v>59</v>
      </c>
      <c r="AC16" s="76">
        <v>4982</v>
      </c>
      <c r="AD16" s="76">
        <v>801</v>
      </c>
      <c r="AE16" s="76">
        <v>0</v>
      </c>
      <c r="AF16" s="76">
        <v>0</v>
      </c>
      <c r="AG16" s="76">
        <v>0</v>
      </c>
      <c r="AH16" s="76">
        <v>5783</v>
      </c>
      <c r="AI16" s="76">
        <v>814</v>
      </c>
      <c r="AJ16" s="76">
        <v>45</v>
      </c>
      <c r="AK16" s="76">
        <v>879</v>
      </c>
      <c r="AL16" s="76">
        <v>262</v>
      </c>
      <c r="AM16" s="76">
        <v>0</v>
      </c>
      <c r="AN16" s="76">
        <v>3</v>
      </c>
      <c r="AO16" s="76">
        <v>1654</v>
      </c>
      <c r="AP16" s="76">
        <v>0</v>
      </c>
      <c r="AQ16" s="76">
        <v>0</v>
      </c>
      <c r="AR16" s="76">
        <v>3657</v>
      </c>
      <c r="AS16" s="76">
        <v>2126</v>
      </c>
      <c r="AT16" s="76">
        <v>22</v>
      </c>
      <c r="AU16" s="76">
        <v>53196</v>
      </c>
      <c r="AV16" s="76">
        <v>0</v>
      </c>
      <c r="AW16" s="76">
        <v>434</v>
      </c>
      <c r="AX16" s="76">
        <v>37</v>
      </c>
      <c r="AY16" s="76">
        <v>0</v>
      </c>
      <c r="AZ16" s="76">
        <v>0</v>
      </c>
      <c r="BA16" s="76">
        <v>0</v>
      </c>
      <c r="BB16" s="76">
        <v>0</v>
      </c>
      <c r="BC16" s="76">
        <v>0</v>
      </c>
      <c r="BD16" s="76">
        <v>0</v>
      </c>
      <c r="BE16" s="76">
        <v>53667</v>
      </c>
      <c r="BF16" s="76">
        <v>179</v>
      </c>
      <c r="BG16" s="76">
        <v>310</v>
      </c>
      <c r="BH16" s="76">
        <v>139</v>
      </c>
      <c r="BI16" s="76">
        <v>2023</v>
      </c>
      <c r="BJ16" s="76">
        <v>0</v>
      </c>
      <c r="BK16" s="76">
        <v>2651</v>
      </c>
      <c r="BL16" s="76">
        <v>473</v>
      </c>
      <c r="BM16" s="76">
        <v>0</v>
      </c>
      <c r="BN16" s="76">
        <v>814</v>
      </c>
      <c r="BO16" s="76">
        <v>1497</v>
      </c>
      <c r="BP16" s="76">
        <v>2784</v>
      </c>
      <c r="BQ16" s="76">
        <v>-133</v>
      </c>
      <c r="BR16" s="76">
        <v>53534</v>
      </c>
      <c r="BS16" s="76">
        <v>18273</v>
      </c>
      <c r="BT16" s="76">
        <v>0</v>
      </c>
      <c r="BU16" s="76">
        <v>0</v>
      </c>
      <c r="BV16" s="76">
        <v>23575</v>
      </c>
      <c r="BW16" s="76">
        <v>0</v>
      </c>
      <c r="BX16" s="76">
        <v>0</v>
      </c>
      <c r="BY16" s="76">
        <v>1497</v>
      </c>
      <c r="BZ16" s="76">
        <v>43345</v>
      </c>
      <c r="CA16" s="76">
        <v>0</v>
      </c>
      <c r="CB16" s="76">
        <v>0</v>
      </c>
      <c r="CC16" s="76">
        <v>10189</v>
      </c>
      <c r="CD16" s="76">
        <v>10189</v>
      </c>
      <c r="CE16" s="76">
        <v>0</v>
      </c>
      <c r="CF16" s="76">
        <v>0</v>
      </c>
      <c r="CG16" s="76">
        <v>0</v>
      </c>
      <c r="CH16" s="76">
        <v>0</v>
      </c>
      <c r="CI16" s="76">
        <v>10189</v>
      </c>
      <c r="CJ16" s="76">
        <v>88</v>
      </c>
      <c r="CK16" s="76">
        <v>37</v>
      </c>
      <c r="CL16" s="76">
        <v>0</v>
      </c>
      <c r="CM16" s="76">
        <v>51</v>
      </c>
      <c r="CN16" s="76">
        <v>0</v>
      </c>
      <c r="CO16" s="76">
        <v>0</v>
      </c>
      <c r="CP16" s="76">
        <v>0</v>
      </c>
      <c r="CQ16" s="76">
        <v>0</v>
      </c>
      <c r="CR16" s="76">
        <v>0</v>
      </c>
      <c r="CS16" s="76">
        <v>0</v>
      </c>
      <c r="CT16" s="76">
        <v>0</v>
      </c>
      <c r="CU16" s="76">
        <v>0</v>
      </c>
      <c r="CV16" s="76">
        <v>0</v>
      </c>
      <c r="CW16" s="76">
        <v>0</v>
      </c>
      <c r="CX16" s="76">
        <v>0</v>
      </c>
      <c r="CY16" s="76">
        <v>0</v>
      </c>
      <c r="CZ16" s="76">
        <v>0</v>
      </c>
      <c r="DA16" s="76">
        <v>0</v>
      </c>
      <c r="DB16" s="76">
        <v>41</v>
      </c>
      <c r="DC16" s="76">
        <v>-41</v>
      </c>
      <c r="DD16" s="76">
        <v>88</v>
      </c>
      <c r="DE16" s="76">
        <v>37</v>
      </c>
      <c r="DF16" s="76">
        <v>41</v>
      </c>
      <c r="DG16" s="76">
        <v>10</v>
      </c>
      <c r="DH16" s="76">
        <v>0</v>
      </c>
      <c r="DI16" s="76">
        <v>0</v>
      </c>
      <c r="DJ16" s="76">
        <v>0</v>
      </c>
      <c r="DK16" s="76">
        <v>0</v>
      </c>
      <c r="DL16" s="76">
        <v>0</v>
      </c>
      <c r="DM16" s="76">
        <v>0</v>
      </c>
      <c r="DN16" s="76">
        <v>0</v>
      </c>
      <c r="DO16" s="76">
        <v>0</v>
      </c>
      <c r="DP16" s="76">
        <v>0</v>
      </c>
      <c r="DQ16" s="76">
        <v>0</v>
      </c>
      <c r="DR16" s="76">
        <v>0</v>
      </c>
      <c r="DS16" s="76">
        <v>0</v>
      </c>
      <c r="DT16" s="76">
        <v>0</v>
      </c>
      <c r="DU16" s="76">
        <v>0</v>
      </c>
      <c r="DV16" s="76">
        <v>0</v>
      </c>
      <c r="DW16" s="76">
        <v>0</v>
      </c>
      <c r="DX16" s="76">
        <v>0</v>
      </c>
      <c r="DY16" s="76">
        <v>0</v>
      </c>
      <c r="DZ16" s="76">
        <v>0</v>
      </c>
      <c r="EA16" s="76">
        <v>0</v>
      </c>
      <c r="EB16" s="76">
        <v>20</v>
      </c>
      <c r="EC16" s="76">
        <v>0</v>
      </c>
      <c r="ED16" s="76">
        <v>0</v>
      </c>
      <c r="EE16" s="76">
        <v>20</v>
      </c>
      <c r="EF16" s="76">
        <v>20</v>
      </c>
      <c r="EG16" s="76">
        <v>0</v>
      </c>
      <c r="EH16" s="76">
        <v>0</v>
      </c>
      <c r="EI16" s="76">
        <v>20</v>
      </c>
      <c r="EJ16" s="76">
        <v>108</v>
      </c>
      <c r="EK16" s="76">
        <v>37</v>
      </c>
      <c r="EL16" s="76">
        <v>41</v>
      </c>
      <c r="EM16" s="76">
        <v>30</v>
      </c>
      <c r="EN16" s="76">
        <v>153</v>
      </c>
      <c r="EO16" s="76">
        <v>35</v>
      </c>
      <c r="EP16" s="76">
        <v>61</v>
      </c>
      <c r="EQ16" s="76">
        <v>35</v>
      </c>
      <c r="ER16" s="76">
        <v>71636</v>
      </c>
      <c r="ES16" s="76">
        <v>0</v>
      </c>
      <c r="ET16" s="76">
        <v>71636</v>
      </c>
      <c r="EU16" s="76">
        <v>4294</v>
      </c>
      <c r="EV16" s="76">
        <v>-577</v>
      </c>
      <c r="EW16" s="76">
        <v>0</v>
      </c>
      <c r="EX16" s="76">
        <v>0</v>
      </c>
      <c r="EY16" s="76">
        <v>-10</v>
      </c>
      <c r="EZ16" s="76">
        <v>75343</v>
      </c>
      <c r="FA16" s="76">
        <v>20840</v>
      </c>
      <c r="FB16" s="76">
        <v>1601</v>
      </c>
      <c r="FC16" s="76">
        <v>-11</v>
      </c>
      <c r="FD16" s="76">
        <v>0</v>
      </c>
      <c r="FE16" s="76">
        <v>-283</v>
      </c>
      <c r="FF16" s="76">
        <v>0</v>
      </c>
      <c r="FG16" s="76">
        <v>0</v>
      </c>
      <c r="FH16" s="76">
        <v>22147</v>
      </c>
      <c r="FI16" s="76">
        <v>53196</v>
      </c>
      <c r="FJ16" s="76">
        <v>50796</v>
      </c>
      <c r="FK16" s="76">
        <v>58</v>
      </c>
      <c r="FL16" s="76">
        <v>77</v>
      </c>
      <c r="FM16" s="76">
        <v>-19</v>
      </c>
      <c r="FN16" s="76">
        <v>0</v>
      </c>
      <c r="FO16" s="76">
        <v>0</v>
      </c>
      <c r="FP16" s="76">
        <v>0</v>
      </c>
      <c r="FQ16" s="76">
        <v>0</v>
      </c>
      <c r="FR16" s="76">
        <v>0</v>
      </c>
      <c r="FS16" s="76">
        <v>0</v>
      </c>
      <c r="FT16" s="76">
        <v>283</v>
      </c>
      <c r="FU16" s="76">
        <v>250</v>
      </c>
      <c r="FV16" s="76">
        <v>33</v>
      </c>
      <c r="FW16" s="76">
        <v>0</v>
      </c>
      <c r="FX16" s="76">
        <v>0</v>
      </c>
      <c r="FY16" s="76">
        <v>0</v>
      </c>
      <c r="FZ16" s="76">
        <v>0</v>
      </c>
      <c r="GA16" s="76">
        <v>0</v>
      </c>
      <c r="GB16" s="76">
        <v>0</v>
      </c>
      <c r="GC16" s="76">
        <v>341</v>
      </c>
      <c r="GD16" s="76">
        <v>327</v>
      </c>
      <c r="GE16" s="76">
        <v>14</v>
      </c>
      <c r="GF16" s="76">
        <v>0</v>
      </c>
      <c r="GG16" s="76">
        <v>0</v>
      </c>
      <c r="GH16" s="76">
        <v>0</v>
      </c>
      <c r="GI16" s="76">
        <v>0</v>
      </c>
      <c r="GJ16" s="76">
        <v>0</v>
      </c>
      <c r="GK16" s="76">
        <v>0</v>
      </c>
      <c r="GL16" s="76">
        <v>0</v>
      </c>
      <c r="GM16" s="76">
        <v>369</v>
      </c>
      <c r="GN16" s="76">
        <v>183</v>
      </c>
      <c r="GO16" s="76">
        <v>0</v>
      </c>
      <c r="GP16" s="76">
        <v>0</v>
      </c>
      <c r="GQ16" s="76">
        <v>0</v>
      </c>
      <c r="GR16" s="76">
        <v>264</v>
      </c>
      <c r="GS16" s="76">
        <v>0</v>
      </c>
      <c r="GT16" s="76">
        <v>0</v>
      </c>
      <c r="GU16" s="76">
        <v>81</v>
      </c>
      <c r="GV16" s="76">
        <v>0</v>
      </c>
      <c r="GW16" s="76">
        <v>600</v>
      </c>
      <c r="GX16" s="76">
        <v>1497</v>
      </c>
      <c r="GY16" s="76">
        <v>372</v>
      </c>
      <c r="GZ16" s="76">
        <v>0</v>
      </c>
      <c r="HA16" s="76">
        <v>513</v>
      </c>
      <c r="HB16" s="76">
        <v>612</v>
      </c>
      <c r="HC16" s="76">
        <v>1497</v>
      </c>
      <c r="HD16" s="76">
        <v>0</v>
      </c>
      <c r="HE16" s="76">
        <v>0</v>
      </c>
      <c r="HF16" s="76">
        <v>0</v>
      </c>
      <c r="HG16" s="76">
        <v>770</v>
      </c>
      <c r="HH16" s="76">
        <v>-17</v>
      </c>
      <c r="HI16" s="76">
        <v>12</v>
      </c>
      <c r="HJ16" s="76">
        <v>0</v>
      </c>
      <c r="HK16" s="76">
        <v>7</v>
      </c>
      <c r="HL16" s="76">
        <v>-33</v>
      </c>
      <c r="HM16" s="76">
        <v>739</v>
      </c>
      <c r="HN16" s="76">
        <v>698</v>
      </c>
      <c r="HO16" s="76">
        <v>1692</v>
      </c>
      <c r="HP16" s="76">
        <v>-11</v>
      </c>
      <c r="HQ16" s="76">
        <v>26</v>
      </c>
      <c r="HR16" s="76">
        <v>-7</v>
      </c>
      <c r="HS16" s="76">
        <v>0</v>
      </c>
      <c r="HT16" s="76">
        <v>1156</v>
      </c>
      <c r="HU16" s="76">
        <v>0</v>
      </c>
      <c r="HV16" s="76">
        <v>0</v>
      </c>
      <c r="HW16" s="76">
        <v>0</v>
      </c>
      <c r="HX16" s="76">
        <v>0</v>
      </c>
    </row>
    <row r="17" spans="1:232" x14ac:dyDescent="0.2">
      <c r="A17" s="74" t="s">
        <v>235</v>
      </c>
      <c r="B17" s="74" t="s">
        <v>236</v>
      </c>
      <c r="C17" s="75" t="s">
        <v>200</v>
      </c>
      <c r="D17" s="75">
        <v>12</v>
      </c>
      <c r="E17" s="76">
        <v>6163</v>
      </c>
      <c r="F17" s="76">
        <v>-115</v>
      </c>
      <c r="G17" s="76">
        <v>-4109</v>
      </c>
      <c r="H17" s="76">
        <v>1939</v>
      </c>
      <c r="I17" s="76">
        <v>349</v>
      </c>
      <c r="J17" s="76">
        <v>0</v>
      </c>
      <c r="K17" s="76">
        <v>0</v>
      </c>
      <c r="L17" s="76">
        <v>0</v>
      </c>
      <c r="M17" s="76">
        <v>7</v>
      </c>
      <c r="N17" s="76">
        <v>-778</v>
      </c>
      <c r="O17" s="76">
        <v>149</v>
      </c>
      <c r="P17" s="76">
        <v>0</v>
      </c>
      <c r="Q17" s="76">
        <v>0</v>
      </c>
      <c r="R17" s="76">
        <v>0</v>
      </c>
      <c r="S17" s="76">
        <v>1666</v>
      </c>
      <c r="T17" s="76">
        <v>0</v>
      </c>
      <c r="U17" s="76">
        <v>1666</v>
      </c>
      <c r="V17" s="76">
        <v>0</v>
      </c>
      <c r="W17" s="76">
        <v>0</v>
      </c>
      <c r="X17" s="76">
        <v>0</v>
      </c>
      <c r="Y17" s="76">
        <v>0</v>
      </c>
      <c r="Z17" s="76">
        <v>1666</v>
      </c>
      <c r="AA17" s="76">
        <v>5060</v>
      </c>
      <c r="AB17" s="76">
        <v>230</v>
      </c>
      <c r="AC17" s="76">
        <v>5290</v>
      </c>
      <c r="AD17" s="76">
        <v>475</v>
      </c>
      <c r="AE17" s="76">
        <v>0</v>
      </c>
      <c r="AF17" s="76">
        <v>0</v>
      </c>
      <c r="AG17" s="76">
        <v>121</v>
      </c>
      <c r="AH17" s="76">
        <v>5886</v>
      </c>
      <c r="AI17" s="76">
        <v>1051</v>
      </c>
      <c r="AJ17" s="76">
        <v>222</v>
      </c>
      <c r="AK17" s="76">
        <v>814</v>
      </c>
      <c r="AL17" s="76">
        <v>208</v>
      </c>
      <c r="AM17" s="76">
        <v>304</v>
      </c>
      <c r="AN17" s="76">
        <v>52</v>
      </c>
      <c r="AO17" s="76">
        <v>1259</v>
      </c>
      <c r="AP17" s="76">
        <v>0</v>
      </c>
      <c r="AQ17" s="76">
        <v>125</v>
      </c>
      <c r="AR17" s="76">
        <v>4035</v>
      </c>
      <c r="AS17" s="76">
        <v>1851</v>
      </c>
      <c r="AT17" s="76">
        <v>35</v>
      </c>
      <c r="AU17" s="76">
        <v>52690</v>
      </c>
      <c r="AV17" s="76">
        <v>0</v>
      </c>
      <c r="AW17" s="76">
        <v>86</v>
      </c>
      <c r="AX17" s="76">
        <v>0</v>
      </c>
      <c r="AY17" s="76">
        <v>0</v>
      </c>
      <c r="AZ17" s="76">
        <v>2592</v>
      </c>
      <c r="BA17" s="76">
        <v>0</v>
      </c>
      <c r="BB17" s="76">
        <v>0</v>
      </c>
      <c r="BC17" s="76">
        <v>0</v>
      </c>
      <c r="BD17" s="76">
        <v>0</v>
      </c>
      <c r="BE17" s="76">
        <v>55368</v>
      </c>
      <c r="BF17" s="76">
        <v>94</v>
      </c>
      <c r="BG17" s="76">
        <v>599</v>
      </c>
      <c r="BH17" s="76">
        <v>1252</v>
      </c>
      <c r="BI17" s="76">
        <v>1167</v>
      </c>
      <c r="BJ17" s="76">
        <v>0</v>
      </c>
      <c r="BK17" s="76">
        <v>3112</v>
      </c>
      <c r="BL17" s="76">
        <v>423</v>
      </c>
      <c r="BM17" s="76">
        <v>0</v>
      </c>
      <c r="BN17" s="76">
        <v>427</v>
      </c>
      <c r="BO17" s="76">
        <v>758</v>
      </c>
      <c r="BP17" s="76">
        <v>1608</v>
      </c>
      <c r="BQ17" s="76">
        <v>1504</v>
      </c>
      <c r="BR17" s="76">
        <v>56872</v>
      </c>
      <c r="BS17" s="76">
        <v>17082</v>
      </c>
      <c r="BT17" s="76">
        <v>0</v>
      </c>
      <c r="BU17" s="76">
        <v>0</v>
      </c>
      <c r="BV17" s="76">
        <v>19507</v>
      </c>
      <c r="BW17" s="76">
        <v>0</v>
      </c>
      <c r="BX17" s="76">
        <v>0</v>
      </c>
      <c r="BY17" s="76">
        <v>149</v>
      </c>
      <c r="BZ17" s="76">
        <v>36738</v>
      </c>
      <c r="CA17" s="76">
        <v>0</v>
      </c>
      <c r="CB17" s="76">
        <v>0</v>
      </c>
      <c r="CC17" s="76">
        <v>20134</v>
      </c>
      <c r="CD17" s="76">
        <v>20134</v>
      </c>
      <c r="CE17" s="76">
        <v>0</v>
      </c>
      <c r="CF17" s="76">
        <v>0</v>
      </c>
      <c r="CG17" s="76">
        <v>0</v>
      </c>
      <c r="CH17" s="76">
        <v>0</v>
      </c>
      <c r="CI17" s="76">
        <v>20134</v>
      </c>
      <c r="CJ17" s="76">
        <v>125</v>
      </c>
      <c r="CK17" s="76">
        <v>115</v>
      </c>
      <c r="CL17" s="76">
        <v>0</v>
      </c>
      <c r="CM17" s="76">
        <v>10</v>
      </c>
      <c r="CN17" s="76">
        <v>0</v>
      </c>
      <c r="CO17" s="76">
        <v>0</v>
      </c>
      <c r="CP17" s="76">
        <v>0</v>
      </c>
      <c r="CQ17" s="76">
        <v>0</v>
      </c>
      <c r="CR17" s="76">
        <v>0</v>
      </c>
      <c r="CS17" s="76">
        <v>0</v>
      </c>
      <c r="CT17" s="76">
        <v>0</v>
      </c>
      <c r="CU17" s="76">
        <v>0</v>
      </c>
      <c r="CV17" s="76">
        <v>0</v>
      </c>
      <c r="CW17" s="76">
        <v>0</v>
      </c>
      <c r="CX17" s="76">
        <v>0</v>
      </c>
      <c r="CY17" s="76">
        <v>0</v>
      </c>
      <c r="CZ17" s="76">
        <v>0</v>
      </c>
      <c r="DA17" s="76">
        <v>0</v>
      </c>
      <c r="DB17" s="76">
        <v>0</v>
      </c>
      <c r="DC17" s="76">
        <v>0</v>
      </c>
      <c r="DD17" s="76">
        <v>125</v>
      </c>
      <c r="DE17" s="76">
        <v>115</v>
      </c>
      <c r="DF17" s="76">
        <v>0</v>
      </c>
      <c r="DG17" s="76">
        <v>10</v>
      </c>
      <c r="DH17" s="76">
        <v>0</v>
      </c>
      <c r="DI17" s="76">
        <v>0</v>
      </c>
      <c r="DJ17" s="76">
        <v>0</v>
      </c>
      <c r="DK17" s="76">
        <v>0</v>
      </c>
      <c r="DL17" s="76">
        <v>0</v>
      </c>
      <c r="DM17" s="76">
        <v>0</v>
      </c>
      <c r="DN17" s="76">
        <v>0</v>
      </c>
      <c r="DO17" s="76">
        <v>0</v>
      </c>
      <c r="DP17" s="76">
        <v>0</v>
      </c>
      <c r="DQ17" s="76">
        <v>0</v>
      </c>
      <c r="DR17" s="76">
        <v>0</v>
      </c>
      <c r="DS17" s="76">
        <v>0</v>
      </c>
      <c r="DT17" s="76">
        <v>152</v>
      </c>
      <c r="DU17" s="76">
        <v>0</v>
      </c>
      <c r="DV17" s="76">
        <v>74</v>
      </c>
      <c r="DW17" s="76">
        <v>78</v>
      </c>
      <c r="DX17" s="76">
        <v>0</v>
      </c>
      <c r="DY17" s="76">
        <v>0</v>
      </c>
      <c r="DZ17" s="76">
        <v>0</v>
      </c>
      <c r="EA17" s="76">
        <v>0</v>
      </c>
      <c r="EB17" s="76">
        <v>0</v>
      </c>
      <c r="EC17" s="76">
        <v>0</v>
      </c>
      <c r="ED17" s="76">
        <v>0</v>
      </c>
      <c r="EE17" s="76">
        <v>0</v>
      </c>
      <c r="EF17" s="76">
        <v>152</v>
      </c>
      <c r="EG17" s="76">
        <v>0</v>
      </c>
      <c r="EH17" s="76">
        <v>74</v>
      </c>
      <c r="EI17" s="76">
        <v>78</v>
      </c>
      <c r="EJ17" s="76">
        <v>277</v>
      </c>
      <c r="EK17" s="76">
        <v>115</v>
      </c>
      <c r="EL17" s="76">
        <v>74</v>
      </c>
      <c r="EM17" s="76">
        <v>88</v>
      </c>
      <c r="EN17" s="76">
        <v>166</v>
      </c>
      <c r="EO17" s="76">
        <v>44</v>
      </c>
      <c r="EP17" s="76">
        <v>42</v>
      </c>
      <c r="EQ17" s="76">
        <v>35</v>
      </c>
      <c r="ER17" s="76">
        <v>67504</v>
      </c>
      <c r="ES17" s="76">
        <v>0</v>
      </c>
      <c r="ET17" s="76">
        <v>67504</v>
      </c>
      <c r="EU17" s="76">
        <v>1905</v>
      </c>
      <c r="EV17" s="76">
        <v>-835</v>
      </c>
      <c r="EW17" s="76">
        <v>0</v>
      </c>
      <c r="EX17" s="76">
        <v>16</v>
      </c>
      <c r="EY17" s="76">
        <v>0</v>
      </c>
      <c r="EZ17" s="76">
        <v>68590</v>
      </c>
      <c r="FA17" s="76">
        <v>15067</v>
      </c>
      <c r="FB17" s="76">
        <v>1157</v>
      </c>
      <c r="FC17" s="76">
        <v>0</v>
      </c>
      <c r="FD17" s="76">
        <v>0</v>
      </c>
      <c r="FE17" s="76">
        <v>-324</v>
      </c>
      <c r="FF17" s="76">
        <v>0</v>
      </c>
      <c r="FG17" s="76">
        <v>0</v>
      </c>
      <c r="FH17" s="76">
        <v>15900</v>
      </c>
      <c r="FI17" s="76">
        <v>52690</v>
      </c>
      <c r="FJ17" s="76">
        <v>52437</v>
      </c>
      <c r="FK17" s="76">
        <v>0</v>
      </c>
      <c r="FL17" s="76">
        <v>0</v>
      </c>
      <c r="FM17" s="76">
        <v>0</v>
      </c>
      <c r="FN17" s="76">
        <v>48</v>
      </c>
      <c r="FO17" s="76">
        <v>24</v>
      </c>
      <c r="FP17" s="76">
        <v>24</v>
      </c>
      <c r="FQ17" s="76">
        <v>0</v>
      </c>
      <c r="FR17" s="76">
        <v>0</v>
      </c>
      <c r="FS17" s="76">
        <v>0</v>
      </c>
      <c r="FT17" s="76">
        <v>652</v>
      </c>
      <c r="FU17" s="76">
        <v>327</v>
      </c>
      <c r="FV17" s="76">
        <v>325</v>
      </c>
      <c r="FW17" s="76">
        <v>0</v>
      </c>
      <c r="FX17" s="76">
        <v>0</v>
      </c>
      <c r="FY17" s="76">
        <v>0</v>
      </c>
      <c r="FZ17" s="76">
        <v>0</v>
      </c>
      <c r="GA17" s="76">
        <v>0</v>
      </c>
      <c r="GB17" s="76">
        <v>0</v>
      </c>
      <c r="GC17" s="76">
        <v>700</v>
      </c>
      <c r="GD17" s="76">
        <v>351</v>
      </c>
      <c r="GE17" s="76">
        <v>349</v>
      </c>
      <c r="GF17" s="76">
        <v>0</v>
      </c>
      <c r="GG17" s="76">
        <v>0</v>
      </c>
      <c r="GH17" s="76">
        <v>0</v>
      </c>
      <c r="GI17" s="76">
        <v>0</v>
      </c>
      <c r="GJ17" s="76">
        <v>0</v>
      </c>
      <c r="GK17" s="76">
        <v>0</v>
      </c>
      <c r="GL17" s="76">
        <v>0</v>
      </c>
      <c r="GM17" s="76">
        <v>88</v>
      </c>
      <c r="GN17" s="76">
        <v>102</v>
      </c>
      <c r="GO17" s="76">
        <v>0</v>
      </c>
      <c r="GP17" s="76">
        <v>53</v>
      </c>
      <c r="GQ17" s="76">
        <v>0</v>
      </c>
      <c r="GR17" s="76">
        <v>515</v>
      </c>
      <c r="GS17" s="76">
        <v>0</v>
      </c>
      <c r="GT17" s="76">
        <v>0</v>
      </c>
      <c r="GU17" s="76">
        <v>0</v>
      </c>
      <c r="GV17" s="76">
        <v>0</v>
      </c>
      <c r="GW17" s="76">
        <v>0</v>
      </c>
      <c r="GX17" s="76">
        <v>758</v>
      </c>
      <c r="GY17" s="76">
        <v>138</v>
      </c>
      <c r="GZ17" s="76">
        <v>0</v>
      </c>
      <c r="HA17" s="76">
        <v>0</v>
      </c>
      <c r="HB17" s="76">
        <v>11</v>
      </c>
      <c r="HC17" s="76">
        <v>149</v>
      </c>
      <c r="HD17" s="76">
        <v>0</v>
      </c>
      <c r="HE17" s="76">
        <v>0</v>
      </c>
      <c r="HF17" s="76">
        <v>0</v>
      </c>
      <c r="HG17" s="76">
        <v>778</v>
      </c>
      <c r="HH17" s="76">
        <v>0</v>
      </c>
      <c r="HI17" s="76">
        <v>0</v>
      </c>
      <c r="HJ17" s="76">
        <v>0</v>
      </c>
      <c r="HK17" s="76">
        <v>0</v>
      </c>
      <c r="HL17" s="76">
        <v>0</v>
      </c>
      <c r="HM17" s="76">
        <v>778</v>
      </c>
      <c r="HN17" s="76">
        <v>445</v>
      </c>
      <c r="HO17" s="76">
        <v>1259</v>
      </c>
      <c r="HP17" s="76">
        <v>0</v>
      </c>
      <c r="HQ17" s="76">
        <v>20</v>
      </c>
      <c r="HR17" s="76">
        <v>-9</v>
      </c>
      <c r="HS17" s="76">
        <v>0</v>
      </c>
      <c r="HT17" s="76">
        <v>1184</v>
      </c>
      <c r="HU17" s="76">
        <v>0</v>
      </c>
      <c r="HV17" s="76">
        <v>-1</v>
      </c>
      <c r="HW17" s="76">
        <v>0</v>
      </c>
      <c r="HX17" s="76">
        <v>54</v>
      </c>
    </row>
    <row r="18" spans="1:232" x14ac:dyDescent="0.2">
      <c r="A18" s="74" t="s">
        <v>240</v>
      </c>
      <c r="B18" s="74" t="s">
        <v>241</v>
      </c>
      <c r="C18" s="75" t="s">
        <v>200</v>
      </c>
      <c r="D18" s="75">
        <v>12</v>
      </c>
      <c r="E18" s="76">
        <v>47042</v>
      </c>
      <c r="F18" s="76">
        <v>0</v>
      </c>
      <c r="G18" s="76">
        <v>-31386</v>
      </c>
      <c r="H18" s="76">
        <v>15656</v>
      </c>
      <c r="I18" s="76">
        <v>2733</v>
      </c>
      <c r="J18" s="76">
        <v>0</v>
      </c>
      <c r="K18" s="76">
        <v>-324</v>
      </c>
      <c r="L18" s="76">
        <v>0</v>
      </c>
      <c r="M18" s="76">
        <v>19</v>
      </c>
      <c r="N18" s="76">
        <v>-7335</v>
      </c>
      <c r="O18" s="76">
        <v>0</v>
      </c>
      <c r="P18" s="76">
        <v>0</v>
      </c>
      <c r="Q18" s="76">
        <v>0</v>
      </c>
      <c r="R18" s="76">
        <v>0</v>
      </c>
      <c r="S18" s="76">
        <v>10749</v>
      </c>
      <c r="T18" s="76">
        <v>-113</v>
      </c>
      <c r="U18" s="76">
        <v>10636</v>
      </c>
      <c r="V18" s="76">
        <v>0</v>
      </c>
      <c r="W18" s="76">
        <v>-6235</v>
      </c>
      <c r="X18" s="76">
        <v>0</v>
      </c>
      <c r="Y18" s="76">
        <v>0</v>
      </c>
      <c r="Z18" s="76">
        <v>4401</v>
      </c>
      <c r="AA18" s="76">
        <v>34879</v>
      </c>
      <c r="AB18" s="76">
        <v>2951</v>
      </c>
      <c r="AC18" s="76">
        <v>37830</v>
      </c>
      <c r="AD18" s="76">
        <v>560</v>
      </c>
      <c r="AE18" s="76">
        <v>0</v>
      </c>
      <c r="AF18" s="76">
        <v>0</v>
      </c>
      <c r="AG18" s="76">
        <v>0</v>
      </c>
      <c r="AH18" s="76">
        <v>38390</v>
      </c>
      <c r="AI18" s="76">
        <v>5383</v>
      </c>
      <c r="AJ18" s="76">
        <v>2701</v>
      </c>
      <c r="AK18" s="76">
        <v>4578</v>
      </c>
      <c r="AL18" s="76">
        <v>4766</v>
      </c>
      <c r="AM18" s="76">
        <v>0</v>
      </c>
      <c r="AN18" s="76">
        <v>148</v>
      </c>
      <c r="AO18" s="76">
        <v>5781</v>
      </c>
      <c r="AP18" s="76">
        <v>0</v>
      </c>
      <c r="AQ18" s="76">
        <v>0</v>
      </c>
      <c r="AR18" s="76">
        <v>23357</v>
      </c>
      <c r="AS18" s="76">
        <v>15033</v>
      </c>
      <c r="AT18" s="76">
        <v>247</v>
      </c>
      <c r="AU18" s="76">
        <v>190784</v>
      </c>
      <c r="AV18" s="76">
        <v>0</v>
      </c>
      <c r="AW18" s="76">
        <v>5807</v>
      </c>
      <c r="AX18" s="76">
        <v>579</v>
      </c>
      <c r="AY18" s="76">
        <v>0</v>
      </c>
      <c r="AZ18" s="76">
        <v>0</v>
      </c>
      <c r="BA18" s="76">
        <v>0</v>
      </c>
      <c r="BB18" s="76">
        <v>0</v>
      </c>
      <c r="BC18" s="76">
        <v>0</v>
      </c>
      <c r="BD18" s="76">
        <v>0</v>
      </c>
      <c r="BE18" s="76">
        <v>197170</v>
      </c>
      <c r="BF18" s="76">
        <v>1695</v>
      </c>
      <c r="BG18" s="76">
        <v>1811</v>
      </c>
      <c r="BH18" s="76">
        <v>4520</v>
      </c>
      <c r="BI18" s="76">
        <v>0</v>
      </c>
      <c r="BJ18" s="76">
        <v>433</v>
      </c>
      <c r="BK18" s="76">
        <v>8459</v>
      </c>
      <c r="BL18" s="76">
        <v>0</v>
      </c>
      <c r="BM18" s="76">
        <v>0</v>
      </c>
      <c r="BN18" s="76">
        <v>578</v>
      </c>
      <c r="BO18" s="76">
        <v>5723</v>
      </c>
      <c r="BP18" s="76">
        <v>6301</v>
      </c>
      <c r="BQ18" s="76">
        <v>2158</v>
      </c>
      <c r="BR18" s="76">
        <v>199328</v>
      </c>
      <c r="BS18" s="76">
        <v>125731</v>
      </c>
      <c r="BT18" s="76">
        <v>0</v>
      </c>
      <c r="BU18" s="76">
        <v>0</v>
      </c>
      <c r="BV18" s="76">
        <v>31155</v>
      </c>
      <c r="BW18" s="76">
        <v>0</v>
      </c>
      <c r="BX18" s="76">
        <v>0</v>
      </c>
      <c r="BY18" s="76">
        <v>1873</v>
      </c>
      <c r="BZ18" s="76">
        <v>158759</v>
      </c>
      <c r="CA18" s="76">
        <v>15055</v>
      </c>
      <c r="CB18" s="76">
        <v>0</v>
      </c>
      <c r="CC18" s="76">
        <v>25514</v>
      </c>
      <c r="CD18" s="76">
        <v>25514</v>
      </c>
      <c r="CE18" s="76">
        <v>0</v>
      </c>
      <c r="CF18" s="76">
        <v>0</v>
      </c>
      <c r="CG18" s="76">
        <v>0</v>
      </c>
      <c r="CH18" s="76">
        <v>0</v>
      </c>
      <c r="CI18" s="76">
        <v>25514</v>
      </c>
      <c r="CJ18" s="76">
        <v>1579</v>
      </c>
      <c r="CK18" s="76">
        <v>0</v>
      </c>
      <c r="CL18" s="76">
        <v>885</v>
      </c>
      <c r="CM18" s="76">
        <v>694</v>
      </c>
      <c r="CN18" s="76">
        <v>0</v>
      </c>
      <c r="CO18" s="76">
        <v>0</v>
      </c>
      <c r="CP18" s="76">
        <v>0</v>
      </c>
      <c r="CQ18" s="76">
        <v>0</v>
      </c>
      <c r="CR18" s="76">
        <v>0</v>
      </c>
      <c r="CS18" s="76">
        <v>0</v>
      </c>
      <c r="CT18" s="76">
        <v>0</v>
      </c>
      <c r="CU18" s="76">
        <v>0</v>
      </c>
      <c r="CV18" s="76">
        <v>0</v>
      </c>
      <c r="CW18" s="76">
        <v>0</v>
      </c>
      <c r="CX18" s="76">
        <v>0</v>
      </c>
      <c r="CY18" s="76">
        <v>0</v>
      </c>
      <c r="CZ18" s="76">
        <v>488</v>
      </c>
      <c r="DA18" s="76">
        <v>0</v>
      </c>
      <c r="DB18" s="76">
        <v>1041</v>
      </c>
      <c r="DC18" s="76">
        <v>-553</v>
      </c>
      <c r="DD18" s="76">
        <v>2067</v>
      </c>
      <c r="DE18" s="76">
        <v>0</v>
      </c>
      <c r="DF18" s="76">
        <v>1926</v>
      </c>
      <c r="DG18" s="76">
        <v>141</v>
      </c>
      <c r="DH18" s="76">
        <v>0</v>
      </c>
      <c r="DI18" s="76">
        <v>0</v>
      </c>
      <c r="DJ18" s="76">
        <v>0</v>
      </c>
      <c r="DK18" s="76">
        <v>0</v>
      </c>
      <c r="DL18" s="76">
        <v>0</v>
      </c>
      <c r="DM18" s="76">
        <v>0</v>
      </c>
      <c r="DN18" s="76">
        <v>0</v>
      </c>
      <c r="DO18" s="76">
        <v>0</v>
      </c>
      <c r="DP18" s="76">
        <v>0</v>
      </c>
      <c r="DQ18" s="76">
        <v>0</v>
      </c>
      <c r="DR18" s="76">
        <v>0</v>
      </c>
      <c r="DS18" s="76">
        <v>0</v>
      </c>
      <c r="DT18" s="76">
        <v>0</v>
      </c>
      <c r="DU18" s="76">
        <v>0</v>
      </c>
      <c r="DV18" s="76">
        <v>0</v>
      </c>
      <c r="DW18" s="76">
        <v>0</v>
      </c>
      <c r="DX18" s="76">
        <v>0</v>
      </c>
      <c r="DY18" s="76">
        <v>0</v>
      </c>
      <c r="DZ18" s="76">
        <v>0</v>
      </c>
      <c r="EA18" s="76">
        <v>0</v>
      </c>
      <c r="EB18" s="76">
        <v>6585</v>
      </c>
      <c r="EC18" s="76">
        <v>0</v>
      </c>
      <c r="ED18" s="76">
        <v>6103</v>
      </c>
      <c r="EE18" s="76">
        <v>482</v>
      </c>
      <c r="EF18" s="76">
        <v>6585</v>
      </c>
      <c r="EG18" s="76">
        <v>0</v>
      </c>
      <c r="EH18" s="76">
        <v>6103</v>
      </c>
      <c r="EI18" s="76">
        <v>482</v>
      </c>
      <c r="EJ18" s="76">
        <v>8652</v>
      </c>
      <c r="EK18" s="76">
        <v>0</v>
      </c>
      <c r="EL18" s="76">
        <v>8029</v>
      </c>
      <c r="EM18" s="76">
        <v>623</v>
      </c>
      <c r="EN18" s="76">
        <v>363</v>
      </c>
      <c r="EO18" s="76">
        <v>720</v>
      </c>
      <c r="EP18" s="76">
        <v>119</v>
      </c>
      <c r="EQ18" s="76">
        <v>720</v>
      </c>
      <c r="ER18" s="76">
        <v>224274</v>
      </c>
      <c r="ES18" s="76">
        <v>0</v>
      </c>
      <c r="ET18" s="76">
        <v>224274</v>
      </c>
      <c r="EU18" s="76">
        <v>18235</v>
      </c>
      <c r="EV18" s="76">
        <v>-1971</v>
      </c>
      <c r="EW18" s="76">
        <v>0</v>
      </c>
      <c r="EX18" s="76">
        <v>0</v>
      </c>
      <c r="EY18" s="76">
        <v>19</v>
      </c>
      <c r="EZ18" s="76">
        <v>240557</v>
      </c>
      <c r="FA18" s="76">
        <v>44728</v>
      </c>
      <c r="FB18" s="76">
        <v>5826</v>
      </c>
      <c r="FC18" s="76">
        <v>0</v>
      </c>
      <c r="FD18" s="76">
        <v>0</v>
      </c>
      <c r="FE18" s="76">
        <v>-781</v>
      </c>
      <c r="FF18" s="76">
        <v>0</v>
      </c>
      <c r="FG18" s="76">
        <v>0</v>
      </c>
      <c r="FH18" s="76">
        <v>49773</v>
      </c>
      <c r="FI18" s="76">
        <v>190784</v>
      </c>
      <c r="FJ18" s="76">
        <v>179546</v>
      </c>
      <c r="FK18" s="76">
        <v>330</v>
      </c>
      <c r="FL18" s="76">
        <v>280</v>
      </c>
      <c r="FM18" s="76">
        <v>50</v>
      </c>
      <c r="FN18" s="76">
        <v>319</v>
      </c>
      <c r="FO18" s="76">
        <v>344</v>
      </c>
      <c r="FP18" s="76">
        <v>-25</v>
      </c>
      <c r="FQ18" s="76">
        <v>345</v>
      </c>
      <c r="FR18" s="76">
        <v>356</v>
      </c>
      <c r="FS18" s="76">
        <v>-11</v>
      </c>
      <c r="FT18" s="76">
        <v>3549</v>
      </c>
      <c r="FU18" s="76">
        <v>1034</v>
      </c>
      <c r="FV18" s="76">
        <v>2515</v>
      </c>
      <c r="FW18" s="76">
        <v>0</v>
      </c>
      <c r="FX18" s="76">
        <v>0</v>
      </c>
      <c r="FY18" s="76">
        <v>0</v>
      </c>
      <c r="FZ18" s="76">
        <v>341</v>
      </c>
      <c r="GA18" s="76">
        <v>137</v>
      </c>
      <c r="GB18" s="76">
        <v>204</v>
      </c>
      <c r="GC18" s="76">
        <v>4884</v>
      </c>
      <c r="GD18" s="76">
        <v>2151</v>
      </c>
      <c r="GE18" s="76">
        <v>2733</v>
      </c>
      <c r="GF18" s="76">
        <v>0</v>
      </c>
      <c r="GG18" s="76">
        <v>0</v>
      </c>
      <c r="GH18" s="76">
        <v>378</v>
      </c>
      <c r="GI18" s="76">
        <v>0</v>
      </c>
      <c r="GJ18" s="76">
        <v>0</v>
      </c>
      <c r="GK18" s="76">
        <v>55</v>
      </c>
      <c r="GL18" s="76">
        <v>433</v>
      </c>
      <c r="GM18" s="76">
        <v>256</v>
      </c>
      <c r="GN18" s="76">
        <v>875</v>
      </c>
      <c r="GO18" s="76">
        <v>0</v>
      </c>
      <c r="GP18" s="76">
        <v>0</v>
      </c>
      <c r="GQ18" s="76">
        <v>443</v>
      </c>
      <c r="GR18" s="76">
        <v>1937</v>
      </c>
      <c r="GS18" s="76">
        <v>0</v>
      </c>
      <c r="GT18" s="76">
        <v>0</v>
      </c>
      <c r="GU18" s="76">
        <v>139</v>
      </c>
      <c r="GV18" s="76">
        <v>0</v>
      </c>
      <c r="GW18" s="76">
        <v>2073</v>
      </c>
      <c r="GX18" s="76">
        <v>5723</v>
      </c>
      <c r="GY18" s="76">
        <v>86</v>
      </c>
      <c r="GZ18" s="76">
        <v>935</v>
      </c>
      <c r="HA18" s="76">
        <v>771</v>
      </c>
      <c r="HB18" s="76">
        <v>81</v>
      </c>
      <c r="HC18" s="76">
        <v>1873</v>
      </c>
      <c r="HD18" s="76">
        <v>0</v>
      </c>
      <c r="HE18" s="76">
        <v>0</v>
      </c>
      <c r="HF18" s="76">
        <v>0</v>
      </c>
      <c r="HG18" s="76">
        <v>7330</v>
      </c>
      <c r="HH18" s="76">
        <v>0</v>
      </c>
      <c r="HI18" s="76">
        <v>0</v>
      </c>
      <c r="HJ18" s="76">
        <v>5</v>
      </c>
      <c r="HK18" s="76">
        <v>0</v>
      </c>
      <c r="HL18" s="76">
        <v>0</v>
      </c>
      <c r="HM18" s="76">
        <v>7335</v>
      </c>
      <c r="HN18" s="76">
        <v>3768</v>
      </c>
      <c r="HO18" s="76">
        <v>6504</v>
      </c>
      <c r="HP18" s="76">
        <v>0</v>
      </c>
      <c r="HQ18" s="76">
        <v>139</v>
      </c>
      <c r="HR18" s="76">
        <v>-67</v>
      </c>
      <c r="HS18" s="76">
        <v>0</v>
      </c>
      <c r="HT18" s="76">
        <v>9329</v>
      </c>
      <c r="HU18" s="76">
        <v>0</v>
      </c>
      <c r="HV18" s="76">
        <v>0</v>
      </c>
      <c r="HW18" s="76">
        <v>0</v>
      </c>
      <c r="HX18" s="76">
        <v>0</v>
      </c>
    </row>
    <row r="19" spans="1:232" x14ac:dyDescent="0.2">
      <c r="A19" s="74" t="s">
        <v>245</v>
      </c>
      <c r="B19" s="74" t="s">
        <v>246</v>
      </c>
      <c r="C19" s="75" t="s">
        <v>200</v>
      </c>
      <c r="D19" s="75">
        <v>12</v>
      </c>
      <c r="E19" s="76">
        <v>90049</v>
      </c>
      <c r="F19" s="76">
        <v>-3849</v>
      </c>
      <c r="G19" s="76">
        <v>-60694</v>
      </c>
      <c r="H19" s="76">
        <v>25506</v>
      </c>
      <c r="I19" s="76">
        <v>1943</v>
      </c>
      <c r="J19" s="76">
        <v>0</v>
      </c>
      <c r="K19" s="76">
        <v>1551</v>
      </c>
      <c r="L19" s="76">
        <v>0</v>
      </c>
      <c r="M19" s="76">
        <v>154</v>
      </c>
      <c r="N19" s="76">
        <v>-16857</v>
      </c>
      <c r="O19" s="76">
        <v>1065</v>
      </c>
      <c r="P19" s="76">
        <v>-8055</v>
      </c>
      <c r="Q19" s="76">
        <v>0</v>
      </c>
      <c r="R19" s="76">
        <v>0</v>
      </c>
      <c r="S19" s="76">
        <v>5307</v>
      </c>
      <c r="T19" s="76">
        <v>-144</v>
      </c>
      <c r="U19" s="76">
        <v>5163</v>
      </c>
      <c r="V19" s="76">
        <v>0</v>
      </c>
      <c r="W19" s="76">
        <v>0</v>
      </c>
      <c r="X19" s="76">
        <v>3055</v>
      </c>
      <c r="Y19" s="76">
        <v>0</v>
      </c>
      <c r="Z19" s="76">
        <v>8218</v>
      </c>
      <c r="AA19" s="76">
        <v>64867</v>
      </c>
      <c r="AB19" s="76">
        <v>6587</v>
      </c>
      <c r="AC19" s="76">
        <v>71454</v>
      </c>
      <c r="AD19" s="76">
        <v>5004</v>
      </c>
      <c r="AE19" s="76">
        <v>0</v>
      </c>
      <c r="AF19" s="76">
        <v>0</v>
      </c>
      <c r="AG19" s="76">
        <v>256</v>
      </c>
      <c r="AH19" s="76">
        <v>76714</v>
      </c>
      <c r="AI19" s="76">
        <v>16085</v>
      </c>
      <c r="AJ19" s="76">
        <v>6709</v>
      </c>
      <c r="AK19" s="76">
        <v>9281</v>
      </c>
      <c r="AL19" s="76">
        <v>2945</v>
      </c>
      <c r="AM19" s="76">
        <v>348</v>
      </c>
      <c r="AN19" s="76">
        <v>916</v>
      </c>
      <c r="AO19" s="76">
        <v>19673</v>
      </c>
      <c r="AP19" s="76">
        <v>0</v>
      </c>
      <c r="AQ19" s="76">
        <v>0</v>
      </c>
      <c r="AR19" s="76">
        <v>55957</v>
      </c>
      <c r="AS19" s="76">
        <v>20757</v>
      </c>
      <c r="AT19" s="76">
        <v>953</v>
      </c>
      <c r="AU19" s="76">
        <v>950696</v>
      </c>
      <c r="AV19" s="76">
        <v>0</v>
      </c>
      <c r="AW19" s="76">
        <v>4559</v>
      </c>
      <c r="AX19" s="76">
        <v>-13930</v>
      </c>
      <c r="AY19" s="76">
        <v>0</v>
      </c>
      <c r="AZ19" s="76">
        <v>9637</v>
      </c>
      <c r="BA19" s="76">
        <v>0</v>
      </c>
      <c r="BB19" s="76">
        <v>0</v>
      </c>
      <c r="BC19" s="76">
        <v>0</v>
      </c>
      <c r="BD19" s="76">
        <v>558</v>
      </c>
      <c r="BE19" s="76">
        <v>951520</v>
      </c>
      <c r="BF19" s="76">
        <v>26510</v>
      </c>
      <c r="BG19" s="76">
        <v>2130</v>
      </c>
      <c r="BH19" s="76">
        <v>26915</v>
      </c>
      <c r="BI19" s="76">
        <v>6165</v>
      </c>
      <c r="BJ19" s="76">
        <v>840</v>
      </c>
      <c r="BK19" s="76">
        <v>62560</v>
      </c>
      <c r="BL19" s="76">
        <v>27171</v>
      </c>
      <c r="BM19" s="76">
        <v>0</v>
      </c>
      <c r="BN19" s="76">
        <v>5063</v>
      </c>
      <c r="BO19" s="76">
        <v>22246</v>
      </c>
      <c r="BP19" s="76">
        <v>54480</v>
      </c>
      <c r="BQ19" s="76">
        <v>8080</v>
      </c>
      <c r="BR19" s="76">
        <v>959600</v>
      </c>
      <c r="BS19" s="76">
        <v>368726</v>
      </c>
      <c r="BT19" s="76">
        <v>0</v>
      </c>
      <c r="BU19" s="76">
        <v>0</v>
      </c>
      <c r="BV19" s="76">
        <v>433557</v>
      </c>
      <c r="BW19" s="76">
        <v>0</v>
      </c>
      <c r="BX19" s="76">
        <v>82609</v>
      </c>
      <c r="BY19" s="76">
        <v>12614</v>
      </c>
      <c r="BZ19" s="76">
        <v>897506</v>
      </c>
      <c r="CA19" s="76">
        <v>0</v>
      </c>
      <c r="CB19" s="76">
        <v>0</v>
      </c>
      <c r="CC19" s="76">
        <v>62094</v>
      </c>
      <c r="CD19" s="76">
        <v>89604</v>
      </c>
      <c r="CE19" s="76">
        <v>110</v>
      </c>
      <c r="CF19" s="76">
        <v>77</v>
      </c>
      <c r="CG19" s="76">
        <v>-27697</v>
      </c>
      <c r="CH19" s="76">
        <v>0</v>
      </c>
      <c r="CI19" s="76">
        <v>62094</v>
      </c>
      <c r="CJ19" s="76">
        <v>6315</v>
      </c>
      <c r="CK19" s="76">
        <v>3154</v>
      </c>
      <c r="CL19" s="76">
        <v>0</v>
      </c>
      <c r="CM19" s="76">
        <v>3161</v>
      </c>
      <c r="CN19" s="76">
        <v>0</v>
      </c>
      <c r="CO19" s="76">
        <v>0</v>
      </c>
      <c r="CP19" s="76">
        <v>0</v>
      </c>
      <c r="CQ19" s="76">
        <v>0</v>
      </c>
      <c r="CR19" s="76">
        <v>0</v>
      </c>
      <c r="CS19" s="76">
        <v>0</v>
      </c>
      <c r="CT19" s="76">
        <v>417</v>
      </c>
      <c r="CU19" s="76">
        <v>-417</v>
      </c>
      <c r="CV19" s="76">
        <v>0</v>
      </c>
      <c r="CW19" s="76">
        <v>0</v>
      </c>
      <c r="CX19" s="76">
        <v>0</v>
      </c>
      <c r="CY19" s="76">
        <v>0</v>
      </c>
      <c r="CZ19" s="76">
        <v>4501</v>
      </c>
      <c r="DA19" s="76">
        <v>0</v>
      </c>
      <c r="DB19" s="76">
        <v>3730</v>
      </c>
      <c r="DC19" s="76">
        <v>771</v>
      </c>
      <c r="DD19" s="76">
        <v>10816</v>
      </c>
      <c r="DE19" s="76">
        <v>3154</v>
      </c>
      <c r="DF19" s="76">
        <v>4147</v>
      </c>
      <c r="DG19" s="76">
        <v>3515</v>
      </c>
      <c r="DH19" s="76">
        <v>1212</v>
      </c>
      <c r="DI19" s="76">
        <v>695</v>
      </c>
      <c r="DJ19" s="76">
        <v>0</v>
      </c>
      <c r="DK19" s="76">
        <v>517</v>
      </c>
      <c r="DL19" s="76">
        <v>0</v>
      </c>
      <c r="DM19" s="76">
        <v>0</v>
      </c>
      <c r="DN19" s="76">
        <v>0</v>
      </c>
      <c r="DO19" s="76">
        <v>0</v>
      </c>
      <c r="DP19" s="76">
        <v>0</v>
      </c>
      <c r="DQ19" s="76">
        <v>0</v>
      </c>
      <c r="DR19" s="76">
        <v>0</v>
      </c>
      <c r="DS19" s="76">
        <v>0</v>
      </c>
      <c r="DT19" s="76">
        <v>1307</v>
      </c>
      <c r="DU19" s="76">
        <v>0</v>
      </c>
      <c r="DV19" s="76">
        <v>590</v>
      </c>
      <c r="DW19" s="76">
        <v>717</v>
      </c>
      <c r="DX19" s="76">
        <v>0</v>
      </c>
      <c r="DY19" s="76">
        <v>0</v>
      </c>
      <c r="DZ19" s="76">
        <v>0</v>
      </c>
      <c r="EA19" s="76">
        <v>0</v>
      </c>
      <c r="EB19" s="76">
        <v>0</v>
      </c>
      <c r="EC19" s="76">
        <v>0</v>
      </c>
      <c r="ED19" s="76">
        <v>0</v>
      </c>
      <c r="EE19" s="76">
        <v>0</v>
      </c>
      <c r="EF19" s="76">
        <v>2519</v>
      </c>
      <c r="EG19" s="76">
        <v>695</v>
      </c>
      <c r="EH19" s="76">
        <v>590</v>
      </c>
      <c r="EI19" s="76">
        <v>1234</v>
      </c>
      <c r="EJ19" s="76">
        <v>13335</v>
      </c>
      <c r="EK19" s="76">
        <v>3849</v>
      </c>
      <c r="EL19" s="76">
        <v>4737</v>
      </c>
      <c r="EM19" s="76">
        <v>4749</v>
      </c>
      <c r="EN19" s="76">
        <v>2521</v>
      </c>
      <c r="EO19" s="76">
        <v>1388</v>
      </c>
      <c r="EP19" s="76">
        <v>391</v>
      </c>
      <c r="EQ19" s="76">
        <v>1388</v>
      </c>
      <c r="ER19" s="76">
        <v>1024641</v>
      </c>
      <c r="ES19" s="76">
        <v>0</v>
      </c>
      <c r="ET19" s="76">
        <v>1024641</v>
      </c>
      <c r="EU19" s="76">
        <v>32079</v>
      </c>
      <c r="EV19" s="76">
        <v>-4469</v>
      </c>
      <c r="EW19" s="76">
        <v>0</v>
      </c>
      <c r="EX19" s="76">
        <v>0</v>
      </c>
      <c r="EY19" s="76">
        <v>-20119</v>
      </c>
      <c r="EZ19" s="76">
        <v>1032132</v>
      </c>
      <c r="FA19" s="76">
        <v>64465</v>
      </c>
      <c r="FB19" s="76">
        <v>17731</v>
      </c>
      <c r="FC19" s="76">
        <v>1372</v>
      </c>
      <c r="FD19" s="76">
        <v>0</v>
      </c>
      <c r="FE19" s="76">
        <v>-312</v>
      </c>
      <c r="FF19" s="76">
        <v>0</v>
      </c>
      <c r="FG19" s="76">
        <v>-1820</v>
      </c>
      <c r="FH19" s="76">
        <v>81436</v>
      </c>
      <c r="FI19" s="76">
        <v>950696</v>
      </c>
      <c r="FJ19" s="76">
        <v>960176</v>
      </c>
      <c r="FK19" s="76">
        <v>2035</v>
      </c>
      <c r="FL19" s="76">
        <v>1399</v>
      </c>
      <c r="FM19" s="76">
        <v>636</v>
      </c>
      <c r="FN19" s="76">
        <v>0</v>
      </c>
      <c r="FO19" s="76">
        <v>0</v>
      </c>
      <c r="FP19" s="76">
        <v>0</v>
      </c>
      <c r="FQ19" s="76">
        <v>615</v>
      </c>
      <c r="FR19" s="76">
        <v>615</v>
      </c>
      <c r="FS19" s="76">
        <v>0</v>
      </c>
      <c r="FT19" s="76">
        <v>4076</v>
      </c>
      <c r="FU19" s="76">
        <v>2769</v>
      </c>
      <c r="FV19" s="76">
        <v>1307</v>
      </c>
      <c r="FW19" s="76">
        <v>0</v>
      </c>
      <c r="FX19" s="76">
        <v>0</v>
      </c>
      <c r="FY19" s="76">
        <v>0</v>
      </c>
      <c r="FZ19" s="76">
        <v>0</v>
      </c>
      <c r="GA19" s="76">
        <v>0</v>
      </c>
      <c r="GB19" s="76">
        <v>0</v>
      </c>
      <c r="GC19" s="76">
        <v>6726</v>
      </c>
      <c r="GD19" s="76">
        <v>4783</v>
      </c>
      <c r="GE19" s="76">
        <v>1943</v>
      </c>
      <c r="GF19" s="76">
        <v>0</v>
      </c>
      <c r="GG19" s="76">
        <v>0</v>
      </c>
      <c r="GH19" s="76">
        <v>0</v>
      </c>
      <c r="GI19" s="76">
        <v>0</v>
      </c>
      <c r="GJ19" s="76">
        <v>0</v>
      </c>
      <c r="GK19" s="76">
        <v>840</v>
      </c>
      <c r="GL19" s="76">
        <v>840</v>
      </c>
      <c r="GM19" s="76">
        <v>2424</v>
      </c>
      <c r="GN19" s="76">
        <v>0</v>
      </c>
      <c r="GO19" s="76">
        <v>0</v>
      </c>
      <c r="GP19" s="76">
        <v>433</v>
      </c>
      <c r="GQ19" s="76">
        <v>67</v>
      </c>
      <c r="GR19" s="76">
        <v>17495</v>
      </c>
      <c r="GS19" s="76">
        <v>0</v>
      </c>
      <c r="GT19" s="76">
        <v>0</v>
      </c>
      <c r="GU19" s="76">
        <v>1345</v>
      </c>
      <c r="GV19" s="76">
        <v>0</v>
      </c>
      <c r="GW19" s="76">
        <v>482</v>
      </c>
      <c r="GX19" s="76">
        <v>22246</v>
      </c>
      <c r="GY19" s="76">
        <v>2460</v>
      </c>
      <c r="GZ19" s="76">
        <v>1180</v>
      </c>
      <c r="HA19" s="76">
        <v>8897</v>
      </c>
      <c r="HB19" s="76">
        <v>77</v>
      </c>
      <c r="HC19" s="76">
        <v>12614</v>
      </c>
      <c r="HD19" s="76">
        <v>0</v>
      </c>
      <c r="HE19" s="76">
        <v>0</v>
      </c>
      <c r="HF19" s="76">
        <v>0</v>
      </c>
      <c r="HG19" s="76">
        <v>18007</v>
      </c>
      <c r="HH19" s="76">
        <v>183</v>
      </c>
      <c r="HI19" s="76">
        <v>556</v>
      </c>
      <c r="HJ19" s="76">
        <v>4</v>
      </c>
      <c r="HK19" s="76">
        <v>0</v>
      </c>
      <c r="HL19" s="76">
        <v>-1893</v>
      </c>
      <c r="HM19" s="76">
        <v>16857</v>
      </c>
      <c r="HN19" s="76">
        <v>10712</v>
      </c>
      <c r="HO19" s="76">
        <v>20437</v>
      </c>
      <c r="HP19" s="76">
        <v>1372</v>
      </c>
      <c r="HQ19" s="76">
        <v>70</v>
      </c>
      <c r="HR19" s="76">
        <v>-79</v>
      </c>
      <c r="HS19" s="76">
        <v>411</v>
      </c>
      <c r="HT19" s="76">
        <v>13627</v>
      </c>
      <c r="HU19" s="76">
        <v>4</v>
      </c>
      <c r="HV19" s="76">
        <v>0</v>
      </c>
      <c r="HW19" s="76">
        <v>0</v>
      </c>
      <c r="HX19" s="76">
        <v>355</v>
      </c>
    </row>
    <row r="20" spans="1:232" x14ac:dyDescent="0.2">
      <c r="A20" s="74" t="s">
        <v>249</v>
      </c>
      <c r="B20" s="74" t="s">
        <v>250</v>
      </c>
      <c r="C20" s="75" t="s">
        <v>200</v>
      </c>
      <c r="D20" s="75">
        <v>12</v>
      </c>
      <c r="E20" s="76">
        <v>190569</v>
      </c>
      <c r="F20" s="76">
        <v>0</v>
      </c>
      <c r="G20" s="76">
        <v>-126129</v>
      </c>
      <c r="H20" s="76">
        <v>64440</v>
      </c>
      <c r="I20" s="76">
        <v>3577</v>
      </c>
      <c r="J20" s="76">
        <v>0</v>
      </c>
      <c r="K20" s="76">
        <v>117</v>
      </c>
      <c r="L20" s="76">
        <v>734</v>
      </c>
      <c r="M20" s="76">
        <v>4564</v>
      </c>
      <c r="N20" s="76">
        <v>-29812</v>
      </c>
      <c r="O20" s="76">
        <v>482</v>
      </c>
      <c r="P20" s="76">
        <v>0</v>
      </c>
      <c r="Q20" s="76">
        <v>0</v>
      </c>
      <c r="R20" s="76">
        <v>0</v>
      </c>
      <c r="S20" s="76">
        <v>44102</v>
      </c>
      <c r="T20" s="76">
        <v>77</v>
      </c>
      <c r="U20" s="76">
        <v>44179</v>
      </c>
      <c r="V20" s="76">
        <v>0</v>
      </c>
      <c r="W20" s="76">
        <v>-3187</v>
      </c>
      <c r="X20" s="76">
        <v>-1801</v>
      </c>
      <c r="Y20" s="76">
        <v>190</v>
      </c>
      <c r="Z20" s="76">
        <v>39381</v>
      </c>
      <c r="AA20" s="76">
        <v>138934</v>
      </c>
      <c r="AB20" s="76">
        <v>8486</v>
      </c>
      <c r="AC20" s="76">
        <v>147420</v>
      </c>
      <c r="AD20" s="76">
        <v>172</v>
      </c>
      <c r="AE20" s="76">
        <v>0</v>
      </c>
      <c r="AF20" s="76">
        <v>844</v>
      </c>
      <c r="AG20" s="76">
        <v>0</v>
      </c>
      <c r="AH20" s="76">
        <v>148436</v>
      </c>
      <c r="AI20" s="76">
        <v>23896</v>
      </c>
      <c r="AJ20" s="76">
        <v>8988</v>
      </c>
      <c r="AK20" s="76">
        <v>12503</v>
      </c>
      <c r="AL20" s="76">
        <v>6871</v>
      </c>
      <c r="AM20" s="76">
        <v>13788</v>
      </c>
      <c r="AN20" s="76">
        <v>883</v>
      </c>
      <c r="AO20" s="76">
        <v>22230</v>
      </c>
      <c r="AP20" s="76">
        <v>-321</v>
      </c>
      <c r="AQ20" s="76">
        <v>0</v>
      </c>
      <c r="AR20" s="76">
        <v>88838</v>
      </c>
      <c r="AS20" s="76">
        <v>59598</v>
      </c>
      <c r="AT20" s="76">
        <v>934</v>
      </c>
      <c r="AU20" s="76">
        <v>1365719</v>
      </c>
      <c r="AV20" s="76">
        <v>0</v>
      </c>
      <c r="AW20" s="76">
        <v>20527</v>
      </c>
      <c r="AX20" s="76">
        <v>3341</v>
      </c>
      <c r="AY20" s="76">
        <v>4495</v>
      </c>
      <c r="AZ20" s="76">
        <v>15310</v>
      </c>
      <c r="BA20" s="76">
        <v>140</v>
      </c>
      <c r="BB20" s="76">
        <v>0</v>
      </c>
      <c r="BC20" s="76">
        <v>0</v>
      </c>
      <c r="BD20" s="76">
        <v>0</v>
      </c>
      <c r="BE20" s="76">
        <v>1409532</v>
      </c>
      <c r="BF20" s="76">
        <v>17659</v>
      </c>
      <c r="BG20" s="76">
        <v>8805</v>
      </c>
      <c r="BH20" s="76">
        <v>108872</v>
      </c>
      <c r="BI20" s="76">
        <v>80573</v>
      </c>
      <c r="BJ20" s="76">
        <v>6337</v>
      </c>
      <c r="BK20" s="76">
        <v>222246</v>
      </c>
      <c r="BL20" s="76">
        <v>1255</v>
      </c>
      <c r="BM20" s="76">
        <v>0</v>
      </c>
      <c r="BN20" s="76">
        <v>1667</v>
      </c>
      <c r="BO20" s="76">
        <v>34714</v>
      </c>
      <c r="BP20" s="76">
        <v>37636</v>
      </c>
      <c r="BQ20" s="76">
        <v>184610</v>
      </c>
      <c r="BR20" s="76">
        <v>1594142</v>
      </c>
      <c r="BS20" s="76">
        <v>820185</v>
      </c>
      <c r="BT20" s="76">
        <v>0</v>
      </c>
      <c r="BU20" s="76">
        <v>0</v>
      </c>
      <c r="BV20" s="76">
        <v>19802</v>
      </c>
      <c r="BW20" s="76">
        <v>4495</v>
      </c>
      <c r="BX20" s="76">
        <v>22857</v>
      </c>
      <c r="BY20" s="76">
        <v>7587</v>
      </c>
      <c r="BZ20" s="76">
        <v>874926</v>
      </c>
      <c r="CA20" s="76">
        <v>37820</v>
      </c>
      <c r="CB20" s="76">
        <v>178</v>
      </c>
      <c r="CC20" s="76">
        <v>681218</v>
      </c>
      <c r="CD20" s="76">
        <v>294654</v>
      </c>
      <c r="CE20" s="76">
        <v>409214</v>
      </c>
      <c r="CF20" s="76">
        <v>208</v>
      </c>
      <c r="CG20" s="76">
        <v>-22858</v>
      </c>
      <c r="CH20" s="76">
        <v>0</v>
      </c>
      <c r="CI20" s="76">
        <v>681218</v>
      </c>
      <c r="CJ20" s="76">
        <v>20752</v>
      </c>
      <c r="CK20" s="76">
        <v>0</v>
      </c>
      <c r="CL20" s="76">
        <v>19177</v>
      </c>
      <c r="CM20" s="76">
        <v>1575</v>
      </c>
      <c r="CN20" s="76">
        <v>3203</v>
      </c>
      <c r="CO20" s="76">
        <v>0</v>
      </c>
      <c r="CP20" s="76">
        <v>3601</v>
      </c>
      <c r="CQ20" s="76">
        <v>-398</v>
      </c>
      <c r="CR20" s="76">
        <v>0</v>
      </c>
      <c r="CS20" s="76">
        <v>0</v>
      </c>
      <c r="CT20" s="76">
        <v>0</v>
      </c>
      <c r="CU20" s="76">
        <v>0</v>
      </c>
      <c r="CV20" s="76">
        <v>57</v>
      </c>
      <c r="CW20" s="76">
        <v>0</v>
      </c>
      <c r="CX20" s="76">
        <v>469</v>
      </c>
      <c r="CY20" s="76">
        <v>-412</v>
      </c>
      <c r="CZ20" s="76">
        <v>9123</v>
      </c>
      <c r="DA20" s="76">
        <v>0</v>
      </c>
      <c r="DB20" s="76">
        <v>9368</v>
      </c>
      <c r="DC20" s="76">
        <v>-245</v>
      </c>
      <c r="DD20" s="76">
        <v>33135</v>
      </c>
      <c r="DE20" s="76">
        <v>0</v>
      </c>
      <c r="DF20" s="76">
        <v>32615</v>
      </c>
      <c r="DG20" s="76">
        <v>520</v>
      </c>
      <c r="DH20" s="76">
        <v>4031</v>
      </c>
      <c r="DI20" s="76">
        <v>0</v>
      </c>
      <c r="DJ20" s="76">
        <v>3047</v>
      </c>
      <c r="DK20" s="76">
        <v>984</v>
      </c>
      <c r="DL20" s="76">
        <v>0</v>
      </c>
      <c r="DM20" s="76">
        <v>0</v>
      </c>
      <c r="DN20" s="76">
        <v>0</v>
      </c>
      <c r="DO20" s="76">
        <v>0</v>
      </c>
      <c r="DP20" s="76">
        <v>0</v>
      </c>
      <c r="DQ20" s="76">
        <v>0</v>
      </c>
      <c r="DR20" s="76">
        <v>0</v>
      </c>
      <c r="DS20" s="76">
        <v>0</v>
      </c>
      <c r="DT20" s="76">
        <v>903</v>
      </c>
      <c r="DU20" s="76">
        <v>0</v>
      </c>
      <c r="DV20" s="76">
        <v>313</v>
      </c>
      <c r="DW20" s="76">
        <v>590</v>
      </c>
      <c r="DX20" s="76">
        <v>0</v>
      </c>
      <c r="DY20" s="76">
        <v>0</v>
      </c>
      <c r="DZ20" s="76">
        <v>0</v>
      </c>
      <c r="EA20" s="76">
        <v>0</v>
      </c>
      <c r="EB20" s="76">
        <v>4064</v>
      </c>
      <c r="EC20" s="76">
        <v>0</v>
      </c>
      <c r="ED20" s="76">
        <v>1316</v>
      </c>
      <c r="EE20" s="76">
        <v>2748</v>
      </c>
      <c r="EF20" s="76">
        <v>8998</v>
      </c>
      <c r="EG20" s="76">
        <v>0</v>
      </c>
      <c r="EH20" s="76">
        <v>4676</v>
      </c>
      <c r="EI20" s="76">
        <v>4322</v>
      </c>
      <c r="EJ20" s="76">
        <v>42133</v>
      </c>
      <c r="EK20" s="76">
        <v>0</v>
      </c>
      <c r="EL20" s="76">
        <v>37291</v>
      </c>
      <c r="EM20" s="76">
        <v>4842</v>
      </c>
      <c r="EN20" s="76">
        <v>4825</v>
      </c>
      <c r="EO20" s="76">
        <v>2819</v>
      </c>
      <c r="EP20" s="76">
        <v>732</v>
      </c>
      <c r="EQ20" s="76">
        <v>2819</v>
      </c>
      <c r="ER20" s="76">
        <v>1334035</v>
      </c>
      <c r="ES20" s="76">
        <v>0</v>
      </c>
      <c r="ET20" s="76">
        <v>1334035</v>
      </c>
      <c r="EU20" s="76">
        <v>120405</v>
      </c>
      <c r="EV20" s="76">
        <v>-7557</v>
      </c>
      <c r="EW20" s="76">
        <v>0</v>
      </c>
      <c r="EX20" s="76">
        <v>0</v>
      </c>
      <c r="EY20" s="76">
        <v>-27028</v>
      </c>
      <c r="EZ20" s="76">
        <v>1419855</v>
      </c>
      <c r="FA20" s="76">
        <v>35572</v>
      </c>
      <c r="FB20" s="76">
        <v>21317</v>
      </c>
      <c r="FC20" s="76">
        <v>0</v>
      </c>
      <c r="FD20" s="76">
        <v>0</v>
      </c>
      <c r="FE20" s="76">
        <v>-2753</v>
      </c>
      <c r="FF20" s="76">
        <v>0</v>
      </c>
      <c r="FG20" s="76">
        <v>0</v>
      </c>
      <c r="FH20" s="76">
        <v>54136</v>
      </c>
      <c r="FI20" s="76">
        <v>1365719</v>
      </c>
      <c r="FJ20" s="76">
        <v>1298463</v>
      </c>
      <c r="FK20" s="76">
        <v>2391</v>
      </c>
      <c r="FL20" s="76">
        <v>1710</v>
      </c>
      <c r="FM20" s="76">
        <v>681</v>
      </c>
      <c r="FN20" s="76">
        <v>3499</v>
      </c>
      <c r="FO20" s="76">
        <v>3570</v>
      </c>
      <c r="FP20" s="76">
        <v>-71</v>
      </c>
      <c r="FQ20" s="76">
        <v>418</v>
      </c>
      <c r="FR20" s="76">
        <v>288</v>
      </c>
      <c r="FS20" s="76">
        <v>130</v>
      </c>
      <c r="FT20" s="76">
        <v>3427</v>
      </c>
      <c r="FU20" s="76">
        <v>620</v>
      </c>
      <c r="FV20" s="76">
        <v>2807</v>
      </c>
      <c r="FW20" s="76">
        <v>0</v>
      </c>
      <c r="FX20" s="76">
        <v>0</v>
      </c>
      <c r="FY20" s="76">
        <v>0</v>
      </c>
      <c r="FZ20" s="76">
        <v>31</v>
      </c>
      <c r="GA20" s="76">
        <v>1</v>
      </c>
      <c r="GB20" s="76">
        <v>30</v>
      </c>
      <c r="GC20" s="76">
        <v>9766</v>
      </c>
      <c r="GD20" s="76">
        <v>6189</v>
      </c>
      <c r="GE20" s="76">
        <v>3577</v>
      </c>
      <c r="GF20" s="76">
        <v>0</v>
      </c>
      <c r="GG20" s="76">
        <v>0</v>
      </c>
      <c r="GH20" s="76">
        <v>0</v>
      </c>
      <c r="GI20" s="76">
        <v>0</v>
      </c>
      <c r="GJ20" s="76">
        <v>0</v>
      </c>
      <c r="GK20" s="76">
        <v>6337</v>
      </c>
      <c r="GL20" s="76">
        <v>6337</v>
      </c>
      <c r="GM20" s="76">
        <v>6128</v>
      </c>
      <c r="GN20" s="76">
        <v>6840</v>
      </c>
      <c r="GO20" s="76">
        <v>0</v>
      </c>
      <c r="GP20" s="76">
        <v>870</v>
      </c>
      <c r="GQ20" s="76">
        <v>65</v>
      </c>
      <c r="GR20" s="76">
        <v>16204</v>
      </c>
      <c r="GS20" s="76">
        <v>0</v>
      </c>
      <c r="GT20" s="76">
        <v>0</v>
      </c>
      <c r="GU20" s="76">
        <v>1430</v>
      </c>
      <c r="GV20" s="76">
        <v>0</v>
      </c>
      <c r="GW20" s="76">
        <v>3177</v>
      </c>
      <c r="GX20" s="76">
        <v>34714</v>
      </c>
      <c r="GY20" s="76">
        <v>1164</v>
      </c>
      <c r="GZ20" s="76">
        <v>497</v>
      </c>
      <c r="HA20" s="76">
        <v>5926</v>
      </c>
      <c r="HB20" s="76">
        <v>0</v>
      </c>
      <c r="HC20" s="76">
        <v>7587</v>
      </c>
      <c r="HD20" s="76">
        <v>0</v>
      </c>
      <c r="HE20" s="76">
        <v>178</v>
      </c>
      <c r="HF20" s="76">
        <v>178</v>
      </c>
      <c r="HG20" s="76">
        <v>31340</v>
      </c>
      <c r="HH20" s="76">
        <v>103</v>
      </c>
      <c r="HI20" s="76">
        <v>146</v>
      </c>
      <c r="HJ20" s="76">
        <v>8</v>
      </c>
      <c r="HK20" s="76">
        <v>605</v>
      </c>
      <c r="HL20" s="76">
        <v>-2390</v>
      </c>
      <c r="HM20" s="76">
        <v>29812</v>
      </c>
      <c r="HN20" s="76">
        <v>12020</v>
      </c>
      <c r="HO20" s="76">
        <v>24554</v>
      </c>
      <c r="HP20" s="76">
        <v>91</v>
      </c>
      <c r="HQ20" s="76">
        <v>728</v>
      </c>
      <c r="HR20" s="76">
        <v>-101</v>
      </c>
      <c r="HS20" s="76">
        <v>18</v>
      </c>
      <c r="HT20" s="76">
        <v>29005</v>
      </c>
      <c r="HU20" s="76">
        <v>0</v>
      </c>
      <c r="HV20" s="76">
        <v>0</v>
      </c>
      <c r="HW20" s="76">
        <v>-69</v>
      </c>
      <c r="HX20" s="76">
        <v>35</v>
      </c>
    </row>
    <row r="21" spans="1:232" x14ac:dyDescent="0.2">
      <c r="A21" s="74" t="s">
        <v>14</v>
      </c>
      <c r="B21" s="74" t="s">
        <v>13</v>
      </c>
      <c r="C21" s="75" t="s">
        <v>200</v>
      </c>
      <c r="D21" s="75">
        <v>12</v>
      </c>
      <c r="E21" s="76">
        <v>17490</v>
      </c>
      <c r="F21" s="76">
        <v>-67</v>
      </c>
      <c r="G21" s="76">
        <v>-13240</v>
      </c>
      <c r="H21" s="76">
        <v>4183</v>
      </c>
      <c r="I21" s="76">
        <v>475</v>
      </c>
      <c r="J21" s="76">
        <v>0</v>
      </c>
      <c r="K21" s="76">
        <v>-410</v>
      </c>
      <c r="L21" s="76">
        <v>0</v>
      </c>
      <c r="M21" s="76">
        <v>1</v>
      </c>
      <c r="N21" s="76">
        <v>-2705</v>
      </c>
      <c r="O21" s="76">
        <v>0</v>
      </c>
      <c r="P21" s="76">
        <v>0</v>
      </c>
      <c r="Q21" s="76">
        <v>0</v>
      </c>
      <c r="R21" s="76">
        <v>0</v>
      </c>
      <c r="S21" s="76">
        <v>1544</v>
      </c>
      <c r="T21" s="76">
        <v>0</v>
      </c>
      <c r="U21" s="76">
        <v>1544</v>
      </c>
      <c r="V21" s="76">
        <v>0</v>
      </c>
      <c r="W21" s="76">
        <v>0</v>
      </c>
      <c r="X21" s="76">
        <v>0</v>
      </c>
      <c r="Y21" s="76">
        <v>0</v>
      </c>
      <c r="Z21" s="76">
        <v>1544</v>
      </c>
      <c r="AA21" s="76">
        <v>10347</v>
      </c>
      <c r="AB21" s="76">
        <v>3135</v>
      </c>
      <c r="AC21" s="76">
        <v>13482</v>
      </c>
      <c r="AD21" s="76">
        <v>457</v>
      </c>
      <c r="AE21" s="76">
        <v>0</v>
      </c>
      <c r="AF21" s="76">
        <v>0</v>
      </c>
      <c r="AG21" s="76">
        <v>73</v>
      </c>
      <c r="AH21" s="76">
        <v>14012</v>
      </c>
      <c r="AI21" s="76">
        <v>1510</v>
      </c>
      <c r="AJ21" s="76">
        <v>4106</v>
      </c>
      <c r="AK21" s="76">
        <v>992</v>
      </c>
      <c r="AL21" s="76">
        <v>1033</v>
      </c>
      <c r="AM21" s="76">
        <v>254</v>
      </c>
      <c r="AN21" s="76">
        <v>96</v>
      </c>
      <c r="AO21" s="76">
        <v>1976</v>
      </c>
      <c r="AP21" s="76">
        <v>0</v>
      </c>
      <c r="AQ21" s="76">
        <v>0</v>
      </c>
      <c r="AR21" s="76">
        <v>9967</v>
      </c>
      <c r="AS21" s="76">
        <v>4045</v>
      </c>
      <c r="AT21" s="76">
        <v>175</v>
      </c>
      <c r="AU21" s="76">
        <v>106426</v>
      </c>
      <c r="AV21" s="76">
        <v>0</v>
      </c>
      <c r="AW21" s="76">
        <v>2902</v>
      </c>
      <c r="AX21" s="76">
        <v>0</v>
      </c>
      <c r="AY21" s="76">
        <v>0</v>
      </c>
      <c r="AZ21" s="76">
        <v>0</v>
      </c>
      <c r="BA21" s="76">
        <v>0</v>
      </c>
      <c r="BB21" s="76">
        <v>0</v>
      </c>
      <c r="BC21" s="76">
        <v>0</v>
      </c>
      <c r="BD21" s="76">
        <v>0</v>
      </c>
      <c r="BE21" s="76">
        <v>109328</v>
      </c>
      <c r="BF21" s="76">
        <v>172</v>
      </c>
      <c r="BG21" s="76">
        <v>1015</v>
      </c>
      <c r="BH21" s="76">
        <v>1247</v>
      </c>
      <c r="BI21" s="76">
        <v>0</v>
      </c>
      <c r="BJ21" s="76">
        <v>0</v>
      </c>
      <c r="BK21" s="76">
        <v>2434</v>
      </c>
      <c r="BL21" s="76">
        <v>702</v>
      </c>
      <c r="BM21" s="76">
        <v>20</v>
      </c>
      <c r="BN21" s="76">
        <v>457</v>
      </c>
      <c r="BO21" s="76">
        <v>2842</v>
      </c>
      <c r="BP21" s="76">
        <v>4021</v>
      </c>
      <c r="BQ21" s="76">
        <v>-1587</v>
      </c>
      <c r="BR21" s="76">
        <v>107741</v>
      </c>
      <c r="BS21" s="76">
        <v>52521</v>
      </c>
      <c r="BT21" s="76">
        <v>0</v>
      </c>
      <c r="BU21" s="76">
        <v>0</v>
      </c>
      <c r="BV21" s="76">
        <v>44535</v>
      </c>
      <c r="BW21" s="76">
        <v>0</v>
      </c>
      <c r="BX21" s="76">
        <v>0</v>
      </c>
      <c r="BY21" s="76">
        <v>228</v>
      </c>
      <c r="BZ21" s="76">
        <v>97284</v>
      </c>
      <c r="CA21" s="76">
        <v>2290</v>
      </c>
      <c r="CB21" s="76">
        <v>0</v>
      </c>
      <c r="CC21" s="76">
        <v>8167</v>
      </c>
      <c r="CD21" s="76">
        <v>8167</v>
      </c>
      <c r="CE21" s="76">
        <v>0</v>
      </c>
      <c r="CF21" s="76">
        <v>0</v>
      </c>
      <c r="CG21" s="76">
        <v>0</v>
      </c>
      <c r="CH21" s="76">
        <v>0</v>
      </c>
      <c r="CI21" s="76">
        <v>8167</v>
      </c>
      <c r="CJ21" s="76">
        <v>86</v>
      </c>
      <c r="CK21" s="76">
        <v>67</v>
      </c>
      <c r="CL21" s="76">
        <v>0</v>
      </c>
      <c r="CM21" s="76">
        <v>19</v>
      </c>
      <c r="CN21" s="76">
        <v>1729</v>
      </c>
      <c r="CO21" s="76">
        <v>0</v>
      </c>
      <c r="CP21" s="76">
        <v>1401</v>
      </c>
      <c r="CQ21" s="76">
        <v>328</v>
      </c>
      <c r="CR21" s="76">
        <v>0</v>
      </c>
      <c r="CS21" s="76">
        <v>0</v>
      </c>
      <c r="CT21" s="76">
        <v>0</v>
      </c>
      <c r="CU21" s="76">
        <v>0</v>
      </c>
      <c r="CV21" s="76">
        <v>0</v>
      </c>
      <c r="CW21" s="76">
        <v>0</v>
      </c>
      <c r="CX21" s="76">
        <v>0</v>
      </c>
      <c r="CY21" s="76">
        <v>0</v>
      </c>
      <c r="CZ21" s="76">
        <v>0</v>
      </c>
      <c r="DA21" s="76">
        <v>0</v>
      </c>
      <c r="DB21" s="76">
        <v>0</v>
      </c>
      <c r="DC21" s="76">
        <v>0</v>
      </c>
      <c r="DD21" s="76">
        <v>1815</v>
      </c>
      <c r="DE21" s="76">
        <v>67</v>
      </c>
      <c r="DF21" s="76">
        <v>1401</v>
      </c>
      <c r="DG21" s="76">
        <v>347</v>
      </c>
      <c r="DH21" s="76">
        <v>0</v>
      </c>
      <c r="DI21" s="76">
        <v>0</v>
      </c>
      <c r="DJ21" s="76">
        <v>0</v>
      </c>
      <c r="DK21" s="76">
        <v>0</v>
      </c>
      <c r="DL21" s="76">
        <v>0</v>
      </c>
      <c r="DM21" s="76">
        <v>0</v>
      </c>
      <c r="DN21" s="76">
        <v>0</v>
      </c>
      <c r="DO21" s="76">
        <v>0</v>
      </c>
      <c r="DP21" s="76">
        <v>0</v>
      </c>
      <c r="DQ21" s="76">
        <v>0</v>
      </c>
      <c r="DR21" s="76">
        <v>0</v>
      </c>
      <c r="DS21" s="76">
        <v>0</v>
      </c>
      <c r="DT21" s="76">
        <v>0</v>
      </c>
      <c r="DU21" s="76">
        <v>0</v>
      </c>
      <c r="DV21" s="76">
        <v>0</v>
      </c>
      <c r="DW21" s="76">
        <v>0</v>
      </c>
      <c r="DX21" s="76">
        <v>0</v>
      </c>
      <c r="DY21" s="76">
        <v>0</v>
      </c>
      <c r="DZ21" s="76">
        <v>0</v>
      </c>
      <c r="EA21" s="76">
        <v>0</v>
      </c>
      <c r="EB21" s="76">
        <v>1663</v>
      </c>
      <c r="EC21" s="76">
        <v>0</v>
      </c>
      <c r="ED21" s="76">
        <v>1872</v>
      </c>
      <c r="EE21" s="76">
        <v>-209</v>
      </c>
      <c r="EF21" s="76">
        <v>1663</v>
      </c>
      <c r="EG21" s="76">
        <v>0</v>
      </c>
      <c r="EH21" s="76">
        <v>1872</v>
      </c>
      <c r="EI21" s="76">
        <v>-209</v>
      </c>
      <c r="EJ21" s="76">
        <v>3478</v>
      </c>
      <c r="EK21" s="76">
        <v>67</v>
      </c>
      <c r="EL21" s="76">
        <v>3273</v>
      </c>
      <c r="EM21" s="76">
        <v>138</v>
      </c>
      <c r="EN21" s="76">
        <v>316</v>
      </c>
      <c r="EO21" s="76">
        <v>151</v>
      </c>
      <c r="EP21" s="76">
        <v>34</v>
      </c>
      <c r="EQ21" s="76">
        <v>150</v>
      </c>
      <c r="ER21" s="76">
        <v>126710</v>
      </c>
      <c r="ES21" s="76">
        <v>0</v>
      </c>
      <c r="ET21" s="76">
        <v>126710</v>
      </c>
      <c r="EU21" s="76">
        <v>1892</v>
      </c>
      <c r="EV21" s="76">
        <v>-575</v>
      </c>
      <c r="EW21" s="76">
        <v>0</v>
      </c>
      <c r="EX21" s="76">
        <v>0</v>
      </c>
      <c r="EY21" s="76">
        <v>-231</v>
      </c>
      <c r="EZ21" s="76">
        <v>127796</v>
      </c>
      <c r="FA21" s="76">
        <v>19655</v>
      </c>
      <c r="FB21" s="76">
        <v>1976</v>
      </c>
      <c r="FC21" s="76">
        <v>0</v>
      </c>
      <c r="FD21" s="76">
        <v>0</v>
      </c>
      <c r="FE21" s="76">
        <v>-261</v>
      </c>
      <c r="FF21" s="76">
        <v>0</v>
      </c>
      <c r="FG21" s="76">
        <v>0</v>
      </c>
      <c r="FH21" s="76">
        <v>21370</v>
      </c>
      <c r="FI21" s="76">
        <v>106426</v>
      </c>
      <c r="FJ21" s="76">
        <v>107055</v>
      </c>
      <c r="FK21" s="76">
        <v>0</v>
      </c>
      <c r="FL21" s="76">
        <v>0</v>
      </c>
      <c r="FM21" s="76">
        <v>0</v>
      </c>
      <c r="FN21" s="76">
        <v>0</v>
      </c>
      <c r="FO21" s="76">
        <v>0</v>
      </c>
      <c r="FP21" s="76">
        <v>0</v>
      </c>
      <c r="FQ21" s="76">
        <v>0</v>
      </c>
      <c r="FR21" s="76">
        <v>0</v>
      </c>
      <c r="FS21" s="76">
        <v>0</v>
      </c>
      <c r="FT21" s="76">
        <v>707</v>
      </c>
      <c r="FU21" s="76">
        <v>232</v>
      </c>
      <c r="FV21" s="76">
        <v>475</v>
      </c>
      <c r="FW21" s="76">
        <v>0</v>
      </c>
      <c r="FX21" s="76">
        <v>0</v>
      </c>
      <c r="FY21" s="76">
        <v>0</v>
      </c>
      <c r="FZ21" s="76">
        <v>0</v>
      </c>
      <c r="GA21" s="76">
        <v>0</v>
      </c>
      <c r="GB21" s="76">
        <v>0</v>
      </c>
      <c r="GC21" s="76">
        <v>707</v>
      </c>
      <c r="GD21" s="76">
        <v>232</v>
      </c>
      <c r="GE21" s="76">
        <v>475</v>
      </c>
      <c r="GF21" s="76">
        <v>0</v>
      </c>
      <c r="GG21" s="76">
        <v>0</v>
      </c>
      <c r="GH21" s="76">
        <v>0</v>
      </c>
      <c r="GI21" s="76">
        <v>0</v>
      </c>
      <c r="GJ21" s="76">
        <v>0</v>
      </c>
      <c r="GK21" s="76">
        <v>0</v>
      </c>
      <c r="GL21" s="76">
        <v>0</v>
      </c>
      <c r="GM21" s="76">
        <v>258</v>
      </c>
      <c r="GN21" s="76">
        <v>395</v>
      </c>
      <c r="GO21" s="76">
        <v>0</v>
      </c>
      <c r="GP21" s="76">
        <v>213</v>
      </c>
      <c r="GQ21" s="76">
        <v>0</v>
      </c>
      <c r="GR21" s="76">
        <v>1217</v>
      </c>
      <c r="GS21" s="76">
        <v>0</v>
      </c>
      <c r="GT21" s="76">
        <v>0</v>
      </c>
      <c r="GU21" s="76">
        <v>0</v>
      </c>
      <c r="GV21" s="76">
        <v>0</v>
      </c>
      <c r="GW21" s="76">
        <v>759</v>
      </c>
      <c r="GX21" s="76">
        <v>2842</v>
      </c>
      <c r="GY21" s="76">
        <v>228</v>
      </c>
      <c r="GZ21" s="76">
        <v>0</v>
      </c>
      <c r="HA21" s="76">
        <v>0</v>
      </c>
      <c r="HB21" s="76">
        <v>0</v>
      </c>
      <c r="HC21" s="76">
        <v>228</v>
      </c>
      <c r="HD21" s="76">
        <v>0</v>
      </c>
      <c r="HE21" s="76">
        <v>0</v>
      </c>
      <c r="HF21" s="76">
        <v>0</v>
      </c>
      <c r="HG21" s="76">
        <v>2500</v>
      </c>
      <c r="HH21" s="76">
        <v>0</v>
      </c>
      <c r="HI21" s="76">
        <v>55</v>
      </c>
      <c r="HJ21" s="76">
        <v>0</v>
      </c>
      <c r="HK21" s="76">
        <v>162</v>
      </c>
      <c r="HL21" s="76">
        <v>-12</v>
      </c>
      <c r="HM21" s="76">
        <v>2705</v>
      </c>
      <c r="HN21" s="76">
        <v>1081</v>
      </c>
      <c r="HO21" s="76">
        <v>2348</v>
      </c>
      <c r="HP21" s="76">
        <v>0</v>
      </c>
      <c r="HQ21" s="76">
        <v>8</v>
      </c>
      <c r="HR21" s="76">
        <v>-5</v>
      </c>
      <c r="HS21" s="76">
        <v>3</v>
      </c>
      <c r="HT21" s="76">
        <v>2268</v>
      </c>
      <c r="HU21" s="76">
        <v>0</v>
      </c>
      <c r="HV21" s="76">
        <v>0</v>
      </c>
      <c r="HW21" s="76">
        <v>0</v>
      </c>
      <c r="HX21" s="76">
        <v>0</v>
      </c>
    </row>
    <row r="22" spans="1:232" x14ac:dyDescent="0.2">
      <c r="A22" s="74" t="s">
        <v>16</v>
      </c>
      <c r="B22" s="74" t="s">
        <v>15</v>
      </c>
      <c r="C22" s="75" t="s">
        <v>200</v>
      </c>
      <c r="D22" s="75">
        <v>12</v>
      </c>
      <c r="E22" s="76">
        <v>26489</v>
      </c>
      <c r="F22" s="76">
        <v>-471</v>
      </c>
      <c r="G22" s="76">
        <v>-14538</v>
      </c>
      <c r="H22" s="76">
        <v>11480</v>
      </c>
      <c r="I22" s="76">
        <v>595</v>
      </c>
      <c r="J22" s="76">
        <v>0</v>
      </c>
      <c r="K22" s="76">
        <v>0</v>
      </c>
      <c r="L22" s="76">
        <v>0</v>
      </c>
      <c r="M22" s="76">
        <v>55</v>
      </c>
      <c r="N22" s="76">
        <v>-5244</v>
      </c>
      <c r="O22" s="76">
        <v>495</v>
      </c>
      <c r="P22" s="76">
        <v>0</v>
      </c>
      <c r="Q22" s="76">
        <v>0</v>
      </c>
      <c r="R22" s="76">
        <v>0</v>
      </c>
      <c r="S22" s="76">
        <v>7381</v>
      </c>
      <c r="T22" s="76">
        <v>0</v>
      </c>
      <c r="U22" s="76">
        <v>7381</v>
      </c>
      <c r="V22" s="76">
        <v>0</v>
      </c>
      <c r="W22" s="76">
        <v>-1086</v>
      </c>
      <c r="X22" s="76">
        <v>0</v>
      </c>
      <c r="Y22" s="76">
        <v>0</v>
      </c>
      <c r="Z22" s="76">
        <v>6295</v>
      </c>
      <c r="AA22" s="76">
        <v>24082</v>
      </c>
      <c r="AB22" s="76">
        <v>899</v>
      </c>
      <c r="AC22" s="76">
        <v>24981</v>
      </c>
      <c r="AD22" s="76">
        <v>216</v>
      </c>
      <c r="AE22" s="76">
        <v>0</v>
      </c>
      <c r="AF22" s="76">
        <v>0</v>
      </c>
      <c r="AG22" s="76">
        <v>0</v>
      </c>
      <c r="AH22" s="76">
        <v>25197</v>
      </c>
      <c r="AI22" s="76">
        <v>4651</v>
      </c>
      <c r="AJ22" s="76">
        <v>2725</v>
      </c>
      <c r="AK22" s="76">
        <v>1905</v>
      </c>
      <c r="AL22" s="76">
        <v>1159</v>
      </c>
      <c r="AM22" s="76">
        <v>0</v>
      </c>
      <c r="AN22" s="76">
        <v>120</v>
      </c>
      <c r="AO22" s="76">
        <v>3182</v>
      </c>
      <c r="AP22" s="76">
        <v>0</v>
      </c>
      <c r="AQ22" s="76">
        <v>117</v>
      </c>
      <c r="AR22" s="76">
        <v>13859</v>
      </c>
      <c r="AS22" s="76">
        <v>11338</v>
      </c>
      <c r="AT22" s="76">
        <v>284</v>
      </c>
      <c r="AU22" s="76">
        <v>158168</v>
      </c>
      <c r="AV22" s="76">
        <v>0</v>
      </c>
      <c r="AW22" s="76">
        <v>3274</v>
      </c>
      <c r="AX22" s="76">
        <v>0</v>
      </c>
      <c r="AY22" s="76">
        <v>0</v>
      </c>
      <c r="AZ22" s="76">
        <v>3277</v>
      </c>
      <c r="BA22" s="76">
        <v>2081</v>
      </c>
      <c r="BB22" s="76">
        <v>0</v>
      </c>
      <c r="BC22" s="76">
        <v>0</v>
      </c>
      <c r="BD22" s="76">
        <v>0</v>
      </c>
      <c r="BE22" s="76">
        <v>166800</v>
      </c>
      <c r="BF22" s="76">
        <v>5898</v>
      </c>
      <c r="BG22" s="76">
        <v>4921</v>
      </c>
      <c r="BH22" s="76">
        <v>2183</v>
      </c>
      <c r="BI22" s="76">
        <v>0</v>
      </c>
      <c r="BJ22" s="76">
        <v>11052</v>
      </c>
      <c r="BK22" s="76">
        <v>24054</v>
      </c>
      <c r="BL22" s="76">
        <v>0</v>
      </c>
      <c r="BM22" s="76">
        <v>0</v>
      </c>
      <c r="BN22" s="76">
        <v>154</v>
      </c>
      <c r="BO22" s="76">
        <v>5283</v>
      </c>
      <c r="BP22" s="76">
        <v>5437</v>
      </c>
      <c r="BQ22" s="76">
        <v>18617</v>
      </c>
      <c r="BR22" s="76">
        <v>185417</v>
      </c>
      <c r="BS22" s="76">
        <v>130312</v>
      </c>
      <c r="BT22" s="76">
        <v>0</v>
      </c>
      <c r="BU22" s="76">
        <v>0</v>
      </c>
      <c r="BV22" s="76">
        <v>11527</v>
      </c>
      <c r="BW22" s="76">
        <v>0</v>
      </c>
      <c r="BX22" s="76">
        <v>0</v>
      </c>
      <c r="BY22" s="76">
        <v>329</v>
      </c>
      <c r="BZ22" s="76">
        <v>142168</v>
      </c>
      <c r="CA22" s="76">
        <v>3006</v>
      </c>
      <c r="CB22" s="76">
        <v>11757</v>
      </c>
      <c r="CC22" s="76">
        <v>28486</v>
      </c>
      <c r="CD22" s="76">
        <v>28486</v>
      </c>
      <c r="CE22" s="76">
        <v>0</v>
      </c>
      <c r="CF22" s="76">
        <v>0</v>
      </c>
      <c r="CG22" s="76">
        <v>0</v>
      </c>
      <c r="CH22" s="76">
        <v>0</v>
      </c>
      <c r="CI22" s="76">
        <v>28486</v>
      </c>
      <c r="CJ22" s="76">
        <v>550</v>
      </c>
      <c r="CK22" s="76">
        <v>471</v>
      </c>
      <c r="CL22" s="76">
        <v>0</v>
      </c>
      <c r="CM22" s="76">
        <v>79</v>
      </c>
      <c r="CN22" s="76">
        <v>86</v>
      </c>
      <c r="CO22" s="76">
        <v>0</v>
      </c>
      <c r="CP22" s="76">
        <v>86</v>
      </c>
      <c r="CQ22" s="76">
        <v>0</v>
      </c>
      <c r="CR22" s="76">
        <v>0</v>
      </c>
      <c r="CS22" s="76">
        <v>0</v>
      </c>
      <c r="CT22" s="76">
        <v>0</v>
      </c>
      <c r="CU22" s="76">
        <v>0</v>
      </c>
      <c r="CV22" s="76">
        <v>0</v>
      </c>
      <c r="CW22" s="76">
        <v>0</v>
      </c>
      <c r="CX22" s="76">
        <v>0</v>
      </c>
      <c r="CY22" s="76">
        <v>0</v>
      </c>
      <c r="CZ22" s="76">
        <v>0</v>
      </c>
      <c r="DA22" s="76">
        <v>0</v>
      </c>
      <c r="DB22" s="76">
        <v>0</v>
      </c>
      <c r="DC22" s="76">
        <v>0</v>
      </c>
      <c r="DD22" s="76">
        <v>636</v>
      </c>
      <c r="DE22" s="76">
        <v>471</v>
      </c>
      <c r="DF22" s="76">
        <v>86</v>
      </c>
      <c r="DG22" s="76">
        <v>79</v>
      </c>
      <c r="DH22" s="76">
        <v>0</v>
      </c>
      <c r="DI22" s="76">
        <v>0</v>
      </c>
      <c r="DJ22" s="76">
        <v>0</v>
      </c>
      <c r="DK22" s="76">
        <v>0</v>
      </c>
      <c r="DL22" s="76">
        <v>0</v>
      </c>
      <c r="DM22" s="76">
        <v>0</v>
      </c>
      <c r="DN22" s="76">
        <v>0</v>
      </c>
      <c r="DO22" s="76">
        <v>0</v>
      </c>
      <c r="DP22" s="76">
        <v>0</v>
      </c>
      <c r="DQ22" s="76">
        <v>0</v>
      </c>
      <c r="DR22" s="76">
        <v>0</v>
      </c>
      <c r="DS22" s="76">
        <v>0</v>
      </c>
      <c r="DT22" s="76">
        <v>85</v>
      </c>
      <c r="DU22" s="76">
        <v>0</v>
      </c>
      <c r="DV22" s="76">
        <v>0</v>
      </c>
      <c r="DW22" s="76">
        <v>85</v>
      </c>
      <c r="DX22" s="76">
        <v>0</v>
      </c>
      <c r="DY22" s="76">
        <v>0</v>
      </c>
      <c r="DZ22" s="76">
        <v>0</v>
      </c>
      <c r="EA22" s="76">
        <v>0</v>
      </c>
      <c r="EB22" s="76">
        <v>571</v>
      </c>
      <c r="EC22" s="76">
        <v>0</v>
      </c>
      <c r="ED22" s="76">
        <v>593</v>
      </c>
      <c r="EE22" s="76">
        <v>-22</v>
      </c>
      <c r="EF22" s="76">
        <v>656</v>
      </c>
      <c r="EG22" s="76">
        <v>0</v>
      </c>
      <c r="EH22" s="76">
        <v>593</v>
      </c>
      <c r="EI22" s="76">
        <v>63</v>
      </c>
      <c r="EJ22" s="76">
        <v>1292</v>
      </c>
      <c r="EK22" s="76">
        <v>471</v>
      </c>
      <c r="EL22" s="76">
        <v>679</v>
      </c>
      <c r="EM22" s="76">
        <v>142</v>
      </c>
      <c r="EN22" s="76">
        <v>842</v>
      </c>
      <c r="EO22" s="76">
        <v>171</v>
      </c>
      <c r="EP22" s="76">
        <v>100</v>
      </c>
      <c r="EQ22" s="76">
        <v>171</v>
      </c>
      <c r="ER22" s="76">
        <v>155478</v>
      </c>
      <c r="ES22" s="76">
        <v>0</v>
      </c>
      <c r="ET22" s="76">
        <v>155478</v>
      </c>
      <c r="EU22" s="76">
        <v>19549</v>
      </c>
      <c r="EV22" s="76">
        <v>-827</v>
      </c>
      <c r="EW22" s="76">
        <v>0</v>
      </c>
      <c r="EX22" s="76">
        <v>-142</v>
      </c>
      <c r="EY22" s="76">
        <v>0</v>
      </c>
      <c r="EZ22" s="76">
        <v>174058</v>
      </c>
      <c r="FA22" s="76">
        <v>12706</v>
      </c>
      <c r="FB22" s="76">
        <v>3249</v>
      </c>
      <c r="FC22" s="76">
        <v>0</v>
      </c>
      <c r="FD22" s="76">
        <v>0</v>
      </c>
      <c r="FE22" s="76">
        <v>-48</v>
      </c>
      <c r="FF22" s="76">
        <v>0</v>
      </c>
      <c r="FG22" s="76">
        <v>-17</v>
      </c>
      <c r="FH22" s="76">
        <v>15890</v>
      </c>
      <c r="FI22" s="76">
        <v>158168</v>
      </c>
      <c r="FJ22" s="76">
        <v>142772</v>
      </c>
      <c r="FK22" s="76">
        <v>341</v>
      </c>
      <c r="FL22" s="76">
        <v>145</v>
      </c>
      <c r="FM22" s="76">
        <v>196</v>
      </c>
      <c r="FN22" s="76">
        <v>907</v>
      </c>
      <c r="FO22" s="76">
        <v>394</v>
      </c>
      <c r="FP22" s="76">
        <v>513</v>
      </c>
      <c r="FQ22" s="76">
        <v>0</v>
      </c>
      <c r="FR22" s="76">
        <v>0</v>
      </c>
      <c r="FS22" s="76">
        <v>0</v>
      </c>
      <c r="FT22" s="76">
        <v>136</v>
      </c>
      <c r="FU22" s="76">
        <v>250</v>
      </c>
      <c r="FV22" s="76">
        <v>-114</v>
      </c>
      <c r="FW22" s="76">
        <v>0</v>
      </c>
      <c r="FX22" s="76">
        <v>0</v>
      </c>
      <c r="FY22" s="76">
        <v>0</v>
      </c>
      <c r="FZ22" s="76">
        <v>0</v>
      </c>
      <c r="GA22" s="76">
        <v>0</v>
      </c>
      <c r="GB22" s="76">
        <v>0</v>
      </c>
      <c r="GC22" s="76">
        <v>1384</v>
      </c>
      <c r="GD22" s="76">
        <v>789</v>
      </c>
      <c r="GE22" s="76">
        <v>595</v>
      </c>
      <c r="GF22" s="76">
        <v>0</v>
      </c>
      <c r="GG22" s="76">
        <v>86</v>
      </c>
      <c r="GH22" s="76">
        <v>0</v>
      </c>
      <c r="GI22" s="76">
        <v>10966</v>
      </c>
      <c r="GJ22" s="76">
        <v>0</v>
      </c>
      <c r="GK22" s="76">
        <v>0</v>
      </c>
      <c r="GL22" s="76">
        <v>11052</v>
      </c>
      <c r="GM22" s="76">
        <v>1218</v>
      </c>
      <c r="GN22" s="76">
        <v>436</v>
      </c>
      <c r="GO22" s="76">
        <v>0</v>
      </c>
      <c r="GP22" s="76">
        <v>0</v>
      </c>
      <c r="GQ22" s="76">
        <v>656</v>
      </c>
      <c r="GR22" s="76">
        <v>2309</v>
      </c>
      <c r="GS22" s="76">
        <v>0</v>
      </c>
      <c r="GT22" s="76">
        <v>0</v>
      </c>
      <c r="GU22" s="76">
        <v>10</v>
      </c>
      <c r="GV22" s="76">
        <v>0</v>
      </c>
      <c r="GW22" s="76">
        <v>654</v>
      </c>
      <c r="GX22" s="76">
        <v>5283</v>
      </c>
      <c r="GY22" s="76">
        <v>0</v>
      </c>
      <c r="GZ22" s="76">
        <v>230</v>
      </c>
      <c r="HA22" s="76">
        <v>89</v>
      </c>
      <c r="HB22" s="76">
        <v>10</v>
      </c>
      <c r="HC22" s="76">
        <v>329</v>
      </c>
      <c r="HD22" s="76">
        <v>10966</v>
      </c>
      <c r="HE22" s="76">
        <v>791</v>
      </c>
      <c r="HF22" s="76">
        <v>11757</v>
      </c>
      <c r="HG22" s="76">
        <v>5599</v>
      </c>
      <c r="HH22" s="76">
        <v>139</v>
      </c>
      <c r="HI22" s="76">
        <v>67</v>
      </c>
      <c r="HJ22" s="76">
        <v>1</v>
      </c>
      <c r="HK22" s="76">
        <v>2</v>
      </c>
      <c r="HL22" s="76">
        <v>-564</v>
      </c>
      <c r="HM22" s="76">
        <v>5244</v>
      </c>
      <c r="HN22" s="76">
        <v>1847</v>
      </c>
      <c r="HO22" s="76">
        <v>3480</v>
      </c>
      <c r="HP22" s="76">
        <v>0</v>
      </c>
      <c r="HQ22" s="76">
        <v>23</v>
      </c>
      <c r="HR22" s="76">
        <v>-8</v>
      </c>
      <c r="HS22" s="76">
        <v>13</v>
      </c>
      <c r="HT22" s="76">
        <v>4568</v>
      </c>
      <c r="HU22" s="76">
        <v>0</v>
      </c>
      <c r="HV22" s="76">
        <v>0</v>
      </c>
      <c r="HW22" s="76">
        <v>0</v>
      </c>
      <c r="HX22" s="76">
        <v>105</v>
      </c>
    </row>
    <row r="23" spans="1:232" x14ac:dyDescent="0.2">
      <c r="A23" s="74" t="s">
        <v>251</v>
      </c>
      <c r="B23" s="74" t="s">
        <v>252</v>
      </c>
      <c r="C23" s="75" t="s">
        <v>200</v>
      </c>
      <c r="D23" s="75">
        <v>12</v>
      </c>
      <c r="E23" s="76">
        <v>74934</v>
      </c>
      <c r="F23" s="76">
        <v>-1921</v>
      </c>
      <c r="G23" s="76">
        <v>-52205</v>
      </c>
      <c r="H23" s="76">
        <v>20808</v>
      </c>
      <c r="I23" s="76">
        <v>546</v>
      </c>
      <c r="J23" s="76">
        <v>734</v>
      </c>
      <c r="K23" s="76">
        <v>0</v>
      </c>
      <c r="L23" s="76">
        <v>374</v>
      </c>
      <c r="M23" s="76">
        <v>182</v>
      </c>
      <c r="N23" s="76">
        <v>-8166</v>
      </c>
      <c r="O23" s="76">
        <v>74</v>
      </c>
      <c r="P23" s="76">
        <v>18</v>
      </c>
      <c r="Q23" s="76">
        <v>0</v>
      </c>
      <c r="R23" s="76">
        <v>0</v>
      </c>
      <c r="S23" s="76">
        <v>14570</v>
      </c>
      <c r="T23" s="76">
        <v>-17</v>
      </c>
      <c r="U23" s="76">
        <v>14553</v>
      </c>
      <c r="V23" s="76">
        <v>0</v>
      </c>
      <c r="W23" s="76">
        <v>1119</v>
      </c>
      <c r="X23" s="76">
        <v>0</v>
      </c>
      <c r="Y23" s="76">
        <v>0</v>
      </c>
      <c r="Z23" s="76">
        <v>15672</v>
      </c>
      <c r="AA23" s="76">
        <v>54368</v>
      </c>
      <c r="AB23" s="76">
        <v>5307</v>
      </c>
      <c r="AC23" s="76">
        <v>59675</v>
      </c>
      <c r="AD23" s="76">
        <v>4175</v>
      </c>
      <c r="AE23" s="76">
        <v>0</v>
      </c>
      <c r="AF23" s="76">
        <v>0</v>
      </c>
      <c r="AG23" s="76">
        <v>3114</v>
      </c>
      <c r="AH23" s="76">
        <v>66964</v>
      </c>
      <c r="AI23" s="76">
        <v>8195</v>
      </c>
      <c r="AJ23" s="76">
        <v>5652</v>
      </c>
      <c r="AK23" s="76">
        <v>10945</v>
      </c>
      <c r="AL23" s="76">
        <v>3641</v>
      </c>
      <c r="AM23" s="76">
        <v>5621</v>
      </c>
      <c r="AN23" s="76">
        <v>451</v>
      </c>
      <c r="AO23" s="76">
        <v>9555</v>
      </c>
      <c r="AP23" s="76">
        <v>94</v>
      </c>
      <c r="AQ23" s="76">
        <v>3295</v>
      </c>
      <c r="AR23" s="76">
        <v>47449</v>
      </c>
      <c r="AS23" s="76">
        <v>19515</v>
      </c>
      <c r="AT23" s="76">
        <v>1379</v>
      </c>
      <c r="AU23" s="76">
        <v>425791</v>
      </c>
      <c r="AV23" s="76">
        <v>0</v>
      </c>
      <c r="AW23" s="76">
        <v>9569</v>
      </c>
      <c r="AX23" s="76">
        <v>1959</v>
      </c>
      <c r="AY23" s="76">
        <v>233</v>
      </c>
      <c r="AZ23" s="76">
        <v>4071</v>
      </c>
      <c r="BA23" s="76">
        <v>0</v>
      </c>
      <c r="BB23" s="76">
        <v>0</v>
      </c>
      <c r="BC23" s="76">
        <v>0</v>
      </c>
      <c r="BD23" s="76">
        <v>817</v>
      </c>
      <c r="BE23" s="76">
        <v>442440</v>
      </c>
      <c r="BF23" s="76">
        <v>564</v>
      </c>
      <c r="BG23" s="76">
        <v>2130</v>
      </c>
      <c r="BH23" s="76">
        <v>50262</v>
      </c>
      <c r="BI23" s="76">
        <v>0</v>
      </c>
      <c r="BJ23" s="76">
        <v>55666</v>
      </c>
      <c r="BK23" s="76">
        <v>108622</v>
      </c>
      <c r="BL23" s="76">
        <v>3908</v>
      </c>
      <c r="BM23" s="76">
        <v>0</v>
      </c>
      <c r="BN23" s="76">
        <v>4177</v>
      </c>
      <c r="BO23" s="76">
        <v>20401</v>
      </c>
      <c r="BP23" s="76">
        <v>28486</v>
      </c>
      <c r="BQ23" s="76">
        <v>80136</v>
      </c>
      <c r="BR23" s="76">
        <v>522576</v>
      </c>
      <c r="BS23" s="76">
        <v>169072</v>
      </c>
      <c r="BT23" s="76">
        <v>0</v>
      </c>
      <c r="BU23" s="76">
        <v>0</v>
      </c>
      <c r="BV23" s="76">
        <v>167661</v>
      </c>
      <c r="BW23" s="76">
        <v>233</v>
      </c>
      <c r="BX23" s="76">
        <v>0</v>
      </c>
      <c r="BY23" s="76">
        <v>6219</v>
      </c>
      <c r="BZ23" s="76">
        <v>343185</v>
      </c>
      <c r="CA23" s="76">
        <v>-2247</v>
      </c>
      <c r="CB23" s="76">
        <v>50634</v>
      </c>
      <c r="CC23" s="76">
        <v>131004</v>
      </c>
      <c r="CD23" s="76">
        <v>131004</v>
      </c>
      <c r="CE23" s="76">
        <v>0</v>
      </c>
      <c r="CF23" s="76">
        <v>0</v>
      </c>
      <c r="CG23" s="76">
        <v>0</v>
      </c>
      <c r="CH23" s="76">
        <v>0</v>
      </c>
      <c r="CI23" s="76">
        <v>131004</v>
      </c>
      <c r="CJ23" s="76">
        <v>1943</v>
      </c>
      <c r="CK23" s="76">
        <v>1921</v>
      </c>
      <c r="CL23" s="76">
        <v>0</v>
      </c>
      <c r="CM23" s="76">
        <v>22</v>
      </c>
      <c r="CN23" s="76">
        <v>0</v>
      </c>
      <c r="CO23" s="76">
        <v>0</v>
      </c>
      <c r="CP23" s="76">
        <v>0</v>
      </c>
      <c r="CQ23" s="76">
        <v>0</v>
      </c>
      <c r="CR23" s="76">
        <v>0</v>
      </c>
      <c r="CS23" s="76">
        <v>0</v>
      </c>
      <c r="CT23" s="76">
        <v>855</v>
      </c>
      <c r="CU23" s="76">
        <v>-855</v>
      </c>
      <c r="CV23" s="76">
        <v>0</v>
      </c>
      <c r="CW23" s="76">
        <v>0</v>
      </c>
      <c r="CX23" s="76">
        <v>0</v>
      </c>
      <c r="CY23" s="76">
        <v>0</v>
      </c>
      <c r="CZ23" s="76">
        <v>0</v>
      </c>
      <c r="DA23" s="76">
        <v>0</v>
      </c>
      <c r="DB23" s="76">
        <v>-78</v>
      </c>
      <c r="DC23" s="76">
        <v>78</v>
      </c>
      <c r="DD23" s="76">
        <v>1943</v>
      </c>
      <c r="DE23" s="76">
        <v>1921</v>
      </c>
      <c r="DF23" s="76">
        <v>777</v>
      </c>
      <c r="DG23" s="76">
        <v>-755</v>
      </c>
      <c r="DH23" s="76">
        <v>0</v>
      </c>
      <c r="DI23" s="76">
        <v>0</v>
      </c>
      <c r="DJ23" s="76">
        <v>0</v>
      </c>
      <c r="DK23" s="76">
        <v>0</v>
      </c>
      <c r="DL23" s="76">
        <v>0</v>
      </c>
      <c r="DM23" s="76">
        <v>0</v>
      </c>
      <c r="DN23" s="76">
        <v>0</v>
      </c>
      <c r="DO23" s="76">
        <v>0</v>
      </c>
      <c r="DP23" s="76">
        <v>0</v>
      </c>
      <c r="DQ23" s="76">
        <v>0</v>
      </c>
      <c r="DR23" s="76">
        <v>0</v>
      </c>
      <c r="DS23" s="76">
        <v>0</v>
      </c>
      <c r="DT23" s="76">
        <v>414</v>
      </c>
      <c r="DU23" s="76">
        <v>0</v>
      </c>
      <c r="DV23" s="76">
        <v>0</v>
      </c>
      <c r="DW23" s="76">
        <v>414</v>
      </c>
      <c r="DX23" s="76">
        <v>0</v>
      </c>
      <c r="DY23" s="76">
        <v>0</v>
      </c>
      <c r="DZ23" s="76">
        <v>0</v>
      </c>
      <c r="EA23" s="76">
        <v>0</v>
      </c>
      <c r="EB23" s="76">
        <v>5613</v>
      </c>
      <c r="EC23" s="76">
        <v>0</v>
      </c>
      <c r="ED23" s="76">
        <v>3979</v>
      </c>
      <c r="EE23" s="76">
        <v>1634</v>
      </c>
      <c r="EF23" s="76">
        <v>6027</v>
      </c>
      <c r="EG23" s="76">
        <v>0</v>
      </c>
      <c r="EH23" s="76">
        <v>3979</v>
      </c>
      <c r="EI23" s="76">
        <v>2048</v>
      </c>
      <c r="EJ23" s="76">
        <v>7970</v>
      </c>
      <c r="EK23" s="76">
        <v>1921</v>
      </c>
      <c r="EL23" s="76">
        <v>4756</v>
      </c>
      <c r="EM23" s="76">
        <v>1293</v>
      </c>
      <c r="EN23" s="76">
        <v>2746</v>
      </c>
      <c r="EO23" s="76">
        <v>3203</v>
      </c>
      <c r="EP23" s="76">
        <v>616</v>
      </c>
      <c r="EQ23" s="76">
        <v>3203</v>
      </c>
      <c r="ER23" s="76">
        <v>499612</v>
      </c>
      <c r="ES23" s="76">
        <v>0</v>
      </c>
      <c r="ET23" s="76">
        <v>499612</v>
      </c>
      <c r="EU23" s="76">
        <v>23935</v>
      </c>
      <c r="EV23" s="76">
        <v>-2650</v>
      </c>
      <c r="EW23" s="76">
        <v>0</v>
      </c>
      <c r="EX23" s="76">
        <v>0</v>
      </c>
      <c r="EY23" s="76">
        <v>0</v>
      </c>
      <c r="EZ23" s="76">
        <v>520897</v>
      </c>
      <c r="FA23" s="76">
        <v>86515</v>
      </c>
      <c r="FB23" s="76">
        <v>9651</v>
      </c>
      <c r="FC23" s="76">
        <v>0</v>
      </c>
      <c r="FD23" s="76">
        <v>0</v>
      </c>
      <c r="FE23" s="76">
        <v>-1060</v>
      </c>
      <c r="FF23" s="76">
        <v>0</v>
      </c>
      <c r="FG23" s="76">
        <v>0</v>
      </c>
      <c r="FH23" s="76">
        <v>95106</v>
      </c>
      <c r="FI23" s="76">
        <v>425791</v>
      </c>
      <c r="FJ23" s="76">
        <v>413097</v>
      </c>
      <c r="FK23" s="76">
        <v>669</v>
      </c>
      <c r="FL23" s="76">
        <v>411</v>
      </c>
      <c r="FM23" s="76">
        <v>258</v>
      </c>
      <c r="FN23" s="76">
        <v>1227</v>
      </c>
      <c r="FO23" s="76">
        <v>632</v>
      </c>
      <c r="FP23" s="76">
        <v>595</v>
      </c>
      <c r="FQ23" s="76">
        <v>0</v>
      </c>
      <c r="FR23" s="76">
        <v>0</v>
      </c>
      <c r="FS23" s="76">
        <v>0</v>
      </c>
      <c r="FT23" s="76">
        <v>18</v>
      </c>
      <c r="FU23" s="76">
        <v>23</v>
      </c>
      <c r="FV23" s="76">
        <v>-5</v>
      </c>
      <c r="FW23" s="76">
        <v>0</v>
      </c>
      <c r="FX23" s="76">
        <v>0</v>
      </c>
      <c r="FY23" s="76">
        <v>0</v>
      </c>
      <c r="FZ23" s="76">
        <v>109</v>
      </c>
      <c r="GA23" s="76">
        <v>411</v>
      </c>
      <c r="GB23" s="76">
        <v>-302</v>
      </c>
      <c r="GC23" s="76">
        <v>2023</v>
      </c>
      <c r="GD23" s="76">
        <v>1477</v>
      </c>
      <c r="GE23" s="76">
        <v>546</v>
      </c>
      <c r="GF23" s="76">
        <v>0</v>
      </c>
      <c r="GG23" s="76">
        <v>18</v>
      </c>
      <c r="GH23" s="76">
        <v>0</v>
      </c>
      <c r="GI23" s="76">
        <v>50634</v>
      </c>
      <c r="GJ23" s="76">
        <v>0</v>
      </c>
      <c r="GK23" s="76">
        <v>5014</v>
      </c>
      <c r="GL23" s="76">
        <v>55666</v>
      </c>
      <c r="GM23" s="76">
        <v>620</v>
      </c>
      <c r="GN23" s="76">
        <v>1065</v>
      </c>
      <c r="GO23" s="76">
        <v>0</v>
      </c>
      <c r="GP23" s="76">
        <v>229</v>
      </c>
      <c r="GQ23" s="76">
        <v>53</v>
      </c>
      <c r="GR23" s="76">
        <v>10042</v>
      </c>
      <c r="GS23" s="76">
        <v>30</v>
      </c>
      <c r="GT23" s="76">
        <v>0</v>
      </c>
      <c r="GU23" s="76">
        <v>702</v>
      </c>
      <c r="GV23" s="76">
        <v>0</v>
      </c>
      <c r="GW23" s="76">
        <v>7660</v>
      </c>
      <c r="GX23" s="76">
        <v>20401</v>
      </c>
      <c r="GY23" s="76">
        <v>309</v>
      </c>
      <c r="GZ23" s="76">
        <v>313</v>
      </c>
      <c r="HA23" s="76">
        <v>5533</v>
      </c>
      <c r="HB23" s="76">
        <v>64</v>
      </c>
      <c r="HC23" s="76">
        <v>6219</v>
      </c>
      <c r="HD23" s="76">
        <v>50634</v>
      </c>
      <c r="HE23" s="76">
        <v>0</v>
      </c>
      <c r="HF23" s="76">
        <v>50634</v>
      </c>
      <c r="HG23" s="76">
        <v>8149</v>
      </c>
      <c r="HH23" s="76">
        <v>62</v>
      </c>
      <c r="HI23" s="76">
        <v>-56</v>
      </c>
      <c r="HJ23" s="76">
        <v>0</v>
      </c>
      <c r="HK23" s="76">
        <v>130</v>
      </c>
      <c r="HL23" s="76">
        <v>-119</v>
      </c>
      <c r="HM23" s="76">
        <v>8166</v>
      </c>
      <c r="HN23" s="76">
        <v>11486</v>
      </c>
      <c r="HO23" s="76">
        <v>10567</v>
      </c>
      <c r="HP23" s="76">
        <v>94</v>
      </c>
      <c r="HQ23" s="76">
        <v>204</v>
      </c>
      <c r="HR23" s="76">
        <v>-117</v>
      </c>
      <c r="HS23" s="76">
        <v>-19</v>
      </c>
      <c r="HT23" s="76">
        <v>13335</v>
      </c>
      <c r="HU23" s="76">
        <v>0</v>
      </c>
      <c r="HV23" s="76">
        <v>0</v>
      </c>
      <c r="HW23" s="76">
        <v>610</v>
      </c>
      <c r="HX23" s="76">
        <v>1681</v>
      </c>
    </row>
    <row r="24" spans="1:232" x14ac:dyDescent="0.2">
      <c r="A24" s="74" t="s">
        <v>21</v>
      </c>
      <c r="B24" s="74" t="s">
        <v>19</v>
      </c>
      <c r="C24" s="75" t="s">
        <v>200</v>
      </c>
      <c r="D24" s="75">
        <v>12</v>
      </c>
      <c r="E24" s="76">
        <v>16645</v>
      </c>
      <c r="F24" s="76">
        <v>-247</v>
      </c>
      <c r="G24" s="76">
        <v>-12374</v>
      </c>
      <c r="H24" s="76">
        <v>4024</v>
      </c>
      <c r="I24" s="76">
        <v>183</v>
      </c>
      <c r="J24" s="76">
        <v>0</v>
      </c>
      <c r="K24" s="76">
        <v>0</v>
      </c>
      <c r="L24" s="76">
        <v>0</v>
      </c>
      <c r="M24" s="76">
        <v>3</v>
      </c>
      <c r="N24" s="76">
        <v>-1750</v>
      </c>
      <c r="O24" s="76">
        <v>0</v>
      </c>
      <c r="P24" s="76">
        <v>0</v>
      </c>
      <c r="Q24" s="76">
        <v>0</v>
      </c>
      <c r="R24" s="76">
        <v>0</v>
      </c>
      <c r="S24" s="76">
        <v>2460</v>
      </c>
      <c r="T24" s="76">
        <v>-6</v>
      </c>
      <c r="U24" s="76">
        <v>2454</v>
      </c>
      <c r="V24" s="76">
        <v>0</v>
      </c>
      <c r="W24" s="76">
        <v>0</v>
      </c>
      <c r="X24" s="76">
        <v>0</v>
      </c>
      <c r="Y24" s="76">
        <v>0</v>
      </c>
      <c r="Z24" s="76">
        <v>2454</v>
      </c>
      <c r="AA24" s="76">
        <v>9214</v>
      </c>
      <c r="AB24" s="76">
        <v>900</v>
      </c>
      <c r="AC24" s="76">
        <v>10114</v>
      </c>
      <c r="AD24" s="76">
        <v>508</v>
      </c>
      <c r="AE24" s="76">
        <v>0</v>
      </c>
      <c r="AF24" s="76">
        <v>0</v>
      </c>
      <c r="AG24" s="76">
        <v>902</v>
      </c>
      <c r="AH24" s="76">
        <v>11524</v>
      </c>
      <c r="AI24" s="76">
        <v>2465</v>
      </c>
      <c r="AJ24" s="76">
        <v>1102</v>
      </c>
      <c r="AK24" s="76">
        <v>1873</v>
      </c>
      <c r="AL24" s="76">
        <v>320</v>
      </c>
      <c r="AM24" s="76">
        <v>0</v>
      </c>
      <c r="AN24" s="76">
        <v>6</v>
      </c>
      <c r="AO24" s="76">
        <v>1487</v>
      </c>
      <c r="AP24" s="76">
        <v>0</v>
      </c>
      <c r="AQ24" s="76">
        <v>0</v>
      </c>
      <c r="AR24" s="76">
        <v>7253</v>
      </c>
      <c r="AS24" s="76">
        <v>4271</v>
      </c>
      <c r="AT24" s="76">
        <v>148</v>
      </c>
      <c r="AU24" s="76">
        <v>112248</v>
      </c>
      <c r="AV24" s="76">
        <v>0</v>
      </c>
      <c r="AW24" s="76">
        <v>2894</v>
      </c>
      <c r="AX24" s="76">
        <v>57</v>
      </c>
      <c r="AY24" s="76">
        <v>0</v>
      </c>
      <c r="AZ24" s="76">
        <v>0</v>
      </c>
      <c r="BA24" s="76">
        <v>0</v>
      </c>
      <c r="BB24" s="76">
        <v>0</v>
      </c>
      <c r="BC24" s="76">
        <v>0</v>
      </c>
      <c r="BD24" s="76">
        <v>0</v>
      </c>
      <c r="BE24" s="76">
        <v>115199</v>
      </c>
      <c r="BF24" s="76">
        <v>47</v>
      </c>
      <c r="BG24" s="76">
        <v>1516</v>
      </c>
      <c r="BH24" s="76">
        <v>1826</v>
      </c>
      <c r="BI24" s="76">
        <v>0</v>
      </c>
      <c r="BJ24" s="76">
        <v>36</v>
      </c>
      <c r="BK24" s="76">
        <v>3425</v>
      </c>
      <c r="BL24" s="76">
        <v>1450</v>
      </c>
      <c r="BM24" s="76">
        <v>0</v>
      </c>
      <c r="BN24" s="76">
        <v>508</v>
      </c>
      <c r="BO24" s="76">
        <v>2037</v>
      </c>
      <c r="BP24" s="76">
        <v>3995</v>
      </c>
      <c r="BQ24" s="76">
        <v>-570</v>
      </c>
      <c r="BR24" s="76">
        <v>114629</v>
      </c>
      <c r="BS24" s="76">
        <v>44027</v>
      </c>
      <c r="BT24" s="76">
        <v>0</v>
      </c>
      <c r="BU24" s="76">
        <v>0</v>
      </c>
      <c r="BV24" s="76">
        <v>47948</v>
      </c>
      <c r="BW24" s="76">
        <v>0</v>
      </c>
      <c r="BX24" s="76">
        <v>0</v>
      </c>
      <c r="BY24" s="76">
        <v>513</v>
      </c>
      <c r="BZ24" s="76">
        <v>92488</v>
      </c>
      <c r="CA24" s="76">
        <v>2313</v>
      </c>
      <c r="CB24" s="76">
        <v>0</v>
      </c>
      <c r="CC24" s="76">
        <v>19828</v>
      </c>
      <c r="CD24" s="76">
        <v>19828</v>
      </c>
      <c r="CE24" s="76">
        <v>0</v>
      </c>
      <c r="CF24" s="76">
        <v>0</v>
      </c>
      <c r="CG24" s="76">
        <v>0</v>
      </c>
      <c r="CH24" s="76">
        <v>0</v>
      </c>
      <c r="CI24" s="76">
        <v>19828</v>
      </c>
      <c r="CJ24" s="76">
        <v>322</v>
      </c>
      <c r="CK24" s="76">
        <v>247</v>
      </c>
      <c r="CL24" s="76">
        <v>0</v>
      </c>
      <c r="CM24" s="76">
        <v>75</v>
      </c>
      <c r="CN24" s="76">
        <v>122</v>
      </c>
      <c r="CO24" s="76">
        <v>0</v>
      </c>
      <c r="CP24" s="76">
        <v>80</v>
      </c>
      <c r="CQ24" s="76">
        <v>42</v>
      </c>
      <c r="CR24" s="76">
        <v>0</v>
      </c>
      <c r="CS24" s="76">
        <v>0</v>
      </c>
      <c r="CT24" s="76">
        <v>0</v>
      </c>
      <c r="CU24" s="76">
        <v>0</v>
      </c>
      <c r="CV24" s="76">
        <v>0</v>
      </c>
      <c r="CW24" s="76">
        <v>0</v>
      </c>
      <c r="CX24" s="76">
        <v>0</v>
      </c>
      <c r="CY24" s="76">
        <v>0</v>
      </c>
      <c r="CZ24" s="76">
        <v>0</v>
      </c>
      <c r="DA24" s="76">
        <v>0</v>
      </c>
      <c r="DB24" s="76">
        <v>0</v>
      </c>
      <c r="DC24" s="76">
        <v>0</v>
      </c>
      <c r="DD24" s="76">
        <v>444</v>
      </c>
      <c r="DE24" s="76">
        <v>247</v>
      </c>
      <c r="DF24" s="76">
        <v>80</v>
      </c>
      <c r="DG24" s="76">
        <v>117</v>
      </c>
      <c r="DH24" s="76">
        <v>0</v>
      </c>
      <c r="DI24" s="76">
        <v>0</v>
      </c>
      <c r="DJ24" s="76">
        <v>0</v>
      </c>
      <c r="DK24" s="76">
        <v>0</v>
      </c>
      <c r="DL24" s="76">
        <v>0</v>
      </c>
      <c r="DM24" s="76">
        <v>0</v>
      </c>
      <c r="DN24" s="76">
        <v>0</v>
      </c>
      <c r="DO24" s="76">
        <v>0</v>
      </c>
      <c r="DP24" s="76">
        <v>0</v>
      </c>
      <c r="DQ24" s="76">
        <v>0</v>
      </c>
      <c r="DR24" s="76">
        <v>0</v>
      </c>
      <c r="DS24" s="76">
        <v>0</v>
      </c>
      <c r="DT24" s="76">
        <v>0</v>
      </c>
      <c r="DU24" s="76">
        <v>0</v>
      </c>
      <c r="DV24" s="76">
        <v>0</v>
      </c>
      <c r="DW24" s="76">
        <v>0</v>
      </c>
      <c r="DX24" s="76">
        <v>0</v>
      </c>
      <c r="DY24" s="76">
        <v>0</v>
      </c>
      <c r="DZ24" s="76">
        <v>0</v>
      </c>
      <c r="EA24" s="76">
        <v>0</v>
      </c>
      <c r="EB24" s="76">
        <v>4677</v>
      </c>
      <c r="EC24" s="76">
        <v>0</v>
      </c>
      <c r="ED24" s="76">
        <v>5041</v>
      </c>
      <c r="EE24" s="76">
        <v>-364</v>
      </c>
      <c r="EF24" s="76">
        <v>4677</v>
      </c>
      <c r="EG24" s="76">
        <v>0</v>
      </c>
      <c r="EH24" s="76">
        <v>5041</v>
      </c>
      <c r="EI24" s="76">
        <v>-364</v>
      </c>
      <c r="EJ24" s="76">
        <v>5121</v>
      </c>
      <c r="EK24" s="76">
        <v>247</v>
      </c>
      <c r="EL24" s="76">
        <v>5121</v>
      </c>
      <c r="EM24" s="76">
        <v>-247</v>
      </c>
      <c r="EN24" s="76">
        <v>103</v>
      </c>
      <c r="EO24" s="76">
        <v>41</v>
      </c>
      <c r="EP24" s="76">
        <v>1</v>
      </c>
      <c r="EQ24" s="76">
        <v>41</v>
      </c>
      <c r="ER24" s="76">
        <v>127284</v>
      </c>
      <c r="ES24" s="76">
        <v>0</v>
      </c>
      <c r="ET24" s="76">
        <v>127284</v>
      </c>
      <c r="EU24" s="76">
        <v>4022</v>
      </c>
      <c r="EV24" s="76">
        <v>-1297</v>
      </c>
      <c r="EW24" s="76">
        <v>0</v>
      </c>
      <c r="EX24" s="76">
        <v>0</v>
      </c>
      <c r="EY24" s="76">
        <v>-187</v>
      </c>
      <c r="EZ24" s="76">
        <v>129822</v>
      </c>
      <c r="FA24" s="76">
        <v>16281</v>
      </c>
      <c r="FB24" s="76">
        <v>1478</v>
      </c>
      <c r="FC24" s="76">
        <v>0</v>
      </c>
      <c r="FD24" s="76">
        <v>0</v>
      </c>
      <c r="FE24" s="76">
        <v>-185</v>
      </c>
      <c r="FF24" s="76">
        <v>0</v>
      </c>
      <c r="FG24" s="76">
        <v>0</v>
      </c>
      <c r="FH24" s="76">
        <v>17574</v>
      </c>
      <c r="FI24" s="76">
        <v>112248</v>
      </c>
      <c r="FJ24" s="76">
        <v>111003</v>
      </c>
      <c r="FK24" s="76">
        <v>290</v>
      </c>
      <c r="FL24" s="76">
        <v>243</v>
      </c>
      <c r="FM24" s="76">
        <v>47</v>
      </c>
      <c r="FN24" s="76">
        <v>114</v>
      </c>
      <c r="FO24" s="76">
        <v>86</v>
      </c>
      <c r="FP24" s="76">
        <v>28</v>
      </c>
      <c r="FQ24" s="76">
        <v>0</v>
      </c>
      <c r="FR24" s="76">
        <v>0</v>
      </c>
      <c r="FS24" s="76">
        <v>0</v>
      </c>
      <c r="FT24" s="76">
        <v>396</v>
      </c>
      <c r="FU24" s="76">
        <v>290</v>
      </c>
      <c r="FV24" s="76">
        <v>106</v>
      </c>
      <c r="FW24" s="76">
        <v>0</v>
      </c>
      <c r="FX24" s="76">
        <v>0</v>
      </c>
      <c r="FY24" s="76">
        <v>0</v>
      </c>
      <c r="FZ24" s="76">
        <v>678</v>
      </c>
      <c r="GA24" s="76">
        <v>676</v>
      </c>
      <c r="GB24" s="76">
        <v>2</v>
      </c>
      <c r="GC24" s="76">
        <v>1478</v>
      </c>
      <c r="GD24" s="76">
        <v>1295</v>
      </c>
      <c r="GE24" s="76">
        <v>183</v>
      </c>
      <c r="GF24" s="76">
        <v>0</v>
      </c>
      <c r="GG24" s="76">
        <v>0</v>
      </c>
      <c r="GH24" s="76">
        <v>0</v>
      </c>
      <c r="GI24" s="76">
        <v>0</v>
      </c>
      <c r="GJ24" s="76">
        <v>0</v>
      </c>
      <c r="GK24" s="76">
        <v>36</v>
      </c>
      <c r="GL24" s="76">
        <v>36</v>
      </c>
      <c r="GM24" s="76">
        <v>718</v>
      </c>
      <c r="GN24" s="76">
        <v>162</v>
      </c>
      <c r="GO24" s="76">
        <v>0</v>
      </c>
      <c r="GP24" s="76">
        <v>192</v>
      </c>
      <c r="GQ24" s="76">
        <v>0</v>
      </c>
      <c r="GR24" s="76">
        <v>715</v>
      </c>
      <c r="GS24" s="76">
        <v>0</v>
      </c>
      <c r="GT24" s="76">
        <v>0</v>
      </c>
      <c r="GU24" s="76">
        <v>0</v>
      </c>
      <c r="GV24" s="76">
        <v>0</v>
      </c>
      <c r="GW24" s="76">
        <v>250</v>
      </c>
      <c r="GX24" s="76">
        <v>2037</v>
      </c>
      <c r="GY24" s="76">
        <v>513</v>
      </c>
      <c r="GZ24" s="76">
        <v>0</v>
      </c>
      <c r="HA24" s="76">
        <v>0</v>
      </c>
      <c r="HB24" s="76">
        <v>0</v>
      </c>
      <c r="HC24" s="76">
        <v>513</v>
      </c>
      <c r="HD24" s="76">
        <v>0</v>
      </c>
      <c r="HE24" s="76">
        <v>0</v>
      </c>
      <c r="HF24" s="76">
        <v>0</v>
      </c>
      <c r="HG24" s="76">
        <v>1671</v>
      </c>
      <c r="HH24" s="76">
        <v>52</v>
      </c>
      <c r="HI24" s="76">
        <v>48</v>
      </c>
      <c r="HJ24" s="76">
        <v>0</v>
      </c>
      <c r="HK24" s="76">
        <v>0</v>
      </c>
      <c r="HL24" s="76">
        <v>-21</v>
      </c>
      <c r="HM24" s="76">
        <v>1750</v>
      </c>
      <c r="HN24" s="76">
        <v>649</v>
      </c>
      <c r="HO24" s="76">
        <v>1693</v>
      </c>
      <c r="HP24" s="76">
        <v>0</v>
      </c>
      <c r="HQ24" s="76">
        <v>10</v>
      </c>
      <c r="HR24" s="76">
        <v>-13</v>
      </c>
      <c r="HS24" s="76">
        <v>-1</v>
      </c>
      <c r="HT24" s="76">
        <v>1968</v>
      </c>
      <c r="HU24" s="76">
        <v>0</v>
      </c>
      <c r="HV24" s="76">
        <v>0</v>
      </c>
      <c r="HW24" s="76">
        <v>0</v>
      </c>
      <c r="HX24" s="76">
        <v>0</v>
      </c>
    </row>
    <row r="25" spans="1:232" x14ac:dyDescent="0.2">
      <c r="A25" s="74" t="s">
        <v>257</v>
      </c>
      <c r="B25" s="74" t="s">
        <v>256</v>
      </c>
      <c r="C25" s="75" t="s">
        <v>200</v>
      </c>
      <c r="D25" s="75">
        <v>12</v>
      </c>
      <c r="E25" s="76">
        <v>82031</v>
      </c>
      <c r="F25" s="76">
        <v>0</v>
      </c>
      <c r="G25" s="76">
        <v>-69019</v>
      </c>
      <c r="H25" s="76">
        <v>13012</v>
      </c>
      <c r="I25" s="76">
        <v>2486</v>
      </c>
      <c r="J25" s="76">
        <v>0</v>
      </c>
      <c r="K25" s="76">
        <v>0</v>
      </c>
      <c r="L25" s="76">
        <v>0</v>
      </c>
      <c r="M25" s="76">
        <v>40</v>
      </c>
      <c r="N25" s="76">
        <v>-3143</v>
      </c>
      <c r="O25" s="76">
        <v>0</v>
      </c>
      <c r="P25" s="76">
        <v>0</v>
      </c>
      <c r="Q25" s="76">
        <v>0</v>
      </c>
      <c r="R25" s="76">
        <v>0</v>
      </c>
      <c r="S25" s="76">
        <v>12395</v>
      </c>
      <c r="T25" s="76">
        <v>0</v>
      </c>
      <c r="U25" s="76">
        <v>12395</v>
      </c>
      <c r="V25" s="76">
        <v>0</v>
      </c>
      <c r="W25" s="76">
        <v>-19077</v>
      </c>
      <c r="X25" s="76">
        <v>0</v>
      </c>
      <c r="Y25" s="76">
        <v>0</v>
      </c>
      <c r="Z25" s="76">
        <v>-6682</v>
      </c>
      <c r="AA25" s="76">
        <v>71052</v>
      </c>
      <c r="AB25" s="76">
        <v>3420</v>
      </c>
      <c r="AC25" s="76">
        <v>74472</v>
      </c>
      <c r="AD25" s="76">
        <v>101</v>
      </c>
      <c r="AE25" s="76">
        <v>0</v>
      </c>
      <c r="AF25" s="76">
        <v>0</v>
      </c>
      <c r="AG25" s="76">
        <v>0</v>
      </c>
      <c r="AH25" s="76">
        <v>74573</v>
      </c>
      <c r="AI25" s="76">
        <v>27617</v>
      </c>
      <c r="AJ25" s="76">
        <v>3875</v>
      </c>
      <c r="AK25" s="76">
        <v>15244</v>
      </c>
      <c r="AL25" s="76">
        <v>7293</v>
      </c>
      <c r="AM25" s="76">
        <v>0</v>
      </c>
      <c r="AN25" s="76">
        <v>495</v>
      </c>
      <c r="AO25" s="76">
        <v>4540</v>
      </c>
      <c r="AP25" s="76">
        <v>0</v>
      </c>
      <c r="AQ25" s="76">
        <v>0</v>
      </c>
      <c r="AR25" s="76">
        <v>59064</v>
      </c>
      <c r="AS25" s="76">
        <v>15509</v>
      </c>
      <c r="AT25" s="76">
        <v>891</v>
      </c>
      <c r="AU25" s="76">
        <v>114064</v>
      </c>
      <c r="AV25" s="76">
        <v>0</v>
      </c>
      <c r="AW25" s="76">
        <v>3748</v>
      </c>
      <c r="AX25" s="76">
        <v>0</v>
      </c>
      <c r="AY25" s="76">
        <v>0</v>
      </c>
      <c r="AZ25" s="76">
        <v>190</v>
      </c>
      <c r="BA25" s="76">
        <v>0</v>
      </c>
      <c r="BB25" s="76">
        <v>0</v>
      </c>
      <c r="BC25" s="76">
        <v>0</v>
      </c>
      <c r="BD25" s="76">
        <v>0</v>
      </c>
      <c r="BE25" s="76">
        <v>118002</v>
      </c>
      <c r="BF25" s="76">
        <v>0</v>
      </c>
      <c r="BG25" s="76">
        <v>6968</v>
      </c>
      <c r="BH25" s="76">
        <v>20878</v>
      </c>
      <c r="BI25" s="76">
        <v>0</v>
      </c>
      <c r="BJ25" s="76">
        <v>341</v>
      </c>
      <c r="BK25" s="76">
        <v>28187</v>
      </c>
      <c r="BL25" s="76">
        <v>0</v>
      </c>
      <c r="BM25" s="76">
        <v>0</v>
      </c>
      <c r="BN25" s="76">
        <v>366</v>
      </c>
      <c r="BO25" s="76">
        <v>15236</v>
      </c>
      <c r="BP25" s="76">
        <v>15602</v>
      </c>
      <c r="BQ25" s="76">
        <v>12585</v>
      </c>
      <c r="BR25" s="76">
        <v>130587</v>
      </c>
      <c r="BS25" s="76">
        <v>30000</v>
      </c>
      <c r="BT25" s="76">
        <v>0</v>
      </c>
      <c r="BU25" s="76">
        <v>0</v>
      </c>
      <c r="BV25" s="76">
        <v>6957</v>
      </c>
      <c r="BW25" s="76">
        <v>0</v>
      </c>
      <c r="BX25" s="76">
        <v>0</v>
      </c>
      <c r="BY25" s="76">
        <v>387</v>
      </c>
      <c r="BZ25" s="76">
        <v>37344</v>
      </c>
      <c r="CA25" s="76">
        <v>53613</v>
      </c>
      <c r="CB25" s="76">
        <v>0</v>
      </c>
      <c r="CC25" s="76">
        <v>39630</v>
      </c>
      <c r="CD25" s="76">
        <v>39630</v>
      </c>
      <c r="CE25" s="76">
        <v>0</v>
      </c>
      <c r="CF25" s="76">
        <v>0</v>
      </c>
      <c r="CG25" s="76">
        <v>0</v>
      </c>
      <c r="CH25" s="76">
        <v>0</v>
      </c>
      <c r="CI25" s="76">
        <v>39630</v>
      </c>
      <c r="CJ25" s="76">
        <v>0</v>
      </c>
      <c r="CK25" s="76">
        <v>0</v>
      </c>
      <c r="CL25" s="76">
        <v>0</v>
      </c>
      <c r="CM25" s="76">
        <v>0</v>
      </c>
      <c r="CN25" s="76">
        <v>771</v>
      </c>
      <c r="CO25" s="76">
        <v>0</v>
      </c>
      <c r="CP25" s="76">
        <v>2331</v>
      </c>
      <c r="CQ25" s="76">
        <v>-1560</v>
      </c>
      <c r="CR25" s="76">
        <v>0</v>
      </c>
      <c r="CS25" s="76">
        <v>0</v>
      </c>
      <c r="CT25" s="76">
        <v>0</v>
      </c>
      <c r="CU25" s="76">
        <v>0</v>
      </c>
      <c r="CV25" s="76">
        <v>0</v>
      </c>
      <c r="CW25" s="76">
        <v>0</v>
      </c>
      <c r="CX25" s="76">
        <v>0</v>
      </c>
      <c r="CY25" s="76">
        <v>0</v>
      </c>
      <c r="CZ25" s="76">
        <v>2629</v>
      </c>
      <c r="DA25" s="76">
        <v>0</v>
      </c>
      <c r="DB25" s="76">
        <v>3322</v>
      </c>
      <c r="DC25" s="76">
        <v>-693</v>
      </c>
      <c r="DD25" s="76">
        <v>3400</v>
      </c>
      <c r="DE25" s="76">
        <v>0</v>
      </c>
      <c r="DF25" s="76">
        <v>5653</v>
      </c>
      <c r="DG25" s="76">
        <v>-2253</v>
      </c>
      <c r="DH25" s="76">
        <v>0</v>
      </c>
      <c r="DI25" s="76">
        <v>0</v>
      </c>
      <c r="DJ25" s="76">
        <v>0</v>
      </c>
      <c r="DK25" s="76">
        <v>0</v>
      </c>
      <c r="DL25" s="76">
        <v>0</v>
      </c>
      <c r="DM25" s="76">
        <v>0</v>
      </c>
      <c r="DN25" s="76">
        <v>0</v>
      </c>
      <c r="DO25" s="76">
        <v>0</v>
      </c>
      <c r="DP25" s="76">
        <v>0</v>
      </c>
      <c r="DQ25" s="76">
        <v>0</v>
      </c>
      <c r="DR25" s="76">
        <v>0</v>
      </c>
      <c r="DS25" s="76">
        <v>0</v>
      </c>
      <c r="DT25" s="76">
        <v>0</v>
      </c>
      <c r="DU25" s="76">
        <v>0</v>
      </c>
      <c r="DV25" s="76">
        <v>0</v>
      </c>
      <c r="DW25" s="76">
        <v>0</v>
      </c>
      <c r="DX25" s="76">
        <v>0</v>
      </c>
      <c r="DY25" s="76">
        <v>0</v>
      </c>
      <c r="DZ25" s="76">
        <v>0</v>
      </c>
      <c r="EA25" s="76">
        <v>0</v>
      </c>
      <c r="EB25" s="76">
        <v>4058</v>
      </c>
      <c r="EC25" s="76">
        <v>0</v>
      </c>
      <c r="ED25" s="76">
        <v>4302</v>
      </c>
      <c r="EE25" s="76">
        <v>-244</v>
      </c>
      <c r="EF25" s="76">
        <v>4058</v>
      </c>
      <c r="EG25" s="76">
        <v>0</v>
      </c>
      <c r="EH25" s="76">
        <v>4302</v>
      </c>
      <c r="EI25" s="76">
        <v>-244</v>
      </c>
      <c r="EJ25" s="76">
        <v>7458</v>
      </c>
      <c r="EK25" s="76">
        <v>0</v>
      </c>
      <c r="EL25" s="76">
        <v>9955</v>
      </c>
      <c r="EM25" s="76">
        <v>-2497</v>
      </c>
      <c r="EN25" s="76">
        <v>2078</v>
      </c>
      <c r="EO25" s="76">
        <v>1801</v>
      </c>
      <c r="EP25" s="76">
        <v>468</v>
      </c>
      <c r="EQ25" s="76">
        <v>1626</v>
      </c>
      <c r="ER25" s="76">
        <v>112756</v>
      </c>
      <c r="ES25" s="76">
        <v>0</v>
      </c>
      <c r="ET25" s="76">
        <v>112756</v>
      </c>
      <c r="EU25" s="76">
        <v>16660</v>
      </c>
      <c r="EV25" s="76">
        <v>-848</v>
      </c>
      <c r="EW25" s="76">
        <v>0</v>
      </c>
      <c r="EX25" s="76">
        <v>0</v>
      </c>
      <c r="EY25" s="76">
        <v>0</v>
      </c>
      <c r="EZ25" s="76">
        <v>128568</v>
      </c>
      <c r="FA25" s="76">
        <v>10223</v>
      </c>
      <c r="FB25" s="76">
        <v>4392</v>
      </c>
      <c r="FC25" s="76">
        <v>0</v>
      </c>
      <c r="FD25" s="76">
        <v>0</v>
      </c>
      <c r="FE25" s="76">
        <v>-110</v>
      </c>
      <c r="FF25" s="76">
        <v>0</v>
      </c>
      <c r="FG25" s="76">
        <v>0</v>
      </c>
      <c r="FH25" s="76">
        <v>14505</v>
      </c>
      <c r="FI25" s="76">
        <v>114063</v>
      </c>
      <c r="FJ25" s="76">
        <v>102533</v>
      </c>
      <c r="FK25" s="76">
        <v>0</v>
      </c>
      <c r="FL25" s="76">
        <v>0</v>
      </c>
      <c r="FM25" s="76">
        <v>0</v>
      </c>
      <c r="FN25" s="76">
        <v>2933</v>
      </c>
      <c r="FO25" s="76">
        <v>738</v>
      </c>
      <c r="FP25" s="76">
        <v>2195</v>
      </c>
      <c r="FQ25" s="76">
        <v>0</v>
      </c>
      <c r="FR25" s="76">
        <v>0</v>
      </c>
      <c r="FS25" s="76">
        <v>0</v>
      </c>
      <c r="FT25" s="76">
        <v>0</v>
      </c>
      <c r="FU25" s="76">
        <v>0</v>
      </c>
      <c r="FV25" s="76">
        <v>0</v>
      </c>
      <c r="FW25" s="76">
        <v>0</v>
      </c>
      <c r="FX25" s="76">
        <v>0</v>
      </c>
      <c r="FY25" s="76">
        <v>0</v>
      </c>
      <c r="FZ25" s="76">
        <v>291</v>
      </c>
      <c r="GA25" s="76">
        <v>0</v>
      </c>
      <c r="GB25" s="76">
        <v>291</v>
      </c>
      <c r="GC25" s="76">
        <v>3224</v>
      </c>
      <c r="GD25" s="76">
        <v>738</v>
      </c>
      <c r="GE25" s="76">
        <v>2486</v>
      </c>
      <c r="GF25" s="76">
        <v>0</v>
      </c>
      <c r="GG25" s="76">
        <v>0</v>
      </c>
      <c r="GH25" s="76">
        <v>0</v>
      </c>
      <c r="GI25" s="76">
        <v>0</v>
      </c>
      <c r="GJ25" s="76">
        <v>0</v>
      </c>
      <c r="GK25" s="76">
        <v>341</v>
      </c>
      <c r="GL25" s="76">
        <v>341</v>
      </c>
      <c r="GM25" s="76">
        <v>5652</v>
      </c>
      <c r="GN25" s="76">
        <v>1660</v>
      </c>
      <c r="GO25" s="76">
        <v>0</v>
      </c>
      <c r="GP25" s="76">
        <v>0</v>
      </c>
      <c r="GQ25" s="76">
        <v>0</v>
      </c>
      <c r="GR25" s="76">
        <v>5503</v>
      </c>
      <c r="GS25" s="76">
        <v>0</v>
      </c>
      <c r="GT25" s="76">
        <v>0</v>
      </c>
      <c r="GU25" s="76">
        <v>0</v>
      </c>
      <c r="GV25" s="76">
        <v>0</v>
      </c>
      <c r="GW25" s="76">
        <v>2421</v>
      </c>
      <c r="GX25" s="76">
        <v>15236</v>
      </c>
      <c r="GY25" s="76">
        <v>0</v>
      </c>
      <c r="GZ25" s="76">
        <v>0</v>
      </c>
      <c r="HA25" s="76">
        <v>0</v>
      </c>
      <c r="HB25" s="76">
        <v>387</v>
      </c>
      <c r="HC25" s="76">
        <v>387</v>
      </c>
      <c r="HD25" s="76">
        <v>0</v>
      </c>
      <c r="HE25" s="76">
        <v>0</v>
      </c>
      <c r="HF25" s="76">
        <v>0</v>
      </c>
      <c r="HG25" s="76">
        <v>2000</v>
      </c>
      <c r="HH25" s="76">
        <v>0</v>
      </c>
      <c r="HI25" s="76">
        <v>1143</v>
      </c>
      <c r="HJ25" s="76">
        <v>0</v>
      </c>
      <c r="HK25" s="76">
        <v>0</v>
      </c>
      <c r="HL25" s="76">
        <v>0</v>
      </c>
      <c r="HM25" s="76">
        <v>3143</v>
      </c>
      <c r="HN25" s="76">
        <v>11422</v>
      </c>
      <c r="HO25" s="76">
        <v>4540</v>
      </c>
      <c r="HP25" s="76">
        <v>0</v>
      </c>
      <c r="HQ25" s="76">
        <v>31</v>
      </c>
      <c r="HR25" s="76">
        <v>-129</v>
      </c>
      <c r="HS25" s="76">
        <v>196</v>
      </c>
      <c r="HT25" s="76">
        <v>17846</v>
      </c>
      <c r="HU25" s="76">
        <v>0</v>
      </c>
      <c r="HV25" s="76">
        <v>0</v>
      </c>
      <c r="HW25" s="76">
        <v>0</v>
      </c>
      <c r="HX25" s="76">
        <v>0</v>
      </c>
    </row>
    <row r="26" spans="1:232" x14ac:dyDescent="0.2">
      <c r="A26" s="74" t="s">
        <v>258</v>
      </c>
      <c r="B26" s="74" t="s">
        <v>22</v>
      </c>
      <c r="C26" s="75" t="s">
        <v>200</v>
      </c>
      <c r="D26" s="75">
        <v>12</v>
      </c>
      <c r="E26" s="76">
        <v>21215</v>
      </c>
      <c r="F26" s="76">
        <v>-81</v>
      </c>
      <c r="G26" s="76">
        <v>-15923</v>
      </c>
      <c r="H26" s="76">
        <v>5211</v>
      </c>
      <c r="I26" s="76">
        <v>203</v>
      </c>
      <c r="J26" s="76">
        <v>0</v>
      </c>
      <c r="K26" s="76">
        <v>0</v>
      </c>
      <c r="L26" s="76">
        <v>0</v>
      </c>
      <c r="M26" s="76">
        <v>30</v>
      </c>
      <c r="N26" s="76">
        <v>-4092</v>
      </c>
      <c r="O26" s="76">
        <v>0</v>
      </c>
      <c r="P26" s="76">
        <v>0</v>
      </c>
      <c r="Q26" s="76">
        <v>20</v>
      </c>
      <c r="R26" s="76">
        <v>0</v>
      </c>
      <c r="S26" s="76">
        <v>1372</v>
      </c>
      <c r="T26" s="76">
        <v>0</v>
      </c>
      <c r="U26" s="76">
        <v>1372</v>
      </c>
      <c r="V26" s="76">
        <v>0</v>
      </c>
      <c r="W26" s="76">
        <v>231</v>
      </c>
      <c r="X26" s="76">
        <v>0</v>
      </c>
      <c r="Y26" s="76">
        <v>0</v>
      </c>
      <c r="Z26" s="76">
        <v>1603</v>
      </c>
      <c r="AA26" s="76">
        <v>18877</v>
      </c>
      <c r="AB26" s="76">
        <v>1609</v>
      </c>
      <c r="AC26" s="76">
        <v>20486</v>
      </c>
      <c r="AD26" s="76">
        <v>26</v>
      </c>
      <c r="AE26" s="76">
        <v>0</v>
      </c>
      <c r="AF26" s="76">
        <v>0</v>
      </c>
      <c r="AG26" s="76">
        <v>0</v>
      </c>
      <c r="AH26" s="76">
        <v>20512</v>
      </c>
      <c r="AI26" s="76">
        <v>5295</v>
      </c>
      <c r="AJ26" s="76">
        <v>1762</v>
      </c>
      <c r="AK26" s="76">
        <v>2104</v>
      </c>
      <c r="AL26" s="76">
        <v>1424</v>
      </c>
      <c r="AM26" s="76">
        <v>579</v>
      </c>
      <c r="AN26" s="76">
        <v>132</v>
      </c>
      <c r="AO26" s="76">
        <v>3606</v>
      </c>
      <c r="AP26" s="76">
        <v>664</v>
      </c>
      <c r="AQ26" s="76">
        <v>0</v>
      </c>
      <c r="AR26" s="76">
        <v>15566</v>
      </c>
      <c r="AS26" s="76">
        <v>4946</v>
      </c>
      <c r="AT26" s="76">
        <v>606</v>
      </c>
      <c r="AU26" s="76">
        <v>136928</v>
      </c>
      <c r="AV26" s="76">
        <v>0</v>
      </c>
      <c r="AW26" s="76">
        <v>1942</v>
      </c>
      <c r="AX26" s="76">
        <v>0</v>
      </c>
      <c r="AY26" s="76">
        <v>0</v>
      </c>
      <c r="AZ26" s="76">
        <v>0</v>
      </c>
      <c r="BA26" s="76">
        <v>0</v>
      </c>
      <c r="BB26" s="76">
        <v>0</v>
      </c>
      <c r="BC26" s="76">
        <v>0</v>
      </c>
      <c r="BD26" s="76">
        <v>0</v>
      </c>
      <c r="BE26" s="76">
        <v>138870</v>
      </c>
      <c r="BF26" s="76">
        <v>309</v>
      </c>
      <c r="BG26" s="76">
        <v>1044</v>
      </c>
      <c r="BH26" s="76">
        <v>11663</v>
      </c>
      <c r="BI26" s="76">
        <v>0</v>
      </c>
      <c r="BJ26" s="76">
        <v>24</v>
      </c>
      <c r="BK26" s="76">
        <v>13040</v>
      </c>
      <c r="BL26" s="76">
        <v>0</v>
      </c>
      <c r="BM26" s="76">
        <v>0</v>
      </c>
      <c r="BN26" s="76">
        <v>26</v>
      </c>
      <c r="BO26" s="76">
        <v>2299</v>
      </c>
      <c r="BP26" s="76">
        <v>2325</v>
      </c>
      <c r="BQ26" s="76">
        <v>10715</v>
      </c>
      <c r="BR26" s="76">
        <v>149585</v>
      </c>
      <c r="BS26" s="76">
        <v>89176</v>
      </c>
      <c r="BT26" s="76">
        <v>0</v>
      </c>
      <c r="BU26" s="76">
        <v>0</v>
      </c>
      <c r="BV26" s="76">
        <v>449</v>
      </c>
      <c r="BW26" s="76">
        <v>0</v>
      </c>
      <c r="BX26" s="76">
        <v>0</v>
      </c>
      <c r="BY26" s="76">
        <v>421</v>
      </c>
      <c r="BZ26" s="76">
        <v>90046</v>
      </c>
      <c r="CA26" s="76">
        <v>2953</v>
      </c>
      <c r="CB26" s="76">
        <v>0</v>
      </c>
      <c r="CC26" s="76">
        <v>56586</v>
      </c>
      <c r="CD26" s="76">
        <v>9602</v>
      </c>
      <c r="CE26" s="76">
        <v>46980</v>
      </c>
      <c r="CF26" s="76">
        <v>4</v>
      </c>
      <c r="CG26" s="76">
        <v>0</v>
      </c>
      <c r="CH26" s="76">
        <v>0</v>
      </c>
      <c r="CI26" s="76">
        <v>56586</v>
      </c>
      <c r="CJ26" s="76">
        <v>95</v>
      </c>
      <c r="CK26" s="76">
        <v>81</v>
      </c>
      <c r="CL26" s="76">
        <v>2</v>
      </c>
      <c r="CM26" s="76">
        <v>12</v>
      </c>
      <c r="CN26" s="76">
        <v>67</v>
      </c>
      <c r="CO26" s="76">
        <v>0</v>
      </c>
      <c r="CP26" s="76">
        <v>58</v>
      </c>
      <c r="CQ26" s="76">
        <v>9</v>
      </c>
      <c r="CR26" s="76">
        <v>0</v>
      </c>
      <c r="CS26" s="76">
        <v>0</v>
      </c>
      <c r="CT26" s="76">
        <v>0</v>
      </c>
      <c r="CU26" s="76">
        <v>0</v>
      </c>
      <c r="CV26" s="76">
        <v>0</v>
      </c>
      <c r="CW26" s="76">
        <v>0</v>
      </c>
      <c r="CX26" s="76">
        <v>0</v>
      </c>
      <c r="CY26" s="76">
        <v>0</v>
      </c>
      <c r="CZ26" s="76">
        <v>0</v>
      </c>
      <c r="DA26" s="76">
        <v>0</v>
      </c>
      <c r="DB26" s="76">
        <v>0</v>
      </c>
      <c r="DC26" s="76">
        <v>0</v>
      </c>
      <c r="DD26" s="76">
        <v>162</v>
      </c>
      <c r="DE26" s="76">
        <v>81</v>
      </c>
      <c r="DF26" s="76">
        <v>60</v>
      </c>
      <c r="DG26" s="76">
        <v>21</v>
      </c>
      <c r="DH26" s="76">
        <v>0</v>
      </c>
      <c r="DI26" s="76">
        <v>0</v>
      </c>
      <c r="DJ26" s="76">
        <v>0</v>
      </c>
      <c r="DK26" s="76">
        <v>0</v>
      </c>
      <c r="DL26" s="76">
        <v>0</v>
      </c>
      <c r="DM26" s="76">
        <v>0</v>
      </c>
      <c r="DN26" s="76">
        <v>0</v>
      </c>
      <c r="DO26" s="76">
        <v>0</v>
      </c>
      <c r="DP26" s="76">
        <v>0</v>
      </c>
      <c r="DQ26" s="76">
        <v>0</v>
      </c>
      <c r="DR26" s="76">
        <v>0</v>
      </c>
      <c r="DS26" s="76">
        <v>0</v>
      </c>
      <c r="DT26" s="76">
        <v>13</v>
      </c>
      <c r="DU26" s="76">
        <v>0</v>
      </c>
      <c r="DV26" s="76">
        <v>23</v>
      </c>
      <c r="DW26" s="76">
        <v>-10</v>
      </c>
      <c r="DX26" s="76">
        <v>355</v>
      </c>
      <c r="DY26" s="76">
        <v>0</v>
      </c>
      <c r="DZ26" s="76">
        <v>274</v>
      </c>
      <c r="EA26" s="76">
        <v>81</v>
      </c>
      <c r="EB26" s="76">
        <v>173</v>
      </c>
      <c r="EC26" s="76">
        <v>0</v>
      </c>
      <c r="ED26" s="76">
        <v>0</v>
      </c>
      <c r="EE26" s="76">
        <v>173</v>
      </c>
      <c r="EF26" s="76">
        <v>541</v>
      </c>
      <c r="EG26" s="76">
        <v>0</v>
      </c>
      <c r="EH26" s="76">
        <v>297</v>
      </c>
      <c r="EI26" s="76">
        <v>244</v>
      </c>
      <c r="EJ26" s="76">
        <v>703</v>
      </c>
      <c r="EK26" s="76">
        <v>81</v>
      </c>
      <c r="EL26" s="76">
        <v>357</v>
      </c>
      <c r="EM26" s="76">
        <v>265</v>
      </c>
      <c r="EN26" s="76">
        <v>682</v>
      </c>
      <c r="EO26" s="76">
        <v>171</v>
      </c>
      <c r="EP26" s="76">
        <v>410</v>
      </c>
      <c r="EQ26" s="76">
        <v>171</v>
      </c>
      <c r="ER26" s="76">
        <v>143926</v>
      </c>
      <c r="ES26" s="76">
        <v>0</v>
      </c>
      <c r="ET26" s="76">
        <v>143926</v>
      </c>
      <c r="EU26" s="76">
        <v>3942</v>
      </c>
      <c r="EV26" s="76">
        <v>-1249</v>
      </c>
      <c r="EW26" s="76">
        <v>0</v>
      </c>
      <c r="EX26" s="76">
        <v>0</v>
      </c>
      <c r="EY26" s="76">
        <v>0</v>
      </c>
      <c r="EZ26" s="76">
        <v>146619</v>
      </c>
      <c r="FA26" s="76">
        <v>6019</v>
      </c>
      <c r="FB26" s="76">
        <v>3606</v>
      </c>
      <c r="FC26" s="76">
        <v>664</v>
      </c>
      <c r="FD26" s="76">
        <v>0</v>
      </c>
      <c r="FE26" s="76">
        <v>-598</v>
      </c>
      <c r="FF26" s="76">
        <v>0</v>
      </c>
      <c r="FG26" s="76">
        <v>0</v>
      </c>
      <c r="FH26" s="76">
        <v>9691</v>
      </c>
      <c r="FI26" s="76">
        <v>136928</v>
      </c>
      <c r="FJ26" s="76">
        <v>137907</v>
      </c>
      <c r="FK26" s="76">
        <v>46</v>
      </c>
      <c r="FL26" s="76">
        <v>50</v>
      </c>
      <c r="FM26" s="76">
        <v>-4</v>
      </c>
      <c r="FN26" s="76">
        <v>501</v>
      </c>
      <c r="FO26" s="76">
        <v>315</v>
      </c>
      <c r="FP26" s="76">
        <v>186</v>
      </c>
      <c r="FQ26" s="76">
        <v>308</v>
      </c>
      <c r="FR26" s="76">
        <v>321</v>
      </c>
      <c r="FS26" s="76">
        <v>-13</v>
      </c>
      <c r="FT26" s="76">
        <v>0</v>
      </c>
      <c r="FU26" s="76">
        <v>0</v>
      </c>
      <c r="FV26" s="76">
        <v>0</v>
      </c>
      <c r="FW26" s="76">
        <v>0</v>
      </c>
      <c r="FX26" s="76">
        <v>0</v>
      </c>
      <c r="FY26" s="76">
        <v>0</v>
      </c>
      <c r="FZ26" s="76">
        <v>34</v>
      </c>
      <c r="GA26" s="76">
        <v>0</v>
      </c>
      <c r="GB26" s="76">
        <v>34</v>
      </c>
      <c r="GC26" s="76">
        <v>889</v>
      </c>
      <c r="GD26" s="76">
        <v>686</v>
      </c>
      <c r="GE26" s="76">
        <v>203</v>
      </c>
      <c r="GF26" s="76">
        <v>0</v>
      </c>
      <c r="GG26" s="76">
        <v>0</v>
      </c>
      <c r="GH26" s="76">
        <v>0</v>
      </c>
      <c r="GI26" s="76">
        <v>0</v>
      </c>
      <c r="GJ26" s="76">
        <v>0</v>
      </c>
      <c r="GK26" s="76">
        <v>24</v>
      </c>
      <c r="GL26" s="76">
        <v>24</v>
      </c>
      <c r="GM26" s="76">
        <v>125</v>
      </c>
      <c r="GN26" s="76">
        <v>512</v>
      </c>
      <c r="GO26" s="76">
        <v>0</v>
      </c>
      <c r="GP26" s="76">
        <v>0</v>
      </c>
      <c r="GQ26" s="76">
        <v>0</v>
      </c>
      <c r="GR26" s="76">
        <v>1453</v>
      </c>
      <c r="GS26" s="76">
        <v>0</v>
      </c>
      <c r="GT26" s="76">
        <v>0</v>
      </c>
      <c r="GU26" s="76">
        <v>70</v>
      </c>
      <c r="GV26" s="76">
        <v>0</v>
      </c>
      <c r="GW26" s="76">
        <v>139</v>
      </c>
      <c r="GX26" s="76">
        <v>2299</v>
      </c>
      <c r="GY26" s="76">
        <v>8</v>
      </c>
      <c r="GZ26" s="76">
        <v>0</v>
      </c>
      <c r="HA26" s="76">
        <v>413</v>
      </c>
      <c r="HB26" s="76">
        <v>0</v>
      </c>
      <c r="HC26" s="76">
        <v>421</v>
      </c>
      <c r="HD26" s="76">
        <v>0</v>
      </c>
      <c r="HE26" s="76">
        <v>0</v>
      </c>
      <c r="HF26" s="76">
        <v>0</v>
      </c>
      <c r="HG26" s="76">
        <v>3846</v>
      </c>
      <c r="HH26" s="76">
        <v>137</v>
      </c>
      <c r="HI26" s="76">
        <v>109</v>
      </c>
      <c r="HJ26" s="76">
        <v>0</v>
      </c>
      <c r="HK26" s="76">
        <v>0</v>
      </c>
      <c r="HL26" s="76">
        <v>0</v>
      </c>
      <c r="HM26" s="76">
        <v>4092</v>
      </c>
      <c r="HN26" s="76">
        <v>4092</v>
      </c>
      <c r="HO26" s="76">
        <v>3795</v>
      </c>
      <c r="HP26" s="76">
        <v>664</v>
      </c>
      <c r="HQ26" s="76">
        <v>6</v>
      </c>
      <c r="HR26" s="76">
        <v>-18</v>
      </c>
      <c r="HS26" s="76">
        <v>-97</v>
      </c>
      <c r="HT26" s="76">
        <v>4749</v>
      </c>
      <c r="HU26" s="76">
        <v>0</v>
      </c>
      <c r="HV26" s="76">
        <v>0</v>
      </c>
      <c r="HW26" s="76">
        <v>0</v>
      </c>
      <c r="HX26" s="76">
        <v>26</v>
      </c>
    </row>
    <row r="27" spans="1:232" x14ac:dyDescent="0.2">
      <c r="A27" s="74" t="s">
        <v>259</v>
      </c>
      <c r="B27" s="74" t="s">
        <v>260</v>
      </c>
      <c r="C27" s="75" t="s">
        <v>200</v>
      </c>
      <c r="D27" s="75">
        <v>12</v>
      </c>
      <c r="E27" s="76">
        <v>21292</v>
      </c>
      <c r="F27" s="76">
        <v>0</v>
      </c>
      <c r="G27" s="76">
        <v>-20493</v>
      </c>
      <c r="H27" s="76">
        <v>799</v>
      </c>
      <c r="I27" s="76">
        <v>125</v>
      </c>
      <c r="J27" s="76">
        <v>0</v>
      </c>
      <c r="K27" s="76">
        <v>0</v>
      </c>
      <c r="L27" s="76">
        <v>0</v>
      </c>
      <c r="M27" s="76">
        <v>2</v>
      </c>
      <c r="N27" s="76">
        <v>-739</v>
      </c>
      <c r="O27" s="76">
        <v>0</v>
      </c>
      <c r="P27" s="76">
        <v>0</v>
      </c>
      <c r="Q27" s="76">
        <v>0</v>
      </c>
      <c r="R27" s="76">
        <v>0</v>
      </c>
      <c r="S27" s="76">
        <v>187</v>
      </c>
      <c r="T27" s="76">
        <v>0</v>
      </c>
      <c r="U27" s="76">
        <v>187</v>
      </c>
      <c r="V27" s="76">
        <v>0</v>
      </c>
      <c r="W27" s="76">
        <v>0</v>
      </c>
      <c r="X27" s="76">
        <v>0</v>
      </c>
      <c r="Y27" s="76">
        <v>0</v>
      </c>
      <c r="Z27" s="76">
        <v>187</v>
      </c>
      <c r="AA27" s="76">
        <v>6917</v>
      </c>
      <c r="AB27" s="76">
        <v>4667</v>
      </c>
      <c r="AC27" s="76">
        <v>11584</v>
      </c>
      <c r="AD27" s="76">
        <v>310</v>
      </c>
      <c r="AE27" s="76">
        <v>945</v>
      </c>
      <c r="AF27" s="76">
        <v>0</v>
      </c>
      <c r="AG27" s="76">
        <v>1496</v>
      </c>
      <c r="AH27" s="76">
        <v>14335</v>
      </c>
      <c r="AI27" s="76">
        <v>1486</v>
      </c>
      <c r="AJ27" s="76">
        <v>4227</v>
      </c>
      <c r="AK27" s="76">
        <v>1922</v>
      </c>
      <c r="AL27" s="76">
        <v>0</v>
      </c>
      <c r="AM27" s="76">
        <v>653</v>
      </c>
      <c r="AN27" s="76">
        <v>705</v>
      </c>
      <c r="AO27" s="76">
        <v>948</v>
      </c>
      <c r="AP27" s="76">
        <v>0</v>
      </c>
      <c r="AQ27" s="76">
        <v>4005</v>
      </c>
      <c r="AR27" s="76">
        <v>13946</v>
      </c>
      <c r="AS27" s="76">
        <v>389</v>
      </c>
      <c r="AT27" s="76">
        <v>547</v>
      </c>
      <c r="AU27" s="76">
        <v>58536</v>
      </c>
      <c r="AV27" s="76">
        <v>0</v>
      </c>
      <c r="AW27" s="76">
        <v>3170</v>
      </c>
      <c r="AX27" s="76">
        <v>774</v>
      </c>
      <c r="AY27" s="76">
        <v>0</v>
      </c>
      <c r="AZ27" s="76">
        <v>0</v>
      </c>
      <c r="BA27" s="76">
        <v>0</v>
      </c>
      <c r="BB27" s="76">
        <v>0</v>
      </c>
      <c r="BC27" s="76">
        <v>0</v>
      </c>
      <c r="BD27" s="76">
        <v>0</v>
      </c>
      <c r="BE27" s="76">
        <v>62480</v>
      </c>
      <c r="BF27" s="76">
        <v>0</v>
      </c>
      <c r="BG27" s="76">
        <v>3603</v>
      </c>
      <c r="BH27" s="76">
        <v>2553</v>
      </c>
      <c r="BI27" s="76">
        <v>0</v>
      </c>
      <c r="BJ27" s="76">
        <v>4</v>
      </c>
      <c r="BK27" s="76">
        <v>6160</v>
      </c>
      <c r="BL27" s="76">
        <v>720</v>
      </c>
      <c r="BM27" s="76">
        <v>0</v>
      </c>
      <c r="BN27" s="76">
        <v>0</v>
      </c>
      <c r="BO27" s="76">
        <v>2927</v>
      </c>
      <c r="BP27" s="76">
        <v>3647</v>
      </c>
      <c r="BQ27" s="76">
        <v>2513</v>
      </c>
      <c r="BR27" s="76">
        <v>64993</v>
      </c>
      <c r="BS27" s="76">
        <v>20571</v>
      </c>
      <c r="BT27" s="76">
        <v>0</v>
      </c>
      <c r="BU27" s="76">
        <v>0</v>
      </c>
      <c r="BV27" s="76">
        <v>33041</v>
      </c>
      <c r="BW27" s="76">
        <v>0</v>
      </c>
      <c r="BX27" s="76">
        <v>0</v>
      </c>
      <c r="BY27" s="76">
        <v>850</v>
      </c>
      <c r="BZ27" s="76">
        <v>54462</v>
      </c>
      <c r="CA27" s="76">
        <v>0</v>
      </c>
      <c r="CB27" s="76">
        <v>499</v>
      </c>
      <c r="CC27" s="76">
        <v>10032</v>
      </c>
      <c r="CD27" s="76">
        <v>9955</v>
      </c>
      <c r="CE27" s="76">
        <v>0</v>
      </c>
      <c r="CF27" s="76">
        <v>77</v>
      </c>
      <c r="CG27" s="76">
        <v>0</v>
      </c>
      <c r="CH27" s="76">
        <v>0</v>
      </c>
      <c r="CI27" s="76">
        <v>10032</v>
      </c>
      <c r="CJ27" s="76">
        <v>0</v>
      </c>
      <c r="CK27" s="76">
        <v>0</v>
      </c>
      <c r="CL27" s="76">
        <v>0</v>
      </c>
      <c r="CM27" s="76">
        <v>0</v>
      </c>
      <c r="CN27" s="76">
        <v>4230</v>
      </c>
      <c r="CO27" s="76">
        <v>0</v>
      </c>
      <c r="CP27" s="76">
        <v>4154</v>
      </c>
      <c r="CQ27" s="76">
        <v>76</v>
      </c>
      <c r="CR27" s="76">
        <v>0</v>
      </c>
      <c r="CS27" s="76">
        <v>0</v>
      </c>
      <c r="CT27" s="76">
        <v>0</v>
      </c>
      <c r="CU27" s="76">
        <v>0</v>
      </c>
      <c r="CV27" s="76">
        <v>0</v>
      </c>
      <c r="CW27" s="76">
        <v>0</v>
      </c>
      <c r="CX27" s="76">
        <v>0</v>
      </c>
      <c r="CY27" s="76">
        <v>0</v>
      </c>
      <c r="CZ27" s="76">
        <v>0</v>
      </c>
      <c r="DA27" s="76">
        <v>0</v>
      </c>
      <c r="DB27" s="76">
        <v>0</v>
      </c>
      <c r="DC27" s="76">
        <v>0</v>
      </c>
      <c r="DD27" s="76">
        <v>4230</v>
      </c>
      <c r="DE27" s="76">
        <v>0</v>
      </c>
      <c r="DF27" s="76">
        <v>4154</v>
      </c>
      <c r="DG27" s="76">
        <v>76</v>
      </c>
      <c r="DH27" s="76">
        <v>0</v>
      </c>
      <c r="DI27" s="76">
        <v>0</v>
      </c>
      <c r="DJ27" s="76">
        <v>0</v>
      </c>
      <c r="DK27" s="76">
        <v>0</v>
      </c>
      <c r="DL27" s="76">
        <v>0</v>
      </c>
      <c r="DM27" s="76">
        <v>0</v>
      </c>
      <c r="DN27" s="76">
        <v>0</v>
      </c>
      <c r="DO27" s="76">
        <v>0</v>
      </c>
      <c r="DP27" s="76">
        <v>0</v>
      </c>
      <c r="DQ27" s="76">
        <v>0</v>
      </c>
      <c r="DR27" s="76">
        <v>0</v>
      </c>
      <c r="DS27" s="76">
        <v>0</v>
      </c>
      <c r="DT27" s="76">
        <v>0</v>
      </c>
      <c r="DU27" s="76">
        <v>0</v>
      </c>
      <c r="DV27" s="76">
        <v>0</v>
      </c>
      <c r="DW27" s="76">
        <v>0</v>
      </c>
      <c r="DX27" s="76">
        <v>0</v>
      </c>
      <c r="DY27" s="76">
        <v>0</v>
      </c>
      <c r="DZ27" s="76">
        <v>0</v>
      </c>
      <c r="EA27" s="76">
        <v>0</v>
      </c>
      <c r="EB27" s="76">
        <v>2727</v>
      </c>
      <c r="EC27" s="76">
        <v>0</v>
      </c>
      <c r="ED27" s="76">
        <v>2393</v>
      </c>
      <c r="EE27" s="76">
        <v>334</v>
      </c>
      <c r="EF27" s="76">
        <v>2727</v>
      </c>
      <c r="EG27" s="76">
        <v>0</v>
      </c>
      <c r="EH27" s="76">
        <v>2393</v>
      </c>
      <c r="EI27" s="76">
        <v>334</v>
      </c>
      <c r="EJ27" s="76">
        <v>6957</v>
      </c>
      <c r="EK27" s="76">
        <v>0</v>
      </c>
      <c r="EL27" s="76">
        <v>6547</v>
      </c>
      <c r="EM27" s="76">
        <v>410</v>
      </c>
      <c r="EN27" s="76">
        <v>657</v>
      </c>
      <c r="EO27" s="76">
        <v>2412</v>
      </c>
      <c r="EP27" s="76">
        <v>98</v>
      </c>
      <c r="EQ27" s="76">
        <v>2412</v>
      </c>
      <c r="ER27" s="76">
        <v>63759</v>
      </c>
      <c r="ES27" s="76">
        <v>0</v>
      </c>
      <c r="ET27" s="76">
        <v>63759</v>
      </c>
      <c r="EU27" s="76">
        <v>4181</v>
      </c>
      <c r="EV27" s="76">
        <v>-444</v>
      </c>
      <c r="EW27" s="76">
        <v>0</v>
      </c>
      <c r="EX27" s="76">
        <v>0</v>
      </c>
      <c r="EY27" s="76">
        <v>0</v>
      </c>
      <c r="EZ27" s="76">
        <v>67496</v>
      </c>
      <c r="FA27" s="76">
        <v>8149</v>
      </c>
      <c r="FB27" s="76">
        <v>991</v>
      </c>
      <c r="FC27" s="76">
        <v>0</v>
      </c>
      <c r="FD27" s="76">
        <v>0</v>
      </c>
      <c r="FE27" s="76">
        <v>-180</v>
      </c>
      <c r="FF27" s="76">
        <v>0</v>
      </c>
      <c r="FG27" s="76">
        <v>0</v>
      </c>
      <c r="FH27" s="76">
        <v>8960</v>
      </c>
      <c r="FI27" s="76">
        <v>58536</v>
      </c>
      <c r="FJ27" s="76">
        <v>55610</v>
      </c>
      <c r="FK27" s="76">
        <v>0</v>
      </c>
      <c r="FL27" s="76">
        <v>0</v>
      </c>
      <c r="FM27" s="76">
        <v>0</v>
      </c>
      <c r="FN27" s="76">
        <v>0</v>
      </c>
      <c r="FO27" s="76">
        <v>0</v>
      </c>
      <c r="FP27" s="76">
        <v>0</v>
      </c>
      <c r="FQ27" s="76">
        <v>0</v>
      </c>
      <c r="FR27" s="76">
        <v>0</v>
      </c>
      <c r="FS27" s="76">
        <v>0</v>
      </c>
      <c r="FT27" s="76">
        <v>422</v>
      </c>
      <c r="FU27" s="76">
        <v>297</v>
      </c>
      <c r="FV27" s="76">
        <v>125</v>
      </c>
      <c r="FW27" s="76">
        <v>0</v>
      </c>
      <c r="FX27" s="76">
        <v>0</v>
      </c>
      <c r="FY27" s="76">
        <v>0</v>
      </c>
      <c r="FZ27" s="76">
        <v>0</v>
      </c>
      <c r="GA27" s="76">
        <v>0</v>
      </c>
      <c r="GB27" s="76">
        <v>0</v>
      </c>
      <c r="GC27" s="76">
        <v>422</v>
      </c>
      <c r="GD27" s="76">
        <v>297</v>
      </c>
      <c r="GE27" s="76">
        <v>125</v>
      </c>
      <c r="GF27" s="76">
        <v>0</v>
      </c>
      <c r="GG27" s="76">
        <v>0</v>
      </c>
      <c r="GH27" s="76">
        <v>0</v>
      </c>
      <c r="GI27" s="76">
        <v>0</v>
      </c>
      <c r="GJ27" s="76">
        <v>0</v>
      </c>
      <c r="GK27" s="76">
        <v>4</v>
      </c>
      <c r="GL27" s="76">
        <v>4</v>
      </c>
      <c r="GM27" s="76">
        <v>162</v>
      </c>
      <c r="GN27" s="76">
        <v>0</v>
      </c>
      <c r="GO27" s="76">
        <v>0</v>
      </c>
      <c r="GP27" s="76">
        <v>0</v>
      </c>
      <c r="GQ27" s="76">
        <v>0</v>
      </c>
      <c r="GR27" s="76">
        <v>755</v>
      </c>
      <c r="GS27" s="76">
        <v>0</v>
      </c>
      <c r="GT27" s="76">
        <v>0</v>
      </c>
      <c r="GU27" s="76">
        <v>0</v>
      </c>
      <c r="GV27" s="76">
        <v>0</v>
      </c>
      <c r="GW27" s="76">
        <v>2010</v>
      </c>
      <c r="GX27" s="76">
        <v>2927</v>
      </c>
      <c r="GY27" s="76">
        <v>653</v>
      </c>
      <c r="GZ27" s="76">
        <v>0</v>
      </c>
      <c r="HA27" s="76">
        <v>0</v>
      </c>
      <c r="HB27" s="76">
        <v>197</v>
      </c>
      <c r="HC27" s="76">
        <v>850</v>
      </c>
      <c r="HD27" s="76">
        <v>499</v>
      </c>
      <c r="HE27" s="76">
        <v>0</v>
      </c>
      <c r="HF27" s="76">
        <v>499</v>
      </c>
      <c r="HG27" s="76">
        <v>739</v>
      </c>
      <c r="HH27" s="76">
        <v>0</v>
      </c>
      <c r="HI27" s="76">
        <v>0</v>
      </c>
      <c r="HJ27" s="76">
        <v>0</v>
      </c>
      <c r="HK27" s="76">
        <v>0</v>
      </c>
      <c r="HL27" s="76">
        <v>0</v>
      </c>
      <c r="HM27" s="76">
        <v>739</v>
      </c>
      <c r="HN27" s="76">
        <v>262</v>
      </c>
      <c r="HO27" s="76">
        <v>1238</v>
      </c>
      <c r="HP27" s="76">
        <v>0</v>
      </c>
      <c r="HQ27" s="76">
        <v>18</v>
      </c>
      <c r="HR27" s="76">
        <v>0</v>
      </c>
      <c r="HS27" s="76">
        <v>-318</v>
      </c>
      <c r="HT27" s="76">
        <v>1632</v>
      </c>
      <c r="HU27" s="76">
        <v>0</v>
      </c>
      <c r="HV27" s="76">
        <v>0</v>
      </c>
      <c r="HW27" s="76">
        <v>141</v>
      </c>
      <c r="HX27" s="76">
        <v>141</v>
      </c>
    </row>
    <row r="28" spans="1:232" x14ac:dyDescent="0.2">
      <c r="A28" s="74" t="s">
        <v>26</v>
      </c>
      <c r="B28" s="74" t="s">
        <v>24</v>
      </c>
      <c r="C28" s="75" t="s">
        <v>201</v>
      </c>
      <c r="D28" s="75">
        <v>12</v>
      </c>
      <c r="E28" s="76">
        <v>29684</v>
      </c>
      <c r="F28" s="76">
        <v>-2516</v>
      </c>
      <c r="G28" s="76">
        <v>-19376</v>
      </c>
      <c r="H28" s="76">
        <v>7792</v>
      </c>
      <c r="I28" s="76">
        <v>1164</v>
      </c>
      <c r="J28" s="76">
        <v>0</v>
      </c>
      <c r="K28" s="76">
        <v>-2090</v>
      </c>
      <c r="L28" s="76">
        <v>0</v>
      </c>
      <c r="M28" s="76">
        <v>221</v>
      </c>
      <c r="N28" s="76">
        <v>-4879</v>
      </c>
      <c r="O28" s="76">
        <v>0</v>
      </c>
      <c r="P28" s="76">
        <v>-5969</v>
      </c>
      <c r="Q28" s="76">
        <v>0</v>
      </c>
      <c r="R28" s="76">
        <v>0</v>
      </c>
      <c r="S28" s="76">
        <v>-3761</v>
      </c>
      <c r="T28" s="76">
        <v>0</v>
      </c>
      <c r="U28" s="76">
        <v>-3761</v>
      </c>
      <c r="V28" s="76">
        <v>0</v>
      </c>
      <c r="W28" s="76">
        <v>0</v>
      </c>
      <c r="X28" s="76">
        <v>0</v>
      </c>
      <c r="Y28" s="76">
        <v>0</v>
      </c>
      <c r="Z28" s="76">
        <v>-3761</v>
      </c>
      <c r="AA28" s="76">
        <v>18514</v>
      </c>
      <c r="AB28" s="76">
        <v>4253</v>
      </c>
      <c r="AC28" s="76">
        <v>22767</v>
      </c>
      <c r="AD28" s="76">
        <v>345</v>
      </c>
      <c r="AE28" s="76">
        <v>0</v>
      </c>
      <c r="AF28" s="76">
        <v>0</v>
      </c>
      <c r="AG28" s="76">
        <v>0</v>
      </c>
      <c r="AH28" s="76">
        <v>23112</v>
      </c>
      <c r="AI28" s="76">
        <v>3307</v>
      </c>
      <c r="AJ28" s="76">
        <v>3055</v>
      </c>
      <c r="AK28" s="76">
        <v>3367</v>
      </c>
      <c r="AL28" s="76">
        <v>1268</v>
      </c>
      <c r="AM28" s="76">
        <v>1290</v>
      </c>
      <c r="AN28" s="76">
        <v>37</v>
      </c>
      <c r="AO28" s="76">
        <v>3025</v>
      </c>
      <c r="AP28" s="76">
        <v>0</v>
      </c>
      <c r="AQ28" s="76">
        <v>49</v>
      </c>
      <c r="AR28" s="76">
        <v>15398</v>
      </c>
      <c r="AS28" s="76">
        <v>7714</v>
      </c>
      <c r="AT28" s="76">
        <v>86</v>
      </c>
      <c r="AU28" s="76">
        <v>158645</v>
      </c>
      <c r="AV28" s="76">
        <v>0</v>
      </c>
      <c r="AW28" s="76">
        <v>19172</v>
      </c>
      <c r="AX28" s="76">
        <v>0</v>
      </c>
      <c r="AY28" s="76">
        <v>0</v>
      </c>
      <c r="AZ28" s="76">
        <v>0</v>
      </c>
      <c r="BA28" s="76">
        <v>0</v>
      </c>
      <c r="BB28" s="76">
        <v>0</v>
      </c>
      <c r="BC28" s="76">
        <v>0</v>
      </c>
      <c r="BD28" s="76">
        <v>1046</v>
      </c>
      <c r="BE28" s="76">
        <v>178863</v>
      </c>
      <c r="BF28" s="76">
        <v>2017</v>
      </c>
      <c r="BG28" s="76">
        <v>2032</v>
      </c>
      <c r="BH28" s="76">
        <v>2168</v>
      </c>
      <c r="BI28" s="76">
        <v>0</v>
      </c>
      <c r="BJ28" s="76">
        <v>2231</v>
      </c>
      <c r="BK28" s="76">
        <v>8448</v>
      </c>
      <c r="BL28" s="76">
        <v>3486</v>
      </c>
      <c r="BM28" s="76">
        <v>0</v>
      </c>
      <c r="BN28" s="76">
        <v>622</v>
      </c>
      <c r="BO28" s="76">
        <v>4000</v>
      </c>
      <c r="BP28" s="76">
        <v>8108</v>
      </c>
      <c r="BQ28" s="76">
        <v>340</v>
      </c>
      <c r="BR28" s="76">
        <v>179203</v>
      </c>
      <c r="BS28" s="76">
        <v>95882</v>
      </c>
      <c r="BT28" s="76">
        <v>0</v>
      </c>
      <c r="BU28" s="76">
        <v>0</v>
      </c>
      <c r="BV28" s="76">
        <v>31965</v>
      </c>
      <c r="BW28" s="76">
        <v>0</v>
      </c>
      <c r="BX28" s="76">
        <v>27732</v>
      </c>
      <c r="BY28" s="76">
        <v>835</v>
      </c>
      <c r="BZ28" s="76">
        <v>156414</v>
      </c>
      <c r="CA28" s="76">
        <v>5078</v>
      </c>
      <c r="CB28" s="76">
        <v>0</v>
      </c>
      <c r="CC28" s="76">
        <v>17711</v>
      </c>
      <c r="CD28" s="76">
        <v>13040</v>
      </c>
      <c r="CE28" s="76">
        <v>0</v>
      </c>
      <c r="CF28" s="76">
        <v>3975</v>
      </c>
      <c r="CG28" s="76">
        <v>0</v>
      </c>
      <c r="CH28" s="76">
        <v>696</v>
      </c>
      <c r="CI28" s="76">
        <v>17711</v>
      </c>
      <c r="CJ28" s="76">
        <v>1016</v>
      </c>
      <c r="CK28" s="76">
        <v>929</v>
      </c>
      <c r="CL28" s="76">
        <v>0</v>
      </c>
      <c r="CM28" s="76">
        <v>87</v>
      </c>
      <c r="CN28" s="76">
        <v>0</v>
      </c>
      <c r="CO28" s="76">
        <v>0</v>
      </c>
      <c r="CP28" s="76">
        <v>0</v>
      </c>
      <c r="CQ28" s="76">
        <v>0</v>
      </c>
      <c r="CR28" s="76">
        <v>0</v>
      </c>
      <c r="CS28" s="76">
        <v>0</v>
      </c>
      <c r="CT28" s="76">
        <v>0</v>
      </c>
      <c r="CU28" s="76">
        <v>0</v>
      </c>
      <c r="CV28" s="76">
        <v>0</v>
      </c>
      <c r="CW28" s="76">
        <v>0</v>
      </c>
      <c r="CX28" s="76">
        <v>0</v>
      </c>
      <c r="CY28" s="76">
        <v>0</v>
      </c>
      <c r="CZ28" s="76">
        <v>737</v>
      </c>
      <c r="DA28" s="76">
        <v>0</v>
      </c>
      <c r="DB28" s="76">
        <v>468</v>
      </c>
      <c r="DC28" s="76">
        <v>269</v>
      </c>
      <c r="DD28" s="76">
        <v>1753</v>
      </c>
      <c r="DE28" s="76">
        <v>929</v>
      </c>
      <c r="DF28" s="76">
        <v>468</v>
      </c>
      <c r="DG28" s="76">
        <v>356</v>
      </c>
      <c r="DH28" s="76">
        <v>0</v>
      </c>
      <c r="DI28" s="76">
        <v>0</v>
      </c>
      <c r="DJ28" s="76">
        <v>0</v>
      </c>
      <c r="DK28" s="76">
        <v>0</v>
      </c>
      <c r="DL28" s="76">
        <v>0</v>
      </c>
      <c r="DM28" s="76">
        <v>0</v>
      </c>
      <c r="DN28" s="76">
        <v>0</v>
      </c>
      <c r="DO28" s="76">
        <v>0</v>
      </c>
      <c r="DP28" s="76">
        <v>0</v>
      </c>
      <c r="DQ28" s="76">
        <v>0</v>
      </c>
      <c r="DR28" s="76">
        <v>0</v>
      </c>
      <c r="DS28" s="76">
        <v>0</v>
      </c>
      <c r="DT28" s="76">
        <v>444</v>
      </c>
      <c r="DU28" s="76">
        <v>0</v>
      </c>
      <c r="DV28" s="76">
        <v>110</v>
      </c>
      <c r="DW28" s="76">
        <v>334</v>
      </c>
      <c r="DX28" s="76">
        <v>0</v>
      </c>
      <c r="DY28" s="76">
        <v>0</v>
      </c>
      <c r="DZ28" s="76">
        <v>0</v>
      </c>
      <c r="EA28" s="76">
        <v>0</v>
      </c>
      <c r="EB28" s="76">
        <v>4375</v>
      </c>
      <c r="EC28" s="76">
        <v>1587</v>
      </c>
      <c r="ED28" s="76">
        <v>3400</v>
      </c>
      <c r="EE28" s="76">
        <v>-612</v>
      </c>
      <c r="EF28" s="76">
        <v>4819</v>
      </c>
      <c r="EG28" s="76">
        <v>1587</v>
      </c>
      <c r="EH28" s="76">
        <v>3510</v>
      </c>
      <c r="EI28" s="76">
        <v>-278</v>
      </c>
      <c r="EJ28" s="76">
        <v>6572</v>
      </c>
      <c r="EK28" s="76">
        <v>2516</v>
      </c>
      <c r="EL28" s="76">
        <v>3978</v>
      </c>
      <c r="EM28" s="76">
        <v>78</v>
      </c>
      <c r="EN28" s="76">
        <v>1325</v>
      </c>
      <c r="EO28" s="76">
        <v>243</v>
      </c>
      <c r="EP28" s="76">
        <v>223</v>
      </c>
      <c r="EQ28" s="76">
        <v>243</v>
      </c>
      <c r="ER28" s="76">
        <v>184353</v>
      </c>
      <c r="ES28" s="76">
        <v>0</v>
      </c>
      <c r="ET28" s="76">
        <v>184353</v>
      </c>
      <c r="EU28" s="76">
        <v>4164</v>
      </c>
      <c r="EV28" s="76">
        <v>-57</v>
      </c>
      <c r="EW28" s="76">
        <v>0</v>
      </c>
      <c r="EX28" s="76">
        <v>0</v>
      </c>
      <c r="EY28" s="76">
        <v>-4067</v>
      </c>
      <c r="EZ28" s="76">
        <v>184393</v>
      </c>
      <c r="FA28" s="76">
        <v>23232</v>
      </c>
      <c r="FB28" s="76">
        <v>2718</v>
      </c>
      <c r="FC28" s="76">
        <v>0</v>
      </c>
      <c r="FD28" s="76">
        <v>0</v>
      </c>
      <c r="FE28" s="76">
        <v>-10</v>
      </c>
      <c r="FF28" s="76">
        <v>0</v>
      </c>
      <c r="FG28" s="76">
        <v>-192</v>
      </c>
      <c r="FH28" s="76">
        <v>25748</v>
      </c>
      <c r="FI28" s="76">
        <v>158645</v>
      </c>
      <c r="FJ28" s="76">
        <v>161121</v>
      </c>
      <c r="FK28" s="76">
        <v>100</v>
      </c>
      <c r="FL28" s="76">
        <v>14</v>
      </c>
      <c r="FM28" s="76">
        <v>86</v>
      </c>
      <c r="FN28" s="76">
        <v>0</v>
      </c>
      <c r="FO28" s="76">
        <v>0</v>
      </c>
      <c r="FP28" s="76">
        <v>0</v>
      </c>
      <c r="FQ28" s="76">
        <v>0</v>
      </c>
      <c r="FR28" s="76">
        <v>0</v>
      </c>
      <c r="FS28" s="76">
        <v>0</v>
      </c>
      <c r="FT28" s="76">
        <v>941</v>
      </c>
      <c r="FU28" s="76">
        <v>180</v>
      </c>
      <c r="FV28" s="76">
        <v>761</v>
      </c>
      <c r="FW28" s="76">
        <v>0</v>
      </c>
      <c r="FX28" s="76">
        <v>0</v>
      </c>
      <c r="FY28" s="76">
        <v>0</v>
      </c>
      <c r="FZ28" s="76">
        <v>319</v>
      </c>
      <c r="GA28" s="76">
        <v>2</v>
      </c>
      <c r="GB28" s="76">
        <v>317</v>
      </c>
      <c r="GC28" s="76">
        <v>1360</v>
      </c>
      <c r="GD28" s="76">
        <v>196</v>
      </c>
      <c r="GE28" s="76">
        <v>1164</v>
      </c>
      <c r="GF28" s="76">
        <v>0</v>
      </c>
      <c r="GG28" s="76">
        <v>74</v>
      </c>
      <c r="GH28" s="76">
        <v>0</v>
      </c>
      <c r="GI28" s="76">
        <v>0</v>
      </c>
      <c r="GJ28" s="76">
        <v>0</v>
      </c>
      <c r="GK28" s="76">
        <v>2157</v>
      </c>
      <c r="GL28" s="76">
        <v>2231</v>
      </c>
      <c r="GM28" s="76">
        <v>274</v>
      </c>
      <c r="GN28" s="76">
        <v>348</v>
      </c>
      <c r="GO28" s="76">
        <v>0</v>
      </c>
      <c r="GP28" s="76">
        <v>67</v>
      </c>
      <c r="GQ28" s="76">
        <v>0</v>
      </c>
      <c r="GR28" s="76">
        <v>2765</v>
      </c>
      <c r="GS28" s="76">
        <v>0</v>
      </c>
      <c r="GT28" s="76">
        <v>0</v>
      </c>
      <c r="GU28" s="76">
        <v>0</v>
      </c>
      <c r="GV28" s="76">
        <v>0</v>
      </c>
      <c r="GW28" s="76">
        <v>546</v>
      </c>
      <c r="GX28" s="76">
        <v>4000</v>
      </c>
      <c r="GY28" s="76">
        <v>15</v>
      </c>
      <c r="GZ28" s="76">
        <v>0</v>
      </c>
      <c r="HA28" s="76">
        <v>0</v>
      </c>
      <c r="HB28" s="76">
        <v>820</v>
      </c>
      <c r="HC28" s="76">
        <v>835</v>
      </c>
      <c r="HD28" s="76">
        <v>0</v>
      </c>
      <c r="HE28" s="76">
        <v>0</v>
      </c>
      <c r="HF28" s="76">
        <v>0</v>
      </c>
      <c r="HG28" s="76">
        <v>4724</v>
      </c>
      <c r="HH28" s="76">
        <v>0</v>
      </c>
      <c r="HI28" s="76">
        <v>155</v>
      </c>
      <c r="HJ28" s="76">
        <v>0</v>
      </c>
      <c r="HK28" s="76">
        <v>0</v>
      </c>
      <c r="HL28" s="76">
        <v>0</v>
      </c>
      <c r="HM28" s="76">
        <v>4879</v>
      </c>
      <c r="HN28" s="76">
        <v>2320</v>
      </c>
      <c r="HO28" s="76">
        <v>3327</v>
      </c>
      <c r="HP28" s="76">
        <v>0</v>
      </c>
      <c r="HQ28" s="76">
        <v>12</v>
      </c>
      <c r="HR28" s="76">
        <v>-3</v>
      </c>
      <c r="HS28" s="76">
        <v>19</v>
      </c>
      <c r="HT28" s="76">
        <v>3939</v>
      </c>
      <c r="HU28" s="76">
        <v>0</v>
      </c>
      <c r="HV28" s="76">
        <v>0</v>
      </c>
      <c r="HW28" s="76">
        <v>0</v>
      </c>
      <c r="HX28" s="76">
        <v>58</v>
      </c>
    </row>
    <row r="29" spans="1:232" x14ac:dyDescent="0.2">
      <c r="A29" s="74" t="s">
        <v>262</v>
      </c>
      <c r="B29" s="74" t="s">
        <v>263</v>
      </c>
      <c r="C29" s="75" t="s">
        <v>200</v>
      </c>
      <c r="D29" s="75">
        <v>12</v>
      </c>
      <c r="E29" s="76">
        <v>122366</v>
      </c>
      <c r="F29" s="76">
        <v>-17091</v>
      </c>
      <c r="G29" s="76">
        <v>-50412</v>
      </c>
      <c r="H29" s="76">
        <v>54863</v>
      </c>
      <c r="I29" s="76">
        <v>8561</v>
      </c>
      <c r="J29" s="76">
        <v>0</v>
      </c>
      <c r="K29" s="76">
        <v>0</v>
      </c>
      <c r="L29" s="76">
        <v>0</v>
      </c>
      <c r="M29" s="76">
        <v>1426</v>
      </c>
      <c r="N29" s="76">
        <v>-34433</v>
      </c>
      <c r="O29" s="76">
        <v>505</v>
      </c>
      <c r="P29" s="76">
        <v>-1967</v>
      </c>
      <c r="Q29" s="76">
        <v>0</v>
      </c>
      <c r="R29" s="76">
        <v>0</v>
      </c>
      <c r="S29" s="76">
        <v>28955</v>
      </c>
      <c r="T29" s="76">
        <v>-373</v>
      </c>
      <c r="U29" s="76">
        <v>28582</v>
      </c>
      <c r="V29" s="76">
        <v>0</v>
      </c>
      <c r="W29" s="76">
        <v>-3423</v>
      </c>
      <c r="X29" s="76">
        <v>0</v>
      </c>
      <c r="Y29" s="76">
        <v>0</v>
      </c>
      <c r="Z29" s="76">
        <v>25159</v>
      </c>
      <c r="AA29" s="76">
        <v>78027</v>
      </c>
      <c r="AB29" s="76">
        <v>5679</v>
      </c>
      <c r="AC29" s="76">
        <v>83706</v>
      </c>
      <c r="AD29" s="76">
        <v>0</v>
      </c>
      <c r="AE29" s="76">
        <v>0</v>
      </c>
      <c r="AF29" s="76">
        <v>208</v>
      </c>
      <c r="AG29" s="76">
        <v>0</v>
      </c>
      <c r="AH29" s="76">
        <v>83914</v>
      </c>
      <c r="AI29" s="76">
        <v>15499</v>
      </c>
      <c r="AJ29" s="76">
        <v>4379</v>
      </c>
      <c r="AK29" s="76">
        <v>7386</v>
      </c>
      <c r="AL29" s="76">
        <v>3992</v>
      </c>
      <c r="AM29" s="76">
        <v>0</v>
      </c>
      <c r="AN29" s="76">
        <v>843</v>
      </c>
      <c r="AO29" s="76">
        <v>14439</v>
      </c>
      <c r="AP29" s="76">
        <v>0</v>
      </c>
      <c r="AQ29" s="76">
        <v>0</v>
      </c>
      <c r="AR29" s="76">
        <v>46538</v>
      </c>
      <c r="AS29" s="76">
        <v>37376</v>
      </c>
      <c r="AT29" s="76">
        <v>1053</v>
      </c>
      <c r="AU29" s="76">
        <v>1008232</v>
      </c>
      <c r="AV29" s="76">
        <v>0</v>
      </c>
      <c r="AW29" s="76">
        <v>3394</v>
      </c>
      <c r="AX29" s="76">
        <v>0</v>
      </c>
      <c r="AY29" s="76">
        <v>42945</v>
      </c>
      <c r="AZ29" s="76">
        <v>13365</v>
      </c>
      <c r="BA29" s="76">
        <v>0</v>
      </c>
      <c r="BB29" s="76">
        <v>4044</v>
      </c>
      <c r="BC29" s="76">
        <v>0</v>
      </c>
      <c r="BD29" s="76">
        <v>0</v>
      </c>
      <c r="BE29" s="76">
        <v>1071980</v>
      </c>
      <c r="BF29" s="76">
        <v>13010</v>
      </c>
      <c r="BG29" s="76">
        <v>10774</v>
      </c>
      <c r="BH29" s="76">
        <v>44181</v>
      </c>
      <c r="BI29" s="76">
        <v>13558</v>
      </c>
      <c r="BJ29" s="76">
        <v>118</v>
      </c>
      <c r="BK29" s="76">
        <v>81641</v>
      </c>
      <c r="BL29" s="76">
        <v>7970</v>
      </c>
      <c r="BM29" s="76">
        <v>0</v>
      </c>
      <c r="BN29" s="76">
        <v>0</v>
      </c>
      <c r="BO29" s="76">
        <v>27881</v>
      </c>
      <c r="BP29" s="76">
        <v>35851</v>
      </c>
      <c r="BQ29" s="76">
        <v>45790</v>
      </c>
      <c r="BR29" s="76">
        <v>1117770</v>
      </c>
      <c r="BS29" s="76">
        <v>737803</v>
      </c>
      <c r="BT29" s="76">
        <v>0</v>
      </c>
      <c r="BU29" s="76">
        <v>0</v>
      </c>
      <c r="BV29" s="76">
        <v>32737</v>
      </c>
      <c r="BW29" s="76">
        <v>31832</v>
      </c>
      <c r="BX29" s="76">
        <v>66194</v>
      </c>
      <c r="BY29" s="76">
        <v>27504</v>
      </c>
      <c r="BZ29" s="76">
        <v>896070</v>
      </c>
      <c r="CA29" s="76">
        <v>27596</v>
      </c>
      <c r="CB29" s="76">
        <v>0</v>
      </c>
      <c r="CC29" s="76">
        <v>194104</v>
      </c>
      <c r="CD29" s="76">
        <v>194104</v>
      </c>
      <c r="CE29" s="76">
        <v>0</v>
      </c>
      <c r="CF29" s="76">
        <v>0</v>
      </c>
      <c r="CG29" s="76">
        <v>0</v>
      </c>
      <c r="CH29" s="76">
        <v>0</v>
      </c>
      <c r="CI29" s="76">
        <v>194104</v>
      </c>
      <c r="CJ29" s="76">
        <v>20775</v>
      </c>
      <c r="CK29" s="76">
        <v>10456</v>
      </c>
      <c r="CL29" s="76">
        <v>0</v>
      </c>
      <c r="CM29" s="76">
        <v>10319</v>
      </c>
      <c r="CN29" s="76">
        <v>161</v>
      </c>
      <c r="CO29" s="76">
        <v>0</v>
      </c>
      <c r="CP29" s="76">
        <v>161</v>
      </c>
      <c r="CQ29" s="76">
        <v>0</v>
      </c>
      <c r="CR29" s="76">
        <v>6983</v>
      </c>
      <c r="CS29" s="76">
        <v>6156</v>
      </c>
      <c r="CT29" s="76">
        <v>0</v>
      </c>
      <c r="CU29" s="76">
        <v>827</v>
      </c>
      <c r="CV29" s="76">
        <v>0</v>
      </c>
      <c r="CW29" s="76">
        <v>0</v>
      </c>
      <c r="CX29" s="76">
        <v>0</v>
      </c>
      <c r="CY29" s="76">
        <v>0</v>
      </c>
      <c r="CZ29" s="76">
        <v>3750</v>
      </c>
      <c r="DA29" s="76">
        <v>0</v>
      </c>
      <c r="DB29" s="76">
        <v>1407</v>
      </c>
      <c r="DC29" s="76">
        <v>2343</v>
      </c>
      <c r="DD29" s="76">
        <v>31669</v>
      </c>
      <c r="DE29" s="76">
        <v>16612</v>
      </c>
      <c r="DF29" s="76">
        <v>1568</v>
      </c>
      <c r="DG29" s="76">
        <v>13489</v>
      </c>
      <c r="DH29" s="76">
        <v>2567</v>
      </c>
      <c r="DI29" s="76">
        <v>479</v>
      </c>
      <c r="DJ29" s="76">
        <v>327</v>
      </c>
      <c r="DK29" s="76">
        <v>1761</v>
      </c>
      <c r="DL29" s="76">
        <v>598</v>
      </c>
      <c r="DM29" s="76">
        <v>0</v>
      </c>
      <c r="DN29" s="76">
        <v>282</v>
      </c>
      <c r="DO29" s="76">
        <v>316</v>
      </c>
      <c r="DP29" s="76">
        <v>3603</v>
      </c>
      <c r="DQ29" s="76">
        <v>0</v>
      </c>
      <c r="DR29" s="76">
        <v>1697</v>
      </c>
      <c r="DS29" s="76">
        <v>1906</v>
      </c>
      <c r="DT29" s="76">
        <v>0</v>
      </c>
      <c r="DU29" s="76">
        <v>0</v>
      </c>
      <c r="DV29" s="76">
        <v>0</v>
      </c>
      <c r="DW29" s="76">
        <v>0</v>
      </c>
      <c r="DX29" s="76">
        <v>0</v>
      </c>
      <c r="DY29" s="76">
        <v>0</v>
      </c>
      <c r="DZ29" s="76">
        <v>0</v>
      </c>
      <c r="EA29" s="76">
        <v>0</v>
      </c>
      <c r="EB29" s="76">
        <v>15</v>
      </c>
      <c r="EC29" s="76">
        <v>0</v>
      </c>
      <c r="ED29" s="76">
        <v>0</v>
      </c>
      <c r="EE29" s="76">
        <v>15</v>
      </c>
      <c r="EF29" s="76">
        <v>6783</v>
      </c>
      <c r="EG29" s="76">
        <v>479</v>
      </c>
      <c r="EH29" s="76">
        <v>2306</v>
      </c>
      <c r="EI29" s="76">
        <v>3998</v>
      </c>
      <c r="EJ29" s="76">
        <v>38452</v>
      </c>
      <c r="EK29" s="76">
        <v>17091</v>
      </c>
      <c r="EL29" s="76">
        <v>3874</v>
      </c>
      <c r="EM29" s="76">
        <v>17487</v>
      </c>
      <c r="EN29" s="76">
        <v>3540</v>
      </c>
      <c r="EO29" s="76">
        <v>741</v>
      </c>
      <c r="EP29" s="76">
        <v>2334</v>
      </c>
      <c r="EQ29" s="76">
        <v>741</v>
      </c>
      <c r="ER29" s="76">
        <v>0</v>
      </c>
      <c r="ES29" s="76">
        <v>997793</v>
      </c>
      <c r="ET29" s="76">
        <v>997793</v>
      </c>
      <c r="EU29" s="76">
        <v>80846</v>
      </c>
      <c r="EV29" s="76">
        <v>-12667</v>
      </c>
      <c r="EW29" s="76">
        <v>0</v>
      </c>
      <c r="EX29" s="76">
        <v>0</v>
      </c>
      <c r="EY29" s="76">
        <v>-14103</v>
      </c>
      <c r="EZ29" s="76">
        <v>1051869</v>
      </c>
      <c r="FA29" s="76">
        <v>28336</v>
      </c>
      <c r="FB29" s="76">
        <v>15334</v>
      </c>
      <c r="FC29" s="76">
        <v>0</v>
      </c>
      <c r="FD29" s="76">
        <v>0</v>
      </c>
      <c r="FE29" s="76">
        <v>-34</v>
      </c>
      <c r="FF29" s="76">
        <v>0</v>
      </c>
      <c r="FG29" s="76">
        <v>0</v>
      </c>
      <c r="FH29" s="76">
        <v>43636</v>
      </c>
      <c r="FI29" s="76">
        <v>1008233</v>
      </c>
      <c r="FJ29" s="76">
        <v>969457</v>
      </c>
      <c r="FK29" s="76">
        <v>13414</v>
      </c>
      <c r="FL29" s="76">
        <v>6991</v>
      </c>
      <c r="FM29" s="76">
        <v>6423</v>
      </c>
      <c r="FN29" s="76">
        <v>361</v>
      </c>
      <c r="FO29" s="76">
        <v>231</v>
      </c>
      <c r="FP29" s="76">
        <v>130</v>
      </c>
      <c r="FQ29" s="76">
        <v>0</v>
      </c>
      <c r="FR29" s="76">
        <v>0</v>
      </c>
      <c r="FS29" s="76">
        <v>0</v>
      </c>
      <c r="FT29" s="76">
        <v>7187</v>
      </c>
      <c r="FU29" s="76">
        <v>5179</v>
      </c>
      <c r="FV29" s="76">
        <v>2008</v>
      </c>
      <c r="FW29" s="76">
        <v>0</v>
      </c>
      <c r="FX29" s="76">
        <v>0</v>
      </c>
      <c r="FY29" s="76">
        <v>0</v>
      </c>
      <c r="FZ29" s="76">
        <v>0</v>
      </c>
      <c r="GA29" s="76">
        <v>0</v>
      </c>
      <c r="GB29" s="76">
        <v>0</v>
      </c>
      <c r="GC29" s="76">
        <v>20962</v>
      </c>
      <c r="GD29" s="76">
        <v>12401</v>
      </c>
      <c r="GE29" s="76">
        <v>8561</v>
      </c>
      <c r="GF29" s="76">
        <v>0</v>
      </c>
      <c r="GG29" s="76">
        <v>118</v>
      </c>
      <c r="GH29" s="76">
        <v>0</v>
      </c>
      <c r="GI29" s="76">
        <v>0</v>
      </c>
      <c r="GJ29" s="76">
        <v>0</v>
      </c>
      <c r="GK29" s="76">
        <v>0</v>
      </c>
      <c r="GL29" s="76">
        <v>118</v>
      </c>
      <c r="GM29" s="76">
        <v>2036</v>
      </c>
      <c r="GN29" s="76">
        <v>930</v>
      </c>
      <c r="GO29" s="76">
        <v>0</v>
      </c>
      <c r="GP29" s="76">
        <v>0</v>
      </c>
      <c r="GQ29" s="76">
        <v>308</v>
      </c>
      <c r="GR29" s="76">
        <v>6128</v>
      </c>
      <c r="GS29" s="76">
        <v>0</v>
      </c>
      <c r="GT29" s="76">
        <v>0</v>
      </c>
      <c r="GU29" s="76">
        <v>0</v>
      </c>
      <c r="GV29" s="76">
        <v>0</v>
      </c>
      <c r="GW29" s="76">
        <v>18480</v>
      </c>
      <c r="GX29" s="76">
        <v>27882</v>
      </c>
      <c r="GY29" s="76">
        <v>10793</v>
      </c>
      <c r="GZ29" s="76">
        <v>246</v>
      </c>
      <c r="HA29" s="76">
        <v>0</v>
      </c>
      <c r="HB29" s="76">
        <v>16465</v>
      </c>
      <c r="HC29" s="76">
        <v>27504</v>
      </c>
      <c r="HD29" s="76">
        <v>0</v>
      </c>
      <c r="HE29" s="76">
        <v>0</v>
      </c>
      <c r="HF29" s="76">
        <v>0</v>
      </c>
      <c r="HG29" s="76">
        <v>34366</v>
      </c>
      <c r="HH29" s="76">
        <v>1487</v>
      </c>
      <c r="HI29" s="76">
        <v>757</v>
      </c>
      <c r="HJ29" s="76">
        <v>0</v>
      </c>
      <c r="HK29" s="76">
        <v>0</v>
      </c>
      <c r="HL29" s="76">
        <v>-2177</v>
      </c>
      <c r="HM29" s="76">
        <v>34433</v>
      </c>
      <c r="HN29" s="76">
        <v>11480</v>
      </c>
      <c r="HO29" s="76">
        <v>16418</v>
      </c>
      <c r="HP29" s="76">
        <v>0</v>
      </c>
      <c r="HQ29" s="76">
        <v>471</v>
      </c>
      <c r="HR29" s="76">
        <v>-71</v>
      </c>
      <c r="HS29" s="76">
        <v>-6</v>
      </c>
      <c r="HT29" s="76">
        <v>14622</v>
      </c>
      <c r="HU29" s="76">
        <v>0</v>
      </c>
      <c r="HV29" s="76">
        <v>0</v>
      </c>
      <c r="HW29" s="76">
        <v>-2</v>
      </c>
      <c r="HX29" s="76">
        <v>7</v>
      </c>
    </row>
    <row r="30" spans="1:232" x14ac:dyDescent="0.2">
      <c r="A30" s="74" t="s">
        <v>265</v>
      </c>
      <c r="B30" s="74" t="s">
        <v>27</v>
      </c>
      <c r="C30" s="75" t="s">
        <v>200</v>
      </c>
      <c r="D30" s="75">
        <v>12</v>
      </c>
      <c r="E30" s="76">
        <v>42661</v>
      </c>
      <c r="F30" s="76">
        <v>-2801</v>
      </c>
      <c r="G30" s="76">
        <v>-24745</v>
      </c>
      <c r="H30" s="76">
        <v>15115</v>
      </c>
      <c r="I30" s="76">
        <v>1637</v>
      </c>
      <c r="J30" s="76">
        <v>0</v>
      </c>
      <c r="K30" s="76">
        <v>0</v>
      </c>
      <c r="L30" s="76">
        <v>0</v>
      </c>
      <c r="M30" s="76">
        <v>63</v>
      </c>
      <c r="N30" s="76">
        <v>-5612</v>
      </c>
      <c r="O30" s="76">
        <v>0</v>
      </c>
      <c r="P30" s="76">
        <v>0</v>
      </c>
      <c r="Q30" s="76">
        <v>0</v>
      </c>
      <c r="R30" s="76">
        <v>0</v>
      </c>
      <c r="S30" s="76">
        <v>11203</v>
      </c>
      <c r="T30" s="76">
        <v>0</v>
      </c>
      <c r="U30" s="76">
        <v>11203</v>
      </c>
      <c r="V30" s="76">
        <v>0</v>
      </c>
      <c r="W30" s="76">
        <v>-3364</v>
      </c>
      <c r="X30" s="76">
        <v>0</v>
      </c>
      <c r="Y30" s="76">
        <v>0</v>
      </c>
      <c r="Z30" s="76">
        <v>7839</v>
      </c>
      <c r="AA30" s="76">
        <v>35306</v>
      </c>
      <c r="AB30" s="76">
        <v>1189</v>
      </c>
      <c r="AC30" s="76">
        <v>36495</v>
      </c>
      <c r="AD30" s="76">
        <v>65</v>
      </c>
      <c r="AE30" s="76">
        <v>0</v>
      </c>
      <c r="AF30" s="76">
        <v>0</v>
      </c>
      <c r="AG30" s="76">
        <v>0</v>
      </c>
      <c r="AH30" s="76">
        <v>36560</v>
      </c>
      <c r="AI30" s="76">
        <v>7757</v>
      </c>
      <c r="AJ30" s="76">
        <v>2301</v>
      </c>
      <c r="AK30" s="76">
        <v>3158</v>
      </c>
      <c r="AL30" s="76">
        <v>1118</v>
      </c>
      <c r="AM30" s="76">
        <v>2264</v>
      </c>
      <c r="AN30" s="76">
        <v>178</v>
      </c>
      <c r="AO30" s="76">
        <v>5765</v>
      </c>
      <c r="AP30" s="76">
        <v>435</v>
      </c>
      <c r="AQ30" s="76">
        <v>0</v>
      </c>
      <c r="AR30" s="76">
        <v>22976</v>
      </c>
      <c r="AS30" s="76">
        <v>13584</v>
      </c>
      <c r="AT30" s="76">
        <v>218</v>
      </c>
      <c r="AU30" s="76">
        <v>339947</v>
      </c>
      <c r="AV30" s="76">
        <v>0</v>
      </c>
      <c r="AW30" s="76">
        <v>821</v>
      </c>
      <c r="AX30" s="76">
        <v>399</v>
      </c>
      <c r="AY30" s="76">
        <v>0</v>
      </c>
      <c r="AZ30" s="76">
        <v>0</v>
      </c>
      <c r="BA30" s="76">
        <v>0</v>
      </c>
      <c r="BB30" s="76">
        <v>0</v>
      </c>
      <c r="BC30" s="76">
        <v>0</v>
      </c>
      <c r="BD30" s="76">
        <v>0</v>
      </c>
      <c r="BE30" s="76">
        <v>341167</v>
      </c>
      <c r="BF30" s="76">
        <v>2009</v>
      </c>
      <c r="BG30" s="76">
        <v>685</v>
      </c>
      <c r="BH30" s="76">
        <v>29852</v>
      </c>
      <c r="BI30" s="76">
        <v>0</v>
      </c>
      <c r="BJ30" s="76">
        <v>47236</v>
      </c>
      <c r="BK30" s="76">
        <v>79782</v>
      </c>
      <c r="BL30" s="76">
        <v>0</v>
      </c>
      <c r="BM30" s="76">
        <v>0</v>
      </c>
      <c r="BN30" s="76">
        <v>0</v>
      </c>
      <c r="BO30" s="76">
        <v>8929</v>
      </c>
      <c r="BP30" s="76">
        <v>8929</v>
      </c>
      <c r="BQ30" s="76">
        <v>70853</v>
      </c>
      <c r="BR30" s="76">
        <v>412020</v>
      </c>
      <c r="BS30" s="76">
        <v>129715</v>
      </c>
      <c r="BT30" s="76">
        <v>0</v>
      </c>
      <c r="BU30" s="76">
        <v>0</v>
      </c>
      <c r="BV30" s="76">
        <v>6966</v>
      </c>
      <c r="BW30" s="76">
        <v>0</v>
      </c>
      <c r="BX30" s="76">
        <v>0</v>
      </c>
      <c r="BY30" s="76">
        <v>43963</v>
      </c>
      <c r="BZ30" s="76">
        <v>180644</v>
      </c>
      <c r="CA30" s="76">
        <v>13353</v>
      </c>
      <c r="CB30" s="76">
        <v>0</v>
      </c>
      <c r="CC30" s="76">
        <v>218023</v>
      </c>
      <c r="CD30" s="76">
        <v>72829</v>
      </c>
      <c r="CE30" s="76">
        <v>145194</v>
      </c>
      <c r="CF30" s="76">
        <v>0</v>
      </c>
      <c r="CG30" s="76">
        <v>0</v>
      </c>
      <c r="CH30" s="76">
        <v>0</v>
      </c>
      <c r="CI30" s="76">
        <v>218023</v>
      </c>
      <c r="CJ30" s="76">
        <v>4769</v>
      </c>
      <c r="CK30" s="76">
        <v>2801</v>
      </c>
      <c r="CL30" s="76">
        <v>0</v>
      </c>
      <c r="CM30" s="76">
        <v>1968</v>
      </c>
      <c r="CN30" s="76">
        <v>193</v>
      </c>
      <c r="CO30" s="76">
        <v>0</v>
      </c>
      <c r="CP30" s="76">
        <v>466</v>
      </c>
      <c r="CQ30" s="76">
        <v>-273</v>
      </c>
      <c r="CR30" s="76">
        <v>0</v>
      </c>
      <c r="CS30" s="76">
        <v>0</v>
      </c>
      <c r="CT30" s="76">
        <v>0</v>
      </c>
      <c r="CU30" s="76">
        <v>0</v>
      </c>
      <c r="CV30" s="76">
        <v>0</v>
      </c>
      <c r="CW30" s="76">
        <v>0</v>
      </c>
      <c r="CX30" s="76">
        <v>0</v>
      </c>
      <c r="CY30" s="76">
        <v>0</v>
      </c>
      <c r="CZ30" s="76">
        <v>0</v>
      </c>
      <c r="DA30" s="76">
        <v>0</v>
      </c>
      <c r="DB30" s="76">
        <v>277</v>
      </c>
      <c r="DC30" s="76">
        <v>-277</v>
      </c>
      <c r="DD30" s="76">
        <v>4962</v>
      </c>
      <c r="DE30" s="76">
        <v>2801</v>
      </c>
      <c r="DF30" s="76">
        <v>743</v>
      </c>
      <c r="DG30" s="76">
        <v>1418</v>
      </c>
      <c r="DH30" s="76">
        <v>0</v>
      </c>
      <c r="DI30" s="76">
        <v>0</v>
      </c>
      <c r="DJ30" s="76">
        <v>0</v>
      </c>
      <c r="DK30" s="76">
        <v>0</v>
      </c>
      <c r="DL30" s="76">
        <v>0</v>
      </c>
      <c r="DM30" s="76">
        <v>0</v>
      </c>
      <c r="DN30" s="76">
        <v>0</v>
      </c>
      <c r="DO30" s="76">
        <v>0</v>
      </c>
      <c r="DP30" s="76">
        <v>0</v>
      </c>
      <c r="DQ30" s="76">
        <v>0</v>
      </c>
      <c r="DR30" s="76">
        <v>0</v>
      </c>
      <c r="DS30" s="76">
        <v>0</v>
      </c>
      <c r="DT30" s="76">
        <v>0</v>
      </c>
      <c r="DU30" s="76">
        <v>0</v>
      </c>
      <c r="DV30" s="76">
        <v>0</v>
      </c>
      <c r="DW30" s="76">
        <v>0</v>
      </c>
      <c r="DX30" s="76">
        <v>0</v>
      </c>
      <c r="DY30" s="76">
        <v>0</v>
      </c>
      <c r="DZ30" s="76">
        <v>0</v>
      </c>
      <c r="EA30" s="76">
        <v>0</v>
      </c>
      <c r="EB30" s="76">
        <v>1139</v>
      </c>
      <c r="EC30" s="76">
        <v>0</v>
      </c>
      <c r="ED30" s="76">
        <v>1026</v>
      </c>
      <c r="EE30" s="76">
        <v>113</v>
      </c>
      <c r="EF30" s="76">
        <v>1139</v>
      </c>
      <c r="EG30" s="76">
        <v>0</v>
      </c>
      <c r="EH30" s="76">
        <v>1026</v>
      </c>
      <c r="EI30" s="76">
        <v>113</v>
      </c>
      <c r="EJ30" s="76">
        <v>6101</v>
      </c>
      <c r="EK30" s="76">
        <v>2801</v>
      </c>
      <c r="EL30" s="76">
        <v>1769</v>
      </c>
      <c r="EM30" s="76">
        <v>1531</v>
      </c>
      <c r="EN30" s="76">
        <v>1031</v>
      </c>
      <c r="EO30" s="76">
        <v>549</v>
      </c>
      <c r="EP30" s="76">
        <v>346</v>
      </c>
      <c r="EQ30" s="76">
        <v>549</v>
      </c>
      <c r="ER30" s="76">
        <v>330514</v>
      </c>
      <c r="ES30" s="76">
        <v>0</v>
      </c>
      <c r="ET30" s="76">
        <v>330514</v>
      </c>
      <c r="EU30" s="76">
        <v>27855</v>
      </c>
      <c r="EV30" s="76">
        <v>-1334</v>
      </c>
      <c r="EW30" s="76">
        <v>0</v>
      </c>
      <c r="EX30" s="76">
        <v>0</v>
      </c>
      <c r="EY30" s="76">
        <v>0</v>
      </c>
      <c r="EZ30" s="76">
        <v>357035</v>
      </c>
      <c r="FA30" s="76">
        <v>11008</v>
      </c>
      <c r="FB30" s="76">
        <v>5765</v>
      </c>
      <c r="FC30" s="76">
        <v>435</v>
      </c>
      <c r="FD30" s="76">
        <v>0</v>
      </c>
      <c r="FE30" s="76">
        <v>-120</v>
      </c>
      <c r="FF30" s="76">
        <v>0</v>
      </c>
      <c r="FG30" s="76">
        <v>0</v>
      </c>
      <c r="FH30" s="76">
        <v>17088</v>
      </c>
      <c r="FI30" s="76">
        <v>339947</v>
      </c>
      <c r="FJ30" s="76">
        <v>319506</v>
      </c>
      <c r="FK30" s="76">
        <v>471</v>
      </c>
      <c r="FL30" s="76">
        <v>228</v>
      </c>
      <c r="FM30" s="76">
        <v>243</v>
      </c>
      <c r="FN30" s="76">
        <v>380</v>
      </c>
      <c r="FO30" s="76">
        <v>492</v>
      </c>
      <c r="FP30" s="76">
        <v>-112</v>
      </c>
      <c r="FQ30" s="76">
        <v>308</v>
      </c>
      <c r="FR30" s="76">
        <v>69</v>
      </c>
      <c r="FS30" s="76">
        <v>239</v>
      </c>
      <c r="FT30" s="76">
        <v>1565</v>
      </c>
      <c r="FU30" s="76">
        <v>363</v>
      </c>
      <c r="FV30" s="76">
        <v>1202</v>
      </c>
      <c r="FW30" s="76">
        <v>0</v>
      </c>
      <c r="FX30" s="76">
        <v>0</v>
      </c>
      <c r="FY30" s="76">
        <v>0</v>
      </c>
      <c r="FZ30" s="76">
        <v>168</v>
      </c>
      <c r="GA30" s="76">
        <v>103</v>
      </c>
      <c r="GB30" s="76">
        <v>65</v>
      </c>
      <c r="GC30" s="76">
        <v>2892</v>
      </c>
      <c r="GD30" s="76">
        <v>1255</v>
      </c>
      <c r="GE30" s="76">
        <v>1637</v>
      </c>
      <c r="GF30" s="76">
        <v>0</v>
      </c>
      <c r="GG30" s="76">
        <v>0</v>
      </c>
      <c r="GH30" s="76">
        <v>515</v>
      </c>
      <c r="GI30" s="76">
        <v>43963</v>
      </c>
      <c r="GJ30" s="76">
        <v>0</v>
      </c>
      <c r="GK30" s="76">
        <v>2758</v>
      </c>
      <c r="GL30" s="76">
        <v>47236</v>
      </c>
      <c r="GM30" s="76">
        <v>346</v>
      </c>
      <c r="GN30" s="76">
        <v>0</v>
      </c>
      <c r="GO30" s="76">
        <v>0</v>
      </c>
      <c r="GP30" s="76">
        <v>0</v>
      </c>
      <c r="GQ30" s="76">
        <v>0</v>
      </c>
      <c r="GR30" s="76">
        <v>6668</v>
      </c>
      <c r="GS30" s="76">
        <v>0</v>
      </c>
      <c r="GT30" s="76">
        <v>0</v>
      </c>
      <c r="GU30" s="76">
        <v>0</v>
      </c>
      <c r="GV30" s="76">
        <v>0</v>
      </c>
      <c r="GW30" s="76">
        <v>1915</v>
      </c>
      <c r="GX30" s="76">
        <v>8929</v>
      </c>
      <c r="GY30" s="76">
        <v>0</v>
      </c>
      <c r="GZ30" s="76">
        <v>0</v>
      </c>
      <c r="HA30" s="76">
        <v>0</v>
      </c>
      <c r="HB30" s="76">
        <v>43963</v>
      </c>
      <c r="HC30" s="76">
        <v>43963</v>
      </c>
      <c r="HD30" s="76">
        <v>0</v>
      </c>
      <c r="HE30" s="76">
        <v>0</v>
      </c>
      <c r="HF30" s="76">
        <v>0</v>
      </c>
      <c r="HG30" s="76">
        <v>5951</v>
      </c>
      <c r="HH30" s="76">
        <v>30</v>
      </c>
      <c r="HI30" s="76">
        <v>340</v>
      </c>
      <c r="HJ30" s="76">
        <v>0</v>
      </c>
      <c r="HK30" s="76">
        <v>0</v>
      </c>
      <c r="HL30" s="76">
        <v>-709</v>
      </c>
      <c r="HM30" s="76">
        <v>5612</v>
      </c>
      <c r="HN30" s="76">
        <v>3222</v>
      </c>
      <c r="HO30" s="76">
        <v>6045</v>
      </c>
      <c r="HP30" s="76">
        <v>435</v>
      </c>
      <c r="HQ30" s="76">
        <v>137</v>
      </c>
      <c r="HR30" s="76">
        <v>-21</v>
      </c>
      <c r="HS30" s="76">
        <v>8</v>
      </c>
      <c r="HT30" s="76">
        <v>6174</v>
      </c>
      <c r="HU30" s="76">
        <v>0</v>
      </c>
      <c r="HV30" s="76">
        <v>0</v>
      </c>
      <c r="HW30" s="76">
        <v>0</v>
      </c>
      <c r="HX30" s="76">
        <v>0</v>
      </c>
    </row>
    <row r="31" spans="1:232" x14ac:dyDescent="0.2">
      <c r="A31" s="74" t="s">
        <v>266</v>
      </c>
      <c r="B31" s="74" t="s">
        <v>267</v>
      </c>
      <c r="C31" s="75" t="s">
        <v>200</v>
      </c>
      <c r="D31" s="75">
        <v>12</v>
      </c>
      <c r="E31" s="76">
        <v>46752</v>
      </c>
      <c r="F31" s="76">
        <v>-13020</v>
      </c>
      <c r="G31" s="76">
        <v>-22444</v>
      </c>
      <c r="H31" s="76">
        <v>11288</v>
      </c>
      <c r="I31" s="76">
        <v>165</v>
      </c>
      <c r="J31" s="76">
        <v>0</v>
      </c>
      <c r="K31" s="76">
        <v>-1591</v>
      </c>
      <c r="L31" s="76">
        <v>0</v>
      </c>
      <c r="M31" s="76">
        <v>14</v>
      </c>
      <c r="N31" s="76">
        <v>-8864</v>
      </c>
      <c r="O31" s="76">
        <v>0</v>
      </c>
      <c r="P31" s="76">
        <v>0</v>
      </c>
      <c r="Q31" s="76">
        <v>0</v>
      </c>
      <c r="R31" s="76">
        <v>0</v>
      </c>
      <c r="S31" s="76">
        <v>1012</v>
      </c>
      <c r="T31" s="76">
        <v>0</v>
      </c>
      <c r="U31" s="76">
        <v>1012</v>
      </c>
      <c r="V31" s="76">
        <v>0</v>
      </c>
      <c r="W31" s="76">
        <v>141</v>
      </c>
      <c r="X31" s="76">
        <v>0</v>
      </c>
      <c r="Y31" s="76">
        <v>0</v>
      </c>
      <c r="Z31" s="76">
        <v>1153</v>
      </c>
      <c r="AA31" s="76">
        <v>28423</v>
      </c>
      <c r="AB31" s="76">
        <v>1828</v>
      </c>
      <c r="AC31" s="76">
        <v>30251</v>
      </c>
      <c r="AD31" s="76">
        <v>47</v>
      </c>
      <c r="AE31" s="76">
        <v>0</v>
      </c>
      <c r="AF31" s="76">
        <v>0</v>
      </c>
      <c r="AG31" s="76">
        <v>0</v>
      </c>
      <c r="AH31" s="76">
        <v>30298</v>
      </c>
      <c r="AI31" s="76">
        <v>2281</v>
      </c>
      <c r="AJ31" s="76">
        <v>2189</v>
      </c>
      <c r="AK31" s="76">
        <v>4365</v>
      </c>
      <c r="AL31" s="76">
        <v>936</v>
      </c>
      <c r="AM31" s="76">
        <v>2676</v>
      </c>
      <c r="AN31" s="76">
        <v>205</v>
      </c>
      <c r="AO31" s="76">
        <v>5421</v>
      </c>
      <c r="AP31" s="76">
        <v>45</v>
      </c>
      <c r="AQ31" s="76">
        <v>0</v>
      </c>
      <c r="AR31" s="76">
        <v>18118</v>
      </c>
      <c r="AS31" s="76">
        <v>12180</v>
      </c>
      <c r="AT31" s="76">
        <v>582</v>
      </c>
      <c r="AU31" s="76">
        <v>295854</v>
      </c>
      <c r="AV31" s="76">
        <v>0</v>
      </c>
      <c r="AW31" s="76">
        <v>3918</v>
      </c>
      <c r="AX31" s="76">
        <v>0</v>
      </c>
      <c r="AY31" s="76">
        <v>0</v>
      </c>
      <c r="AZ31" s="76">
        <v>2819</v>
      </c>
      <c r="BA31" s="76">
        <v>0</v>
      </c>
      <c r="BB31" s="76">
        <v>0</v>
      </c>
      <c r="BC31" s="76">
        <v>0</v>
      </c>
      <c r="BD31" s="76">
        <v>0</v>
      </c>
      <c r="BE31" s="76">
        <v>302591</v>
      </c>
      <c r="BF31" s="76">
        <v>21176</v>
      </c>
      <c r="BG31" s="76">
        <v>3183</v>
      </c>
      <c r="BH31" s="76">
        <v>1755</v>
      </c>
      <c r="BI31" s="76">
        <v>0</v>
      </c>
      <c r="BJ31" s="76">
        <v>275</v>
      </c>
      <c r="BK31" s="76">
        <v>26389</v>
      </c>
      <c r="BL31" s="76">
        <v>1250</v>
      </c>
      <c r="BM31" s="76">
        <v>0</v>
      </c>
      <c r="BN31" s="76">
        <v>66</v>
      </c>
      <c r="BO31" s="76">
        <v>6469</v>
      </c>
      <c r="BP31" s="76">
        <v>7785</v>
      </c>
      <c r="BQ31" s="76">
        <v>18604</v>
      </c>
      <c r="BR31" s="76">
        <v>321195</v>
      </c>
      <c r="BS31" s="76">
        <v>137348</v>
      </c>
      <c r="BT31" s="76">
        <v>0</v>
      </c>
      <c r="BU31" s="76">
        <v>0</v>
      </c>
      <c r="BV31" s="76">
        <v>6567</v>
      </c>
      <c r="BW31" s="76">
        <v>0</v>
      </c>
      <c r="BX31" s="76">
        <v>0</v>
      </c>
      <c r="BY31" s="76">
        <v>962</v>
      </c>
      <c r="BZ31" s="76">
        <v>144877</v>
      </c>
      <c r="CA31" s="76">
        <v>6155</v>
      </c>
      <c r="CB31" s="76">
        <v>1791</v>
      </c>
      <c r="CC31" s="76">
        <v>168372</v>
      </c>
      <c r="CD31" s="76">
        <v>132715</v>
      </c>
      <c r="CE31" s="76">
        <v>42501</v>
      </c>
      <c r="CF31" s="76">
        <v>-6153</v>
      </c>
      <c r="CG31" s="76">
        <v>0</v>
      </c>
      <c r="CH31" s="76">
        <v>-691</v>
      </c>
      <c r="CI31" s="76">
        <v>168372</v>
      </c>
      <c r="CJ31" s="76">
        <v>2672</v>
      </c>
      <c r="CK31" s="76">
        <v>1535</v>
      </c>
      <c r="CL31" s="76">
        <v>0</v>
      </c>
      <c r="CM31" s="76">
        <v>1137</v>
      </c>
      <c r="CN31" s="76">
        <v>940</v>
      </c>
      <c r="CO31" s="76">
        <v>0</v>
      </c>
      <c r="CP31" s="76">
        <v>1531</v>
      </c>
      <c r="CQ31" s="76">
        <v>-591</v>
      </c>
      <c r="CR31" s="76">
        <v>253</v>
      </c>
      <c r="CS31" s="76">
        <v>0</v>
      </c>
      <c r="CT31" s="76">
        <v>813</v>
      </c>
      <c r="CU31" s="76">
        <v>-560</v>
      </c>
      <c r="CV31" s="76">
        <v>1331</v>
      </c>
      <c r="CW31" s="76">
        <v>0</v>
      </c>
      <c r="CX31" s="76">
        <v>1706</v>
      </c>
      <c r="CY31" s="76">
        <v>-375</v>
      </c>
      <c r="CZ31" s="76">
        <v>542</v>
      </c>
      <c r="DA31" s="76">
        <v>0</v>
      </c>
      <c r="DB31" s="76">
        <v>276</v>
      </c>
      <c r="DC31" s="76">
        <v>266</v>
      </c>
      <c r="DD31" s="76">
        <v>5738</v>
      </c>
      <c r="DE31" s="76">
        <v>1535</v>
      </c>
      <c r="DF31" s="76">
        <v>4326</v>
      </c>
      <c r="DG31" s="76">
        <v>-123</v>
      </c>
      <c r="DH31" s="76">
        <v>10716</v>
      </c>
      <c r="DI31" s="76">
        <v>11485</v>
      </c>
      <c r="DJ31" s="76">
        <v>0</v>
      </c>
      <c r="DK31" s="76">
        <v>-769</v>
      </c>
      <c r="DL31" s="76">
        <v>0</v>
      </c>
      <c r="DM31" s="76">
        <v>0</v>
      </c>
      <c r="DN31" s="76">
        <v>0</v>
      </c>
      <c r="DO31" s="76">
        <v>0</v>
      </c>
      <c r="DP31" s="76">
        <v>0</v>
      </c>
      <c r="DQ31" s="76">
        <v>0</v>
      </c>
      <c r="DR31" s="76">
        <v>0</v>
      </c>
      <c r="DS31" s="76">
        <v>0</v>
      </c>
      <c r="DT31" s="76">
        <v>0</v>
      </c>
      <c r="DU31" s="76">
        <v>0</v>
      </c>
      <c r="DV31" s="76">
        <v>0</v>
      </c>
      <c r="DW31" s="76">
        <v>0</v>
      </c>
      <c r="DX31" s="76">
        <v>0</v>
      </c>
      <c r="DY31" s="76">
        <v>0</v>
      </c>
      <c r="DZ31" s="76">
        <v>0</v>
      </c>
      <c r="EA31" s="76">
        <v>0</v>
      </c>
      <c r="EB31" s="76">
        <v>0</v>
      </c>
      <c r="EC31" s="76">
        <v>0</v>
      </c>
      <c r="ED31" s="76">
        <v>0</v>
      </c>
      <c r="EE31" s="76">
        <v>0</v>
      </c>
      <c r="EF31" s="76">
        <v>10716</v>
      </c>
      <c r="EG31" s="76">
        <v>11485</v>
      </c>
      <c r="EH31" s="76">
        <v>0</v>
      </c>
      <c r="EI31" s="76">
        <v>-769</v>
      </c>
      <c r="EJ31" s="76">
        <v>16454</v>
      </c>
      <c r="EK31" s="76">
        <v>13020</v>
      </c>
      <c r="EL31" s="76">
        <v>4326</v>
      </c>
      <c r="EM31" s="76">
        <v>-892</v>
      </c>
      <c r="EN31" s="76">
        <v>1209</v>
      </c>
      <c r="EO31" s="76">
        <v>290</v>
      </c>
      <c r="EP31" s="76">
        <v>187</v>
      </c>
      <c r="EQ31" s="76">
        <v>290</v>
      </c>
      <c r="ER31" s="76">
        <v>294610</v>
      </c>
      <c r="ES31" s="76">
        <v>0</v>
      </c>
      <c r="ET31" s="76">
        <v>294610</v>
      </c>
      <c r="EU31" s="76">
        <v>17751</v>
      </c>
      <c r="EV31" s="76">
        <v>-1943</v>
      </c>
      <c r="EW31" s="76">
        <v>0</v>
      </c>
      <c r="EX31" s="76">
        <v>0</v>
      </c>
      <c r="EY31" s="76">
        <v>0</v>
      </c>
      <c r="EZ31" s="76">
        <v>310418</v>
      </c>
      <c r="FA31" s="76">
        <v>9262</v>
      </c>
      <c r="FB31" s="76">
        <v>5421</v>
      </c>
      <c r="FC31" s="76">
        <v>0</v>
      </c>
      <c r="FD31" s="76">
        <v>0</v>
      </c>
      <c r="FE31" s="76">
        <v>-119</v>
      </c>
      <c r="FF31" s="76">
        <v>0</v>
      </c>
      <c r="FG31" s="76">
        <v>0</v>
      </c>
      <c r="FH31" s="76">
        <v>14564</v>
      </c>
      <c r="FI31" s="76">
        <v>295854</v>
      </c>
      <c r="FJ31" s="76">
        <v>285348</v>
      </c>
      <c r="FK31" s="76">
        <v>0</v>
      </c>
      <c r="FL31" s="76">
        <v>0</v>
      </c>
      <c r="FM31" s="76">
        <v>0</v>
      </c>
      <c r="FN31" s="76">
        <v>280</v>
      </c>
      <c r="FO31" s="76">
        <v>232</v>
      </c>
      <c r="FP31" s="76">
        <v>48</v>
      </c>
      <c r="FQ31" s="76">
        <v>0</v>
      </c>
      <c r="FR31" s="76">
        <v>0</v>
      </c>
      <c r="FS31" s="76">
        <v>0</v>
      </c>
      <c r="FT31" s="76">
        <v>505</v>
      </c>
      <c r="FU31" s="76">
        <v>387</v>
      </c>
      <c r="FV31" s="76">
        <v>118</v>
      </c>
      <c r="FW31" s="76">
        <v>0</v>
      </c>
      <c r="FX31" s="76">
        <v>0</v>
      </c>
      <c r="FY31" s="76">
        <v>0</v>
      </c>
      <c r="FZ31" s="76">
        <v>0</v>
      </c>
      <c r="GA31" s="76">
        <v>0</v>
      </c>
      <c r="GB31" s="76">
        <v>0</v>
      </c>
      <c r="GC31" s="76">
        <v>785</v>
      </c>
      <c r="GD31" s="76">
        <v>619</v>
      </c>
      <c r="GE31" s="76">
        <v>166</v>
      </c>
      <c r="GF31" s="76">
        <v>0</v>
      </c>
      <c r="GG31" s="76">
        <v>0</v>
      </c>
      <c r="GH31" s="76">
        <v>0</v>
      </c>
      <c r="GI31" s="76">
        <v>0</v>
      </c>
      <c r="GJ31" s="76">
        <v>0</v>
      </c>
      <c r="GK31" s="76">
        <v>275</v>
      </c>
      <c r="GL31" s="76">
        <v>275</v>
      </c>
      <c r="GM31" s="76">
        <v>497</v>
      </c>
      <c r="GN31" s="76">
        <v>305</v>
      </c>
      <c r="GO31" s="76">
        <v>0</v>
      </c>
      <c r="GP31" s="76">
        <v>0</v>
      </c>
      <c r="GQ31" s="76">
        <v>0</v>
      </c>
      <c r="GR31" s="76">
        <v>5160</v>
      </c>
      <c r="GS31" s="76">
        <v>0</v>
      </c>
      <c r="GT31" s="76">
        <v>0</v>
      </c>
      <c r="GU31" s="76">
        <v>0</v>
      </c>
      <c r="GV31" s="76">
        <v>0</v>
      </c>
      <c r="GW31" s="76">
        <v>507</v>
      </c>
      <c r="GX31" s="76">
        <v>6469</v>
      </c>
      <c r="GY31" s="76">
        <v>97</v>
      </c>
      <c r="GZ31" s="76">
        <v>0</v>
      </c>
      <c r="HA31" s="76">
        <v>0</v>
      </c>
      <c r="HB31" s="76">
        <v>865</v>
      </c>
      <c r="HC31" s="76">
        <v>962</v>
      </c>
      <c r="HD31" s="76">
        <v>0</v>
      </c>
      <c r="HE31" s="76">
        <v>1791</v>
      </c>
      <c r="HF31" s="76">
        <v>1791</v>
      </c>
      <c r="HG31" s="76">
        <v>6368</v>
      </c>
      <c r="HH31" s="76">
        <v>0</v>
      </c>
      <c r="HI31" s="76">
        <v>236</v>
      </c>
      <c r="HJ31" s="76">
        <v>0</v>
      </c>
      <c r="HK31" s="76">
        <v>2406</v>
      </c>
      <c r="HL31" s="76">
        <v>-147</v>
      </c>
      <c r="HM31" s="76">
        <v>8863</v>
      </c>
      <c r="HN31" s="76">
        <v>2986</v>
      </c>
      <c r="HO31" s="76">
        <v>5946</v>
      </c>
      <c r="HP31" s="76">
        <v>45</v>
      </c>
      <c r="HQ31" s="76">
        <v>232</v>
      </c>
      <c r="HR31" s="76">
        <v>-17</v>
      </c>
      <c r="HS31" s="76">
        <v>0</v>
      </c>
      <c r="HT31" s="76">
        <v>6071</v>
      </c>
      <c r="HU31" s="76">
        <v>0</v>
      </c>
      <c r="HV31" s="76">
        <v>0</v>
      </c>
      <c r="HW31" s="76">
        <v>0</v>
      </c>
      <c r="HX31" s="76">
        <v>0</v>
      </c>
    </row>
    <row r="32" spans="1:232" x14ac:dyDescent="0.2">
      <c r="A32" s="74" t="s">
        <v>269</v>
      </c>
      <c r="B32" s="74" t="s">
        <v>29</v>
      </c>
      <c r="C32" s="75" t="s">
        <v>200</v>
      </c>
      <c r="D32" s="75">
        <v>12</v>
      </c>
      <c r="E32" s="76">
        <v>27428</v>
      </c>
      <c r="F32" s="76">
        <v>-468</v>
      </c>
      <c r="G32" s="76">
        <v>-17904</v>
      </c>
      <c r="H32" s="76">
        <v>9056</v>
      </c>
      <c r="I32" s="76">
        <v>216</v>
      </c>
      <c r="J32" s="76">
        <v>0</v>
      </c>
      <c r="K32" s="76">
        <v>34</v>
      </c>
      <c r="L32" s="76">
        <v>0</v>
      </c>
      <c r="M32" s="76">
        <v>125</v>
      </c>
      <c r="N32" s="76">
        <v>-6091</v>
      </c>
      <c r="O32" s="76">
        <v>0</v>
      </c>
      <c r="P32" s="76">
        <v>0</v>
      </c>
      <c r="Q32" s="76">
        <v>0</v>
      </c>
      <c r="R32" s="76">
        <v>0</v>
      </c>
      <c r="S32" s="76">
        <v>3340</v>
      </c>
      <c r="T32" s="76">
        <v>-1</v>
      </c>
      <c r="U32" s="76">
        <v>3339</v>
      </c>
      <c r="V32" s="76">
        <v>0</v>
      </c>
      <c r="W32" s="76">
        <v>0</v>
      </c>
      <c r="X32" s="76">
        <v>0</v>
      </c>
      <c r="Y32" s="76">
        <v>0</v>
      </c>
      <c r="Z32" s="76">
        <v>3339</v>
      </c>
      <c r="AA32" s="76">
        <v>23131</v>
      </c>
      <c r="AB32" s="76">
        <v>2297</v>
      </c>
      <c r="AC32" s="76">
        <v>25428</v>
      </c>
      <c r="AD32" s="76">
        <v>1006</v>
      </c>
      <c r="AE32" s="76">
        <v>0</v>
      </c>
      <c r="AF32" s="76">
        <v>0</v>
      </c>
      <c r="AG32" s="76">
        <v>0</v>
      </c>
      <c r="AH32" s="76">
        <v>26434</v>
      </c>
      <c r="AI32" s="76">
        <v>4541</v>
      </c>
      <c r="AJ32" s="76">
        <v>2283</v>
      </c>
      <c r="AK32" s="76">
        <v>4423</v>
      </c>
      <c r="AL32" s="76">
        <v>172</v>
      </c>
      <c r="AM32" s="76">
        <v>1663</v>
      </c>
      <c r="AN32" s="76">
        <v>188</v>
      </c>
      <c r="AO32" s="76">
        <v>4104</v>
      </c>
      <c r="AP32" s="76">
        <v>0</v>
      </c>
      <c r="AQ32" s="76">
        <v>0</v>
      </c>
      <c r="AR32" s="76">
        <v>17374</v>
      </c>
      <c r="AS32" s="76">
        <v>9060</v>
      </c>
      <c r="AT32" s="76">
        <v>262</v>
      </c>
      <c r="AU32" s="76">
        <v>260172</v>
      </c>
      <c r="AV32" s="76">
        <v>0</v>
      </c>
      <c r="AW32" s="76">
        <v>2572</v>
      </c>
      <c r="AX32" s="76">
        <v>0</v>
      </c>
      <c r="AY32" s="76">
        <v>0</v>
      </c>
      <c r="AZ32" s="76">
        <v>1031</v>
      </c>
      <c r="BA32" s="76">
        <v>0</v>
      </c>
      <c r="BB32" s="76">
        <v>0</v>
      </c>
      <c r="BC32" s="76">
        <v>0</v>
      </c>
      <c r="BD32" s="76">
        <v>158</v>
      </c>
      <c r="BE32" s="76">
        <v>263933</v>
      </c>
      <c r="BF32" s="76">
        <v>3106</v>
      </c>
      <c r="BG32" s="76">
        <v>2514</v>
      </c>
      <c r="BH32" s="76">
        <v>14694</v>
      </c>
      <c r="BI32" s="76">
        <v>0</v>
      </c>
      <c r="BJ32" s="76">
        <v>0</v>
      </c>
      <c r="BK32" s="76">
        <v>20314</v>
      </c>
      <c r="BL32" s="76">
        <v>4614</v>
      </c>
      <c r="BM32" s="76">
        <v>0</v>
      </c>
      <c r="BN32" s="76">
        <v>0</v>
      </c>
      <c r="BO32" s="76">
        <v>4327</v>
      </c>
      <c r="BP32" s="76">
        <v>8941</v>
      </c>
      <c r="BQ32" s="76">
        <v>11373</v>
      </c>
      <c r="BR32" s="76">
        <v>275306</v>
      </c>
      <c r="BS32" s="76">
        <v>136568</v>
      </c>
      <c r="BT32" s="76">
        <v>0</v>
      </c>
      <c r="BU32" s="76">
        <v>0</v>
      </c>
      <c r="BV32" s="76">
        <v>117074</v>
      </c>
      <c r="BW32" s="76">
        <v>0</v>
      </c>
      <c r="BX32" s="76">
        <v>0</v>
      </c>
      <c r="BY32" s="76">
        <v>496</v>
      </c>
      <c r="BZ32" s="76">
        <v>254138</v>
      </c>
      <c r="CA32" s="76">
        <v>2543</v>
      </c>
      <c r="CB32" s="76">
        <v>0</v>
      </c>
      <c r="CC32" s="76">
        <v>18625</v>
      </c>
      <c r="CD32" s="76">
        <v>18438</v>
      </c>
      <c r="CE32" s="76">
        <v>35</v>
      </c>
      <c r="CF32" s="76">
        <v>95</v>
      </c>
      <c r="CG32" s="76">
        <v>0</v>
      </c>
      <c r="CH32" s="76">
        <v>57</v>
      </c>
      <c r="CI32" s="76">
        <v>18625</v>
      </c>
      <c r="CJ32" s="76">
        <v>572</v>
      </c>
      <c r="CK32" s="76">
        <v>468</v>
      </c>
      <c r="CL32" s="76">
        <v>0</v>
      </c>
      <c r="CM32" s="76">
        <v>104</v>
      </c>
      <c r="CN32" s="76">
        <v>274</v>
      </c>
      <c r="CO32" s="76">
        <v>0</v>
      </c>
      <c r="CP32" s="76">
        <v>295</v>
      </c>
      <c r="CQ32" s="76">
        <v>-21</v>
      </c>
      <c r="CR32" s="76">
        <v>19</v>
      </c>
      <c r="CS32" s="76">
        <v>0</v>
      </c>
      <c r="CT32" s="76">
        <v>229</v>
      </c>
      <c r="CU32" s="76">
        <v>-210</v>
      </c>
      <c r="CV32" s="76">
        <v>0</v>
      </c>
      <c r="CW32" s="76">
        <v>0</v>
      </c>
      <c r="CX32" s="76">
        <v>0</v>
      </c>
      <c r="CY32" s="76">
        <v>0</v>
      </c>
      <c r="CZ32" s="76">
        <v>129</v>
      </c>
      <c r="DA32" s="76">
        <v>0</v>
      </c>
      <c r="DB32" s="76">
        <v>6</v>
      </c>
      <c r="DC32" s="76">
        <v>123</v>
      </c>
      <c r="DD32" s="76">
        <v>994</v>
      </c>
      <c r="DE32" s="76">
        <v>468</v>
      </c>
      <c r="DF32" s="76">
        <v>530</v>
      </c>
      <c r="DG32" s="76">
        <v>-4</v>
      </c>
      <c r="DH32" s="76">
        <v>0</v>
      </c>
      <c r="DI32" s="76">
        <v>0</v>
      </c>
      <c r="DJ32" s="76">
        <v>0</v>
      </c>
      <c r="DK32" s="76">
        <v>0</v>
      </c>
      <c r="DL32" s="76">
        <v>0</v>
      </c>
      <c r="DM32" s="76">
        <v>0</v>
      </c>
      <c r="DN32" s="76">
        <v>0</v>
      </c>
      <c r="DO32" s="76">
        <v>0</v>
      </c>
      <c r="DP32" s="76">
        <v>0</v>
      </c>
      <c r="DQ32" s="76">
        <v>0</v>
      </c>
      <c r="DR32" s="76">
        <v>0</v>
      </c>
      <c r="DS32" s="76">
        <v>0</v>
      </c>
      <c r="DT32" s="76">
        <v>0</v>
      </c>
      <c r="DU32" s="76">
        <v>0</v>
      </c>
      <c r="DV32" s="76">
        <v>0</v>
      </c>
      <c r="DW32" s="76">
        <v>0</v>
      </c>
      <c r="DX32" s="76">
        <v>0</v>
      </c>
      <c r="DY32" s="76">
        <v>0</v>
      </c>
      <c r="DZ32" s="76">
        <v>0</v>
      </c>
      <c r="EA32" s="76">
        <v>0</v>
      </c>
      <c r="EB32" s="76">
        <v>0</v>
      </c>
      <c r="EC32" s="76">
        <v>0</v>
      </c>
      <c r="ED32" s="76">
        <v>0</v>
      </c>
      <c r="EE32" s="76">
        <v>0</v>
      </c>
      <c r="EF32" s="76">
        <v>0</v>
      </c>
      <c r="EG32" s="76">
        <v>0</v>
      </c>
      <c r="EH32" s="76">
        <v>0</v>
      </c>
      <c r="EI32" s="76">
        <v>0</v>
      </c>
      <c r="EJ32" s="76">
        <v>994</v>
      </c>
      <c r="EK32" s="76">
        <v>468</v>
      </c>
      <c r="EL32" s="76">
        <v>530</v>
      </c>
      <c r="EM32" s="76">
        <v>-4</v>
      </c>
      <c r="EN32" s="76">
        <v>1057</v>
      </c>
      <c r="EO32" s="76">
        <v>271</v>
      </c>
      <c r="EP32" s="76">
        <v>127</v>
      </c>
      <c r="EQ32" s="76">
        <v>271</v>
      </c>
      <c r="ER32" s="76">
        <v>315066</v>
      </c>
      <c r="ES32" s="76">
        <v>0</v>
      </c>
      <c r="ET32" s="76">
        <v>315066</v>
      </c>
      <c r="EU32" s="76">
        <v>3837</v>
      </c>
      <c r="EV32" s="76">
        <v>-1049</v>
      </c>
      <c r="EW32" s="76">
        <v>0</v>
      </c>
      <c r="EX32" s="76">
        <v>0</v>
      </c>
      <c r="EY32" s="76">
        <v>-3124</v>
      </c>
      <c r="EZ32" s="76">
        <v>314730</v>
      </c>
      <c r="FA32" s="76">
        <v>51160</v>
      </c>
      <c r="FB32" s="76">
        <v>3908</v>
      </c>
      <c r="FC32" s="76">
        <v>0</v>
      </c>
      <c r="FD32" s="76">
        <v>0</v>
      </c>
      <c r="FE32" s="76">
        <v>-510</v>
      </c>
      <c r="FF32" s="76">
        <v>0</v>
      </c>
      <c r="FG32" s="76">
        <v>0</v>
      </c>
      <c r="FH32" s="76">
        <v>54558</v>
      </c>
      <c r="FI32" s="76">
        <v>260172</v>
      </c>
      <c r="FJ32" s="76">
        <v>263906</v>
      </c>
      <c r="FK32" s="76">
        <v>196</v>
      </c>
      <c r="FL32" s="76">
        <v>80</v>
      </c>
      <c r="FM32" s="76">
        <v>116</v>
      </c>
      <c r="FN32" s="76">
        <v>0</v>
      </c>
      <c r="FO32" s="76">
        <v>0</v>
      </c>
      <c r="FP32" s="76">
        <v>0</v>
      </c>
      <c r="FQ32" s="76">
        <v>0</v>
      </c>
      <c r="FR32" s="76">
        <v>0</v>
      </c>
      <c r="FS32" s="76">
        <v>0</v>
      </c>
      <c r="FT32" s="76">
        <v>261</v>
      </c>
      <c r="FU32" s="76">
        <v>161</v>
      </c>
      <c r="FV32" s="76">
        <v>100</v>
      </c>
      <c r="FW32" s="76">
        <v>0</v>
      </c>
      <c r="FX32" s="76">
        <v>0</v>
      </c>
      <c r="FY32" s="76">
        <v>0</v>
      </c>
      <c r="FZ32" s="76">
        <v>0</v>
      </c>
      <c r="GA32" s="76">
        <v>0</v>
      </c>
      <c r="GB32" s="76">
        <v>0</v>
      </c>
      <c r="GC32" s="76">
        <v>457</v>
      </c>
      <c r="GD32" s="76">
        <v>241</v>
      </c>
      <c r="GE32" s="76">
        <v>216</v>
      </c>
      <c r="GF32" s="76">
        <v>0</v>
      </c>
      <c r="GG32" s="76">
        <v>0</v>
      </c>
      <c r="GH32" s="76">
        <v>0</v>
      </c>
      <c r="GI32" s="76">
        <v>0</v>
      </c>
      <c r="GJ32" s="76">
        <v>0</v>
      </c>
      <c r="GK32" s="76">
        <v>0</v>
      </c>
      <c r="GL32" s="76">
        <v>0</v>
      </c>
      <c r="GM32" s="76">
        <v>747</v>
      </c>
      <c r="GN32" s="76">
        <v>702</v>
      </c>
      <c r="GO32" s="76">
        <v>0</v>
      </c>
      <c r="GP32" s="76">
        <v>0</v>
      </c>
      <c r="GQ32" s="76">
        <v>0</v>
      </c>
      <c r="GR32" s="76">
        <v>2337</v>
      </c>
      <c r="GS32" s="76">
        <v>0</v>
      </c>
      <c r="GT32" s="76">
        <v>0</v>
      </c>
      <c r="GU32" s="76">
        <v>393</v>
      </c>
      <c r="GV32" s="76">
        <v>0</v>
      </c>
      <c r="GW32" s="76">
        <v>148</v>
      </c>
      <c r="GX32" s="76">
        <v>4327</v>
      </c>
      <c r="GY32" s="76">
        <v>317</v>
      </c>
      <c r="GZ32" s="76">
        <v>179</v>
      </c>
      <c r="HA32" s="76">
        <v>0</v>
      </c>
      <c r="HB32" s="76">
        <v>0</v>
      </c>
      <c r="HC32" s="76">
        <v>496</v>
      </c>
      <c r="HD32" s="76">
        <v>0</v>
      </c>
      <c r="HE32" s="76">
        <v>0</v>
      </c>
      <c r="HF32" s="76">
        <v>0</v>
      </c>
      <c r="HG32" s="76">
        <v>6387</v>
      </c>
      <c r="HH32" s="76">
        <v>66</v>
      </c>
      <c r="HI32" s="76">
        <v>0</v>
      </c>
      <c r="HJ32" s="76">
        <v>0</v>
      </c>
      <c r="HK32" s="76">
        <v>0</v>
      </c>
      <c r="HL32" s="76">
        <v>-362</v>
      </c>
      <c r="HM32" s="76">
        <v>6091</v>
      </c>
      <c r="HN32" s="76">
        <v>1458</v>
      </c>
      <c r="HO32" s="76">
        <v>4717</v>
      </c>
      <c r="HP32" s="76">
        <v>0</v>
      </c>
      <c r="HQ32" s="76">
        <v>8</v>
      </c>
      <c r="HR32" s="76">
        <v>-12</v>
      </c>
      <c r="HS32" s="76">
        <v>-27</v>
      </c>
      <c r="HT32" s="76">
        <v>4915</v>
      </c>
      <c r="HU32" s="76">
        <v>0</v>
      </c>
      <c r="HV32" s="76">
        <v>0</v>
      </c>
      <c r="HW32" s="76">
        <v>-4</v>
      </c>
      <c r="HX32" s="76">
        <v>15</v>
      </c>
    </row>
    <row r="33" spans="1:232" x14ac:dyDescent="0.2">
      <c r="A33" s="74" t="s">
        <v>274</v>
      </c>
      <c r="B33" s="74" t="s">
        <v>275</v>
      </c>
      <c r="C33" s="75" t="s">
        <v>868</v>
      </c>
      <c r="D33" s="75">
        <v>12</v>
      </c>
      <c r="E33" s="76">
        <v>167241</v>
      </c>
      <c r="F33" s="76">
        <v>-11442</v>
      </c>
      <c r="G33" s="76">
        <v>-88824</v>
      </c>
      <c r="H33" s="76">
        <v>66975</v>
      </c>
      <c r="I33" s="76">
        <v>8194</v>
      </c>
      <c r="J33" s="76">
        <v>0</v>
      </c>
      <c r="K33" s="76">
        <v>-40</v>
      </c>
      <c r="L33" s="76">
        <v>0</v>
      </c>
      <c r="M33" s="76">
        <v>512</v>
      </c>
      <c r="N33" s="76">
        <v>-26381</v>
      </c>
      <c r="O33" s="76">
        <v>947</v>
      </c>
      <c r="P33" s="76">
        <v>-446</v>
      </c>
      <c r="Q33" s="76">
        <v>0</v>
      </c>
      <c r="R33" s="76">
        <v>0</v>
      </c>
      <c r="S33" s="76">
        <v>49761</v>
      </c>
      <c r="T33" s="76">
        <v>-97</v>
      </c>
      <c r="U33" s="76">
        <v>49664</v>
      </c>
      <c r="V33" s="76">
        <v>0</v>
      </c>
      <c r="W33" s="76">
        <v>-380</v>
      </c>
      <c r="X33" s="76">
        <v>0</v>
      </c>
      <c r="Y33" s="76">
        <v>0</v>
      </c>
      <c r="Z33" s="76">
        <v>49284</v>
      </c>
      <c r="AA33" s="76">
        <v>130343</v>
      </c>
      <c r="AB33" s="76">
        <v>8757</v>
      </c>
      <c r="AC33" s="76">
        <v>139100</v>
      </c>
      <c r="AD33" s="76">
        <v>4820</v>
      </c>
      <c r="AE33" s="76">
        <v>0</v>
      </c>
      <c r="AF33" s="76">
        <v>0</v>
      </c>
      <c r="AG33" s="76">
        <v>89</v>
      </c>
      <c r="AH33" s="76">
        <v>144009</v>
      </c>
      <c r="AI33" s="76">
        <v>20471</v>
      </c>
      <c r="AJ33" s="76">
        <v>10505</v>
      </c>
      <c r="AK33" s="76">
        <v>17442</v>
      </c>
      <c r="AL33" s="76">
        <v>2388</v>
      </c>
      <c r="AM33" s="76">
        <v>6058</v>
      </c>
      <c r="AN33" s="76">
        <v>509</v>
      </c>
      <c r="AO33" s="76">
        <v>21371</v>
      </c>
      <c r="AP33" s="76">
        <v>0</v>
      </c>
      <c r="AQ33" s="76">
        <v>108</v>
      </c>
      <c r="AR33" s="76">
        <v>78852</v>
      </c>
      <c r="AS33" s="76">
        <v>65157</v>
      </c>
      <c r="AT33" s="76">
        <v>1055</v>
      </c>
      <c r="AU33" s="76">
        <v>1645599</v>
      </c>
      <c r="AV33" s="76">
        <v>0</v>
      </c>
      <c r="AW33" s="76">
        <v>11855</v>
      </c>
      <c r="AX33" s="76">
        <v>92</v>
      </c>
      <c r="AY33" s="76">
        <v>1402</v>
      </c>
      <c r="AZ33" s="76">
        <v>9106</v>
      </c>
      <c r="BA33" s="76">
        <v>0</v>
      </c>
      <c r="BB33" s="76">
        <v>0</v>
      </c>
      <c r="BC33" s="76">
        <v>0</v>
      </c>
      <c r="BD33" s="76">
        <v>0</v>
      </c>
      <c r="BE33" s="76">
        <v>1668054</v>
      </c>
      <c r="BF33" s="76">
        <v>16429</v>
      </c>
      <c r="BG33" s="76">
        <v>3464</v>
      </c>
      <c r="BH33" s="76">
        <v>19974</v>
      </c>
      <c r="BI33" s="76">
        <v>15570</v>
      </c>
      <c r="BJ33" s="76">
        <v>11119</v>
      </c>
      <c r="BK33" s="76">
        <v>66556</v>
      </c>
      <c r="BL33" s="76">
        <v>9941</v>
      </c>
      <c r="BM33" s="76">
        <v>0</v>
      </c>
      <c r="BN33" s="76">
        <v>4932</v>
      </c>
      <c r="BO33" s="76">
        <v>35245</v>
      </c>
      <c r="BP33" s="76">
        <v>50118</v>
      </c>
      <c r="BQ33" s="76">
        <v>16438</v>
      </c>
      <c r="BR33" s="76">
        <v>1684492</v>
      </c>
      <c r="BS33" s="76">
        <v>552635</v>
      </c>
      <c r="BT33" s="76">
        <v>0</v>
      </c>
      <c r="BU33" s="76">
        <v>0</v>
      </c>
      <c r="BV33" s="76">
        <v>435454</v>
      </c>
      <c r="BW33" s="76">
        <v>0</v>
      </c>
      <c r="BX33" s="76">
        <v>27182</v>
      </c>
      <c r="BY33" s="76">
        <v>24679</v>
      </c>
      <c r="BZ33" s="76">
        <v>1039950</v>
      </c>
      <c r="CA33" s="76">
        <v>10294</v>
      </c>
      <c r="CB33" s="76">
        <v>0</v>
      </c>
      <c r="CC33" s="76">
        <v>634248</v>
      </c>
      <c r="CD33" s="76">
        <v>550180</v>
      </c>
      <c r="CE33" s="76">
        <v>84068</v>
      </c>
      <c r="CF33" s="76">
        <v>0</v>
      </c>
      <c r="CG33" s="76">
        <v>0</v>
      </c>
      <c r="CH33" s="76">
        <v>0</v>
      </c>
      <c r="CI33" s="76">
        <v>634248</v>
      </c>
      <c r="CJ33" s="76">
        <v>15815</v>
      </c>
      <c r="CK33" s="76">
        <v>11289</v>
      </c>
      <c r="CL33" s="76">
        <v>1137</v>
      </c>
      <c r="CM33" s="76">
        <v>3389</v>
      </c>
      <c r="CN33" s="76">
        <v>3891</v>
      </c>
      <c r="CO33" s="76">
        <v>0</v>
      </c>
      <c r="CP33" s="76">
        <v>3719</v>
      </c>
      <c r="CQ33" s="76">
        <v>172</v>
      </c>
      <c r="CR33" s="76">
        <v>0</v>
      </c>
      <c r="CS33" s="76">
        <v>0</v>
      </c>
      <c r="CT33" s="76">
        <v>0</v>
      </c>
      <c r="CU33" s="76">
        <v>0</v>
      </c>
      <c r="CV33" s="76">
        <v>0</v>
      </c>
      <c r="CW33" s="76">
        <v>0</v>
      </c>
      <c r="CX33" s="76">
        <v>0</v>
      </c>
      <c r="CY33" s="76">
        <v>0</v>
      </c>
      <c r="CZ33" s="76">
        <v>2172</v>
      </c>
      <c r="DA33" s="76">
        <v>0</v>
      </c>
      <c r="DB33" s="76">
        <v>4577</v>
      </c>
      <c r="DC33" s="76">
        <v>-2405</v>
      </c>
      <c r="DD33" s="76">
        <v>21878</v>
      </c>
      <c r="DE33" s="76">
        <v>11289</v>
      </c>
      <c r="DF33" s="76">
        <v>9433</v>
      </c>
      <c r="DG33" s="76">
        <v>1156</v>
      </c>
      <c r="DH33" s="76">
        <v>0</v>
      </c>
      <c r="DI33" s="76">
        <v>0</v>
      </c>
      <c r="DJ33" s="76">
        <v>0</v>
      </c>
      <c r="DK33" s="76">
        <v>0</v>
      </c>
      <c r="DL33" s="76">
        <v>0</v>
      </c>
      <c r="DM33" s="76">
        <v>0</v>
      </c>
      <c r="DN33" s="76">
        <v>0</v>
      </c>
      <c r="DO33" s="76">
        <v>0</v>
      </c>
      <c r="DP33" s="76">
        <v>0</v>
      </c>
      <c r="DQ33" s="76">
        <v>0</v>
      </c>
      <c r="DR33" s="76">
        <v>0</v>
      </c>
      <c r="DS33" s="76">
        <v>0</v>
      </c>
      <c r="DT33" s="76">
        <v>585</v>
      </c>
      <c r="DU33" s="76">
        <v>0</v>
      </c>
      <c r="DV33" s="76">
        <v>73</v>
      </c>
      <c r="DW33" s="76">
        <v>512</v>
      </c>
      <c r="DX33" s="76">
        <v>0</v>
      </c>
      <c r="DY33" s="76">
        <v>0</v>
      </c>
      <c r="DZ33" s="76">
        <v>0</v>
      </c>
      <c r="EA33" s="76">
        <v>0</v>
      </c>
      <c r="EB33" s="76">
        <v>769</v>
      </c>
      <c r="EC33" s="76">
        <v>153</v>
      </c>
      <c r="ED33" s="76">
        <v>466</v>
      </c>
      <c r="EE33" s="76">
        <v>150</v>
      </c>
      <c r="EF33" s="76">
        <v>1354</v>
      </c>
      <c r="EG33" s="76">
        <v>153</v>
      </c>
      <c r="EH33" s="76">
        <v>539</v>
      </c>
      <c r="EI33" s="76">
        <v>662</v>
      </c>
      <c r="EJ33" s="76">
        <v>23232</v>
      </c>
      <c r="EK33" s="76">
        <v>11442</v>
      </c>
      <c r="EL33" s="76">
        <v>9972</v>
      </c>
      <c r="EM33" s="76">
        <v>1818</v>
      </c>
      <c r="EN33" s="76">
        <v>3603</v>
      </c>
      <c r="EO33" s="76">
        <v>1034</v>
      </c>
      <c r="EP33" s="76">
        <v>536</v>
      </c>
      <c r="EQ33" s="76">
        <v>1027</v>
      </c>
      <c r="ER33" s="76">
        <v>1809336</v>
      </c>
      <c r="ES33" s="76">
        <v>0</v>
      </c>
      <c r="ET33" s="76">
        <v>1809336</v>
      </c>
      <c r="EU33" s="76">
        <v>84960</v>
      </c>
      <c r="EV33" s="76">
        <v>-16813</v>
      </c>
      <c r="EW33" s="76">
        <v>0</v>
      </c>
      <c r="EX33" s="76">
        <v>0</v>
      </c>
      <c r="EY33" s="76">
        <v>1430</v>
      </c>
      <c r="EZ33" s="76">
        <v>1878913</v>
      </c>
      <c r="FA33" s="76">
        <v>219850</v>
      </c>
      <c r="FB33" s="76">
        <v>21487</v>
      </c>
      <c r="FC33" s="76">
        <v>0</v>
      </c>
      <c r="FD33" s="76">
        <v>0</v>
      </c>
      <c r="FE33" s="76">
        <v>-8023</v>
      </c>
      <c r="FF33" s="76">
        <v>0</v>
      </c>
      <c r="FG33" s="76">
        <v>0</v>
      </c>
      <c r="FH33" s="76">
        <v>233314</v>
      </c>
      <c r="FI33" s="76">
        <v>1645599</v>
      </c>
      <c r="FJ33" s="76">
        <v>1589486</v>
      </c>
      <c r="FK33" s="76">
        <v>9801</v>
      </c>
      <c r="FL33" s="76">
        <v>6002</v>
      </c>
      <c r="FM33" s="76">
        <v>3799</v>
      </c>
      <c r="FN33" s="76">
        <v>766</v>
      </c>
      <c r="FO33" s="76">
        <v>766</v>
      </c>
      <c r="FP33" s="76">
        <v>0</v>
      </c>
      <c r="FQ33" s="76">
        <v>0</v>
      </c>
      <c r="FR33" s="76">
        <v>0</v>
      </c>
      <c r="FS33" s="76">
        <v>0</v>
      </c>
      <c r="FT33" s="76">
        <v>8258</v>
      </c>
      <c r="FU33" s="76">
        <v>3383</v>
      </c>
      <c r="FV33" s="76">
        <v>4875</v>
      </c>
      <c r="FW33" s="76">
        <v>0</v>
      </c>
      <c r="FX33" s="76">
        <v>0</v>
      </c>
      <c r="FY33" s="76">
        <v>0</v>
      </c>
      <c r="FZ33" s="76">
        <v>1202</v>
      </c>
      <c r="GA33" s="76">
        <v>1682</v>
      </c>
      <c r="GB33" s="76">
        <v>-480</v>
      </c>
      <c r="GC33" s="76">
        <v>20027</v>
      </c>
      <c r="GD33" s="76">
        <v>11833</v>
      </c>
      <c r="GE33" s="76">
        <v>8194</v>
      </c>
      <c r="GF33" s="76">
        <v>0</v>
      </c>
      <c r="GG33" s="76">
        <v>0</v>
      </c>
      <c r="GH33" s="76">
        <v>0</v>
      </c>
      <c r="GI33" s="76">
        <v>0</v>
      </c>
      <c r="GJ33" s="76">
        <v>0</v>
      </c>
      <c r="GK33" s="76">
        <v>11119</v>
      </c>
      <c r="GL33" s="76">
        <v>11119</v>
      </c>
      <c r="GM33" s="76">
        <v>3191</v>
      </c>
      <c r="GN33" s="76">
        <v>4293</v>
      </c>
      <c r="GO33" s="76">
        <v>0</v>
      </c>
      <c r="GP33" s="76">
        <v>4381</v>
      </c>
      <c r="GQ33" s="76">
        <v>0</v>
      </c>
      <c r="GR33" s="76">
        <v>14815</v>
      </c>
      <c r="GS33" s="76">
        <v>0</v>
      </c>
      <c r="GT33" s="76">
        <v>0</v>
      </c>
      <c r="GU33" s="76">
        <v>0</v>
      </c>
      <c r="GV33" s="76">
        <v>0</v>
      </c>
      <c r="GW33" s="76">
        <v>8565</v>
      </c>
      <c r="GX33" s="76">
        <v>35245</v>
      </c>
      <c r="GY33" s="76">
        <v>4259</v>
      </c>
      <c r="GZ33" s="76">
        <v>0</v>
      </c>
      <c r="HA33" s="76">
        <v>0</v>
      </c>
      <c r="HB33" s="76">
        <v>20420</v>
      </c>
      <c r="HC33" s="76">
        <v>24679</v>
      </c>
      <c r="HD33" s="76">
        <v>0</v>
      </c>
      <c r="HE33" s="76">
        <v>0</v>
      </c>
      <c r="HF33" s="76">
        <v>0</v>
      </c>
      <c r="HG33" s="76">
        <v>26585</v>
      </c>
      <c r="HH33" s="76">
        <v>128</v>
      </c>
      <c r="HI33" s="76">
        <v>281</v>
      </c>
      <c r="HJ33" s="76">
        <v>0</v>
      </c>
      <c r="HK33" s="76">
        <v>700</v>
      </c>
      <c r="HL33" s="76">
        <v>-1313</v>
      </c>
      <c r="HM33" s="76">
        <v>26381</v>
      </c>
      <c r="HN33" s="76">
        <v>17302</v>
      </c>
      <c r="HO33" s="76">
        <v>22608</v>
      </c>
      <c r="HP33" s="76">
        <v>0</v>
      </c>
      <c r="HQ33" s="76">
        <v>595</v>
      </c>
      <c r="HR33" s="76">
        <v>-98</v>
      </c>
      <c r="HS33" s="76">
        <v>-113</v>
      </c>
      <c r="HT33" s="76">
        <v>28759</v>
      </c>
      <c r="HU33" s="76">
        <v>8</v>
      </c>
      <c r="HV33" s="76">
        <v>-8</v>
      </c>
      <c r="HW33" s="76">
        <v>16</v>
      </c>
      <c r="HX33" s="76">
        <v>751</v>
      </c>
    </row>
    <row r="34" spans="1:232" x14ac:dyDescent="0.2">
      <c r="A34" s="74" t="s">
        <v>32</v>
      </c>
      <c r="B34" s="74" t="s">
        <v>31</v>
      </c>
      <c r="C34" s="75" t="s">
        <v>200</v>
      </c>
      <c r="D34" s="75">
        <v>12</v>
      </c>
      <c r="E34" s="76">
        <v>21782</v>
      </c>
      <c r="F34" s="76">
        <v>-2053</v>
      </c>
      <c r="G34" s="76">
        <v>-12119</v>
      </c>
      <c r="H34" s="76">
        <v>7610</v>
      </c>
      <c r="I34" s="76">
        <v>970</v>
      </c>
      <c r="J34" s="76">
        <v>0</v>
      </c>
      <c r="K34" s="76">
        <v>0</v>
      </c>
      <c r="L34" s="76">
        <v>0</v>
      </c>
      <c r="M34" s="76">
        <v>45</v>
      </c>
      <c r="N34" s="76">
        <v>-3101</v>
      </c>
      <c r="O34" s="76">
        <v>0</v>
      </c>
      <c r="P34" s="76">
        <v>0</v>
      </c>
      <c r="Q34" s="76">
        <v>0</v>
      </c>
      <c r="R34" s="76">
        <v>0</v>
      </c>
      <c r="S34" s="76">
        <v>5524</v>
      </c>
      <c r="T34" s="76">
        <v>0</v>
      </c>
      <c r="U34" s="76">
        <v>5524</v>
      </c>
      <c r="V34" s="76">
        <v>0</v>
      </c>
      <c r="W34" s="76">
        <v>-880</v>
      </c>
      <c r="X34" s="76">
        <v>0</v>
      </c>
      <c r="Y34" s="76">
        <v>0</v>
      </c>
      <c r="Z34" s="76">
        <v>4644</v>
      </c>
      <c r="AA34" s="76">
        <v>16313</v>
      </c>
      <c r="AB34" s="76">
        <v>1343</v>
      </c>
      <c r="AC34" s="76">
        <v>17656</v>
      </c>
      <c r="AD34" s="76">
        <v>185</v>
      </c>
      <c r="AE34" s="76">
        <v>0</v>
      </c>
      <c r="AF34" s="76">
        <v>0</v>
      </c>
      <c r="AG34" s="76">
        <v>22</v>
      </c>
      <c r="AH34" s="76">
        <v>17863</v>
      </c>
      <c r="AI34" s="76">
        <v>4333</v>
      </c>
      <c r="AJ34" s="76">
        <v>1326</v>
      </c>
      <c r="AK34" s="76">
        <v>1972</v>
      </c>
      <c r="AL34" s="76">
        <v>789</v>
      </c>
      <c r="AM34" s="76">
        <v>0</v>
      </c>
      <c r="AN34" s="76">
        <v>153</v>
      </c>
      <c r="AO34" s="76">
        <v>3071</v>
      </c>
      <c r="AP34" s="76">
        <v>0</v>
      </c>
      <c r="AQ34" s="76">
        <v>28</v>
      </c>
      <c r="AR34" s="76">
        <v>11672</v>
      </c>
      <c r="AS34" s="76">
        <v>6191</v>
      </c>
      <c r="AT34" s="76">
        <v>114</v>
      </c>
      <c r="AU34" s="76">
        <v>110283</v>
      </c>
      <c r="AV34" s="76">
        <v>0</v>
      </c>
      <c r="AW34" s="76">
        <v>1889</v>
      </c>
      <c r="AX34" s="76">
        <v>709</v>
      </c>
      <c r="AY34" s="76">
        <v>0</v>
      </c>
      <c r="AZ34" s="76">
        <v>5067</v>
      </c>
      <c r="BA34" s="76">
        <v>0</v>
      </c>
      <c r="BB34" s="76">
        <v>0</v>
      </c>
      <c r="BC34" s="76">
        <v>0</v>
      </c>
      <c r="BD34" s="76">
        <v>0</v>
      </c>
      <c r="BE34" s="76">
        <v>117948</v>
      </c>
      <c r="BF34" s="76">
        <v>979</v>
      </c>
      <c r="BG34" s="76">
        <v>867</v>
      </c>
      <c r="BH34" s="76">
        <v>5917</v>
      </c>
      <c r="BI34" s="76">
        <v>0</v>
      </c>
      <c r="BJ34" s="76">
        <v>54</v>
      </c>
      <c r="BK34" s="76">
        <v>7817</v>
      </c>
      <c r="BL34" s="76">
        <v>0</v>
      </c>
      <c r="BM34" s="76">
        <v>0</v>
      </c>
      <c r="BN34" s="76">
        <v>180</v>
      </c>
      <c r="BO34" s="76">
        <v>2751</v>
      </c>
      <c r="BP34" s="76">
        <v>2931</v>
      </c>
      <c r="BQ34" s="76">
        <v>4886</v>
      </c>
      <c r="BR34" s="76">
        <v>122834</v>
      </c>
      <c r="BS34" s="76">
        <v>62569</v>
      </c>
      <c r="BT34" s="76">
        <v>0</v>
      </c>
      <c r="BU34" s="76">
        <v>0</v>
      </c>
      <c r="BV34" s="76">
        <v>17799</v>
      </c>
      <c r="BW34" s="76">
        <v>0</v>
      </c>
      <c r="BX34" s="76">
        <v>0</v>
      </c>
      <c r="BY34" s="76">
        <v>223</v>
      </c>
      <c r="BZ34" s="76">
        <v>80591</v>
      </c>
      <c r="CA34" s="76">
        <v>5729</v>
      </c>
      <c r="CB34" s="76">
        <v>0</v>
      </c>
      <c r="CC34" s="76">
        <v>36514</v>
      </c>
      <c r="CD34" s="76">
        <v>36514</v>
      </c>
      <c r="CE34" s="76">
        <v>0</v>
      </c>
      <c r="CF34" s="76">
        <v>0</v>
      </c>
      <c r="CG34" s="76">
        <v>0</v>
      </c>
      <c r="CH34" s="76">
        <v>0</v>
      </c>
      <c r="CI34" s="76">
        <v>36514</v>
      </c>
      <c r="CJ34" s="76">
        <v>2972</v>
      </c>
      <c r="CK34" s="76">
        <v>2053</v>
      </c>
      <c r="CL34" s="76">
        <v>29</v>
      </c>
      <c r="CM34" s="76">
        <v>890</v>
      </c>
      <c r="CN34" s="76">
        <v>0</v>
      </c>
      <c r="CO34" s="76">
        <v>0</v>
      </c>
      <c r="CP34" s="76">
        <v>0</v>
      </c>
      <c r="CQ34" s="76">
        <v>0</v>
      </c>
      <c r="CR34" s="76">
        <v>0</v>
      </c>
      <c r="CS34" s="76">
        <v>0</v>
      </c>
      <c r="CT34" s="76">
        <v>0</v>
      </c>
      <c r="CU34" s="76">
        <v>0</v>
      </c>
      <c r="CV34" s="76">
        <v>0</v>
      </c>
      <c r="CW34" s="76">
        <v>0</v>
      </c>
      <c r="CX34" s="76">
        <v>0</v>
      </c>
      <c r="CY34" s="76">
        <v>0</v>
      </c>
      <c r="CZ34" s="76">
        <v>486</v>
      </c>
      <c r="DA34" s="76">
        <v>0</v>
      </c>
      <c r="DB34" s="76">
        <v>382</v>
      </c>
      <c r="DC34" s="76">
        <v>104</v>
      </c>
      <c r="DD34" s="76">
        <v>3458</v>
      </c>
      <c r="DE34" s="76">
        <v>2053</v>
      </c>
      <c r="DF34" s="76">
        <v>411</v>
      </c>
      <c r="DG34" s="76">
        <v>994</v>
      </c>
      <c r="DH34" s="76">
        <v>0</v>
      </c>
      <c r="DI34" s="76">
        <v>0</v>
      </c>
      <c r="DJ34" s="76">
        <v>0</v>
      </c>
      <c r="DK34" s="76">
        <v>0</v>
      </c>
      <c r="DL34" s="76">
        <v>0</v>
      </c>
      <c r="DM34" s="76">
        <v>0</v>
      </c>
      <c r="DN34" s="76">
        <v>0</v>
      </c>
      <c r="DO34" s="76">
        <v>0</v>
      </c>
      <c r="DP34" s="76">
        <v>0</v>
      </c>
      <c r="DQ34" s="76">
        <v>0</v>
      </c>
      <c r="DR34" s="76">
        <v>0</v>
      </c>
      <c r="DS34" s="76">
        <v>0</v>
      </c>
      <c r="DT34" s="76">
        <v>0</v>
      </c>
      <c r="DU34" s="76">
        <v>0</v>
      </c>
      <c r="DV34" s="76">
        <v>0</v>
      </c>
      <c r="DW34" s="76">
        <v>0</v>
      </c>
      <c r="DX34" s="76">
        <v>0</v>
      </c>
      <c r="DY34" s="76">
        <v>0</v>
      </c>
      <c r="DZ34" s="76">
        <v>0</v>
      </c>
      <c r="EA34" s="76">
        <v>0</v>
      </c>
      <c r="EB34" s="76">
        <v>461</v>
      </c>
      <c r="EC34" s="76">
        <v>0</v>
      </c>
      <c r="ED34" s="76">
        <v>36</v>
      </c>
      <c r="EE34" s="76">
        <v>425</v>
      </c>
      <c r="EF34" s="76">
        <v>461</v>
      </c>
      <c r="EG34" s="76">
        <v>0</v>
      </c>
      <c r="EH34" s="76">
        <v>36</v>
      </c>
      <c r="EI34" s="76">
        <v>425</v>
      </c>
      <c r="EJ34" s="76">
        <v>3919</v>
      </c>
      <c r="EK34" s="76">
        <v>2053</v>
      </c>
      <c r="EL34" s="76">
        <v>447</v>
      </c>
      <c r="EM34" s="76">
        <v>1419</v>
      </c>
      <c r="EN34" s="76">
        <v>349</v>
      </c>
      <c r="EO34" s="76">
        <v>73</v>
      </c>
      <c r="EP34" s="76">
        <v>151</v>
      </c>
      <c r="EQ34" s="76">
        <v>73</v>
      </c>
      <c r="ER34" s="76">
        <v>126243</v>
      </c>
      <c r="ES34" s="76">
        <v>0</v>
      </c>
      <c r="ET34" s="76">
        <v>126243</v>
      </c>
      <c r="EU34" s="76">
        <v>7900</v>
      </c>
      <c r="EV34" s="76">
        <v>-249</v>
      </c>
      <c r="EW34" s="76">
        <v>0</v>
      </c>
      <c r="EX34" s="76">
        <v>0</v>
      </c>
      <c r="EY34" s="76">
        <v>0</v>
      </c>
      <c r="EZ34" s="76">
        <v>133894</v>
      </c>
      <c r="FA34" s="76">
        <v>20581</v>
      </c>
      <c r="FB34" s="76">
        <v>3071</v>
      </c>
      <c r="FC34" s="76">
        <v>0</v>
      </c>
      <c r="FD34" s="76">
        <v>0</v>
      </c>
      <c r="FE34" s="76">
        <v>-41</v>
      </c>
      <c r="FF34" s="76">
        <v>0</v>
      </c>
      <c r="FG34" s="76">
        <v>0</v>
      </c>
      <c r="FH34" s="76">
        <v>23611</v>
      </c>
      <c r="FI34" s="76">
        <v>110283</v>
      </c>
      <c r="FJ34" s="76">
        <v>105662</v>
      </c>
      <c r="FK34" s="76">
        <v>98</v>
      </c>
      <c r="FL34" s="76">
        <v>95</v>
      </c>
      <c r="FM34" s="76">
        <v>3</v>
      </c>
      <c r="FN34" s="76">
        <v>473</v>
      </c>
      <c r="FO34" s="76">
        <v>121</v>
      </c>
      <c r="FP34" s="76">
        <v>352</v>
      </c>
      <c r="FQ34" s="76">
        <v>0</v>
      </c>
      <c r="FR34" s="76">
        <v>0</v>
      </c>
      <c r="FS34" s="76">
        <v>0</v>
      </c>
      <c r="FT34" s="76">
        <v>665</v>
      </c>
      <c r="FU34" s="76">
        <v>50</v>
      </c>
      <c r="FV34" s="76">
        <v>615</v>
      </c>
      <c r="FW34" s="76">
        <v>0</v>
      </c>
      <c r="FX34" s="76">
        <v>0</v>
      </c>
      <c r="FY34" s="76">
        <v>0</v>
      </c>
      <c r="FZ34" s="76">
        <v>0</v>
      </c>
      <c r="GA34" s="76">
        <v>0</v>
      </c>
      <c r="GB34" s="76">
        <v>0</v>
      </c>
      <c r="GC34" s="76">
        <v>1236</v>
      </c>
      <c r="GD34" s="76">
        <v>266</v>
      </c>
      <c r="GE34" s="76">
        <v>970</v>
      </c>
      <c r="GF34" s="76">
        <v>0</v>
      </c>
      <c r="GG34" s="76">
        <v>0</v>
      </c>
      <c r="GH34" s="76">
        <v>0</v>
      </c>
      <c r="GI34" s="76">
        <v>0</v>
      </c>
      <c r="GJ34" s="76">
        <v>0</v>
      </c>
      <c r="GK34" s="76">
        <v>54</v>
      </c>
      <c r="GL34" s="76">
        <v>54</v>
      </c>
      <c r="GM34" s="76">
        <v>340</v>
      </c>
      <c r="GN34" s="76">
        <v>227</v>
      </c>
      <c r="GO34" s="76">
        <v>0</v>
      </c>
      <c r="GP34" s="76">
        <v>0</v>
      </c>
      <c r="GQ34" s="76">
        <v>0</v>
      </c>
      <c r="GR34" s="76">
        <v>1717</v>
      </c>
      <c r="GS34" s="76">
        <v>0</v>
      </c>
      <c r="GT34" s="76">
        <v>0</v>
      </c>
      <c r="GU34" s="76">
        <v>38</v>
      </c>
      <c r="GV34" s="76">
        <v>0</v>
      </c>
      <c r="GW34" s="76">
        <v>429</v>
      </c>
      <c r="GX34" s="76">
        <v>2751</v>
      </c>
      <c r="GY34" s="76">
        <v>0</v>
      </c>
      <c r="GZ34" s="76">
        <v>0</v>
      </c>
      <c r="HA34" s="76">
        <v>223</v>
      </c>
      <c r="HB34" s="76">
        <v>0</v>
      </c>
      <c r="HC34" s="76">
        <v>223</v>
      </c>
      <c r="HD34" s="76">
        <v>0</v>
      </c>
      <c r="HE34" s="76">
        <v>0</v>
      </c>
      <c r="HF34" s="76">
        <v>0</v>
      </c>
      <c r="HG34" s="76">
        <v>2889</v>
      </c>
      <c r="HH34" s="76">
        <v>55</v>
      </c>
      <c r="HI34" s="76">
        <v>157</v>
      </c>
      <c r="HJ34" s="76">
        <v>0</v>
      </c>
      <c r="HK34" s="76">
        <v>0</v>
      </c>
      <c r="HL34" s="76">
        <v>0</v>
      </c>
      <c r="HM34" s="76">
        <v>3101</v>
      </c>
      <c r="HN34" s="76">
        <v>2347</v>
      </c>
      <c r="HO34" s="76">
        <v>3343</v>
      </c>
      <c r="HP34" s="76">
        <v>0</v>
      </c>
      <c r="HQ34" s="76">
        <v>102</v>
      </c>
      <c r="HR34" s="76">
        <v>-8</v>
      </c>
      <c r="HS34" s="76">
        <v>-2</v>
      </c>
      <c r="HT34" s="76">
        <v>3846</v>
      </c>
      <c r="HU34" s="76">
        <v>46</v>
      </c>
      <c r="HV34" s="76">
        <v>0</v>
      </c>
      <c r="HW34" s="76">
        <v>0</v>
      </c>
      <c r="HX34" s="76">
        <v>81</v>
      </c>
    </row>
    <row r="35" spans="1:232" x14ac:dyDescent="0.2">
      <c r="A35" s="74" t="s">
        <v>276</v>
      </c>
      <c r="B35" s="74" t="s">
        <v>277</v>
      </c>
      <c r="C35" s="75" t="s">
        <v>200</v>
      </c>
      <c r="D35" s="75">
        <v>12</v>
      </c>
      <c r="E35" s="76">
        <v>32995</v>
      </c>
      <c r="F35" s="76">
        <v>-1108</v>
      </c>
      <c r="G35" s="76">
        <v>-29149</v>
      </c>
      <c r="H35" s="76">
        <v>2738</v>
      </c>
      <c r="I35" s="76">
        <v>0</v>
      </c>
      <c r="J35" s="76">
        <v>0</v>
      </c>
      <c r="K35" s="76">
        <v>-125</v>
      </c>
      <c r="L35" s="76">
        <v>0</v>
      </c>
      <c r="M35" s="76">
        <v>17</v>
      </c>
      <c r="N35" s="76">
        <v>-724</v>
      </c>
      <c r="O35" s="76">
        <v>0</v>
      </c>
      <c r="P35" s="76">
        <v>0</v>
      </c>
      <c r="Q35" s="76">
        <v>0</v>
      </c>
      <c r="R35" s="76">
        <v>0</v>
      </c>
      <c r="S35" s="76">
        <v>1906</v>
      </c>
      <c r="T35" s="76">
        <v>0</v>
      </c>
      <c r="U35" s="76">
        <v>1906</v>
      </c>
      <c r="V35" s="76">
        <v>0</v>
      </c>
      <c r="W35" s="76">
        <v>0</v>
      </c>
      <c r="X35" s="76">
        <v>0</v>
      </c>
      <c r="Y35" s="76">
        <v>0</v>
      </c>
      <c r="Z35" s="76">
        <v>1906</v>
      </c>
      <c r="AA35" s="76">
        <v>5981</v>
      </c>
      <c r="AB35" s="76">
        <v>1125</v>
      </c>
      <c r="AC35" s="76">
        <v>7106</v>
      </c>
      <c r="AD35" s="76">
        <v>289</v>
      </c>
      <c r="AE35" s="76">
        <v>0</v>
      </c>
      <c r="AF35" s="76">
        <v>0</v>
      </c>
      <c r="AG35" s="76">
        <v>28</v>
      </c>
      <c r="AH35" s="76">
        <v>7423</v>
      </c>
      <c r="AI35" s="76">
        <v>846</v>
      </c>
      <c r="AJ35" s="76">
        <v>2057</v>
      </c>
      <c r="AK35" s="76">
        <v>1014</v>
      </c>
      <c r="AL35" s="76">
        <v>76</v>
      </c>
      <c r="AM35" s="76">
        <v>59</v>
      </c>
      <c r="AN35" s="76">
        <v>24</v>
      </c>
      <c r="AO35" s="76">
        <v>915</v>
      </c>
      <c r="AP35" s="76">
        <v>0</v>
      </c>
      <c r="AQ35" s="76">
        <v>646</v>
      </c>
      <c r="AR35" s="76">
        <v>5637</v>
      </c>
      <c r="AS35" s="76">
        <v>1786</v>
      </c>
      <c r="AT35" s="76">
        <v>160</v>
      </c>
      <c r="AU35" s="76">
        <v>52128</v>
      </c>
      <c r="AV35" s="76">
        <v>0</v>
      </c>
      <c r="AW35" s="76">
        <v>1951</v>
      </c>
      <c r="AX35" s="76">
        <v>0</v>
      </c>
      <c r="AY35" s="76">
        <v>0</v>
      </c>
      <c r="AZ35" s="76">
        <v>0</v>
      </c>
      <c r="BA35" s="76">
        <v>0</v>
      </c>
      <c r="BB35" s="76">
        <v>0</v>
      </c>
      <c r="BC35" s="76">
        <v>0</v>
      </c>
      <c r="BD35" s="76">
        <v>0</v>
      </c>
      <c r="BE35" s="76">
        <v>54079</v>
      </c>
      <c r="BF35" s="76">
        <v>329</v>
      </c>
      <c r="BG35" s="76">
        <v>2283</v>
      </c>
      <c r="BH35" s="76">
        <v>7113</v>
      </c>
      <c r="BI35" s="76">
        <v>0</v>
      </c>
      <c r="BJ35" s="76">
        <v>91</v>
      </c>
      <c r="BK35" s="76">
        <v>9816</v>
      </c>
      <c r="BL35" s="76">
        <v>686</v>
      </c>
      <c r="BM35" s="76">
        <v>0</v>
      </c>
      <c r="BN35" s="76">
        <v>289</v>
      </c>
      <c r="BO35" s="76">
        <v>3437</v>
      </c>
      <c r="BP35" s="76">
        <v>4412</v>
      </c>
      <c r="BQ35" s="76">
        <v>5404</v>
      </c>
      <c r="BR35" s="76">
        <v>59483</v>
      </c>
      <c r="BS35" s="76">
        <v>15335</v>
      </c>
      <c r="BT35" s="76">
        <v>0</v>
      </c>
      <c r="BU35" s="76">
        <v>0</v>
      </c>
      <c r="BV35" s="76">
        <v>15943</v>
      </c>
      <c r="BW35" s="76">
        <v>0</v>
      </c>
      <c r="BX35" s="76">
        <v>0</v>
      </c>
      <c r="BY35" s="76">
        <v>4665</v>
      </c>
      <c r="BZ35" s="76">
        <v>35943</v>
      </c>
      <c r="CA35" s="76">
        <v>0</v>
      </c>
      <c r="CB35" s="76">
        <v>0</v>
      </c>
      <c r="CC35" s="76">
        <v>23540</v>
      </c>
      <c r="CD35" s="76">
        <v>13137</v>
      </c>
      <c r="CE35" s="76">
        <v>10403</v>
      </c>
      <c r="CF35" s="76">
        <v>0</v>
      </c>
      <c r="CG35" s="76">
        <v>0</v>
      </c>
      <c r="CH35" s="76">
        <v>0</v>
      </c>
      <c r="CI35" s="76">
        <v>23540</v>
      </c>
      <c r="CJ35" s="76">
        <v>0</v>
      </c>
      <c r="CK35" s="76">
        <v>0</v>
      </c>
      <c r="CL35" s="76">
        <v>0</v>
      </c>
      <c r="CM35" s="76">
        <v>0</v>
      </c>
      <c r="CN35" s="76">
        <v>654</v>
      </c>
      <c r="CO35" s="76">
        <v>0</v>
      </c>
      <c r="CP35" s="76">
        <v>447</v>
      </c>
      <c r="CQ35" s="76">
        <v>207</v>
      </c>
      <c r="CR35" s="76">
        <v>0</v>
      </c>
      <c r="CS35" s="76">
        <v>0</v>
      </c>
      <c r="CT35" s="76">
        <v>0</v>
      </c>
      <c r="CU35" s="76">
        <v>0</v>
      </c>
      <c r="CV35" s="76">
        <v>0</v>
      </c>
      <c r="CW35" s="76">
        <v>0</v>
      </c>
      <c r="CX35" s="76">
        <v>0</v>
      </c>
      <c r="CY35" s="76">
        <v>0</v>
      </c>
      <c r="CZ35" s="76">
        <v>0</v>
      </c>
      <c r="DA35" s="76">
        <v>0</v>
      </c>
      <c r="DB35" s="76">
        <v>0</v>
      </c>
      <c r="DC35" s="76">
        <v>0</v>
      </c>
      <c r="DD35" s="76">
        <v>654</v>
      </c>
      <c r="DE35" s="76">
        <v>0</v>
      </c>
      <c r="DF35" s="76">
        <v>447</v>
      </c>
      <c r="DG35" s="76">
        <v>207</v>
      </c>
      <c r="DH35" s="76">
        <v>0</v>
      </c>
      <c r="DI35" s="76">
        <v>0</v>
      </c>
      <c r="DJ35" s="76">
        <v>0</v>
      </c>
      <c r="DK35" s="76">
        <v>0</v>
      </c>
      <c r="DL35" s="76">
        <v>0</v>
      </c>
      <c r="DM35" s="76">
        <v>0</v>
      </c>
      <c r="DN35" s="76">
        <v>0</v>
      </c>
      <c r="DO35" s="76">
        <v>0</v>
      </c>
      <c r="DP35" s="76">
        <v>14013</v>
      </c>
      <c r="DQ35" s="76">
        <v>0</v>
      </c>
      <c r="DR35" s="76">
        <v>13196</v>
      </c>
      <c r="DS35" s="76">
        <v>817</v>
      </c>
      <c r="DT35" s="76">
        <v>0</v>
      </c>
      <c r="DU35" s="76">
        <v>0</v>
      </c>
      <c r="DV35" s="76">
        <v>0</v>
      </c>
      <c r="DW35" s="76">
        <v>0</v>
      </c>
      <c r="DX35" s="76">
        <v>0</v>
      </c>
      <c r="DY35" s="76">
        <v>0</v>
      </c>
      <c r="DZ35" s="76">
        <v>0</v>
      </c>
      <c r="EA35" s="76">
        <v>0</v>
      </c>
      <c r="EB35" s="76">
        <v>10905</v>
      </c>
      <c r="EC35" s="76">
        <v>1108</v>
      </c>
      <c r="ED35" s="76">
        <v>9869</v>
      </c>
      <c r="EE35" s="76">
        <v>-72</v>
      </c>
      <c r="EF35" s="76">
        <v>24918</v>
      </c>
      <c r="EG35" s="76">
        <v>1108</v>
      </c>
      <c r="EH35" s="76">
        <v>23065</v>
      </c>
      <c r="EI35" s="76">
        <v>745</v>
      </c>
      <c r="EJ35" s="76">
        <v>25572</v>
      </c>
      <c r="EK35" s="76">
        <v>1108</v>
      </c>
      <c r="EL35" s="76">
        <v>23512</v>
      </c>
      <c r="EM35" s="76">
        <v>952</v>
      </c>
      <c r="EN35" s="76">
        <v>137</v>
      </c>
      <c r="EO35" s="76">
        <v>16</v>
      </c>
      <c r="EP35" s="76">
        <v>62</v>
      </c>
      <c r="EQ35" s="76">
        <v>0</v>
      </c>
      <c r="ER35" s="76">
        <v>73150</v>
      </c>
      <c r="ES35" s="76">
        <v>0</v>
      </c>
      <c r="ET35" s="76">
        <v>73150</v>
      </c>
      <c r="EU35" s="76">
        <v>980</v>
      </c>
      <c r="EV35" s="76">
        <v>-277</v>
      </c>
      <c r="EW35" s="76">
        <v>0</v>
      </c>
      <c r="EX35" s="76">
        <v>0</v>
      </c>
      <c r="EY35" s="76">
        <v>0</v>
      </c>
      <c r="EZ35" s="76">
        <v>73853</v>
      </c>
      <c r="FA35" s="76">
        <v>20271</v>
      </c>
      <c r="FB35" s="76">
        <v>1682</v>
      </c>
      <c r="FC35" s="76">
        <v>0</v>
      </c>
      <c r="FD35" s="76">
        <v>0</v>
      </c>
      <c r="FE35" s="76">
        <v>-228</v>
      </c>
      <c r="FF35" s="76">
        <v>0</v>
      </c>
      <c r="FG35" s="76">
        <v>0</v>
      </c>
      <c r="FH35" s="76">
        <v>21725</v>
      </c>
      <c r="FI35" s="76">
        <v>52128</v>
      </c>
      <c r="FJ35" s="76">
        <v>52879</v>
      </c>
      <c r="FK35" s="76">
        <v>0</v>
      </c>
      <c r="FL35" s="76">
        <v>0</v>
      </c>
      <c r="FM35" s="76">
        <v>0</v>
      </c>
      <c r="FN35" s="76">
        <v>0</v>
      </c>
      <c r="FO35" s="76">
        <v>0</v>
      </c>
      <c r="FP35" s="76">
        <v>0</v>
      </c>
      <c r="FQ35" s="76">
        <v>0</v>
      </c>
      <c r="FR35" s="76">
        <v>0</v>
      </c>
      <c r="FS35" s="76">
        <v>0</v>
      </c>
      <c r="FT35" s="76">
        <v>0</v>
      </c>
      <c r="FU35" s="76">
        <v>0</v>
      </c>
      <c r="FV35" s="76">
        <v>0</v>
      </c>
      <c r="FW35" s="76">
        <v>0</v>
      </c>
      <c r="FX35" s="76">
        <v>0</v>
      </c>
      <c r="FY35" s="76">
        <v>0</v>
      </c>
      <c r="FZ35" s="76">
        <v>0</v>
      </c>
      <c r="GA35" s="76">
        <v>0</v>
      </c>
      <c r="GB35" s="76">
        <v>0</v>
      </c>
      <c r="GC35" s="76">
        <v>0</v>
      </c>
      <c r="GD35" s="76">
        <v>0</v>
      </c>
      <c r="GE35" s="76">
        <v>0</v>
      </c>
      <c r="GF35" s="76">
        <v>0</v>
      </c>
      <c r="GG35" s="76">
        <v>8</v>
      </c>
      <c r="GH35" s="76">
        <v>0</v>
      </c>
      <c r="GI35" s="76">
        <v>0</v>
      </c>
      <c r="GJ35" s="76">
        <v>0</v>
      </c>
      <c r="GK35" s="76">
        <v>83</v>
      </c>
      <c r="GL35" s="76">
        <v>91</v>
      </c>
      <c r="GM35" s="76">
        <v>346</v>
      </c>
      <c r="GN35" s="76">
        <v>382</v>
      </c>
      <c r="GO35" s="76">
        <v>0</v>
      </c>
      <c r="GP35" s="76">
        <v>0</v>
      </c>
      <c r="GQ35" s="76">
        <v>0</v>
      </c>
      <c r="GR35" s="76">
        <v>761</v>
      </c>
      <c r="GS35" s="76">
        <v>0</v>
      </c>
      <c r="GT35" s="76">
        <v>0</v>
      </c>
      <c r="GU35" s="76">
        <v>0</v>
      </c>
      <c r="GV35" s="76">
        <v>0</v>
      </c>
      <c r="GW35" s="76">
        <v>1948</v>
      </c>
      <c r="GX35" s="76">
        <v>3437</v>
      </c>
      <c r="GY35" s="76">
        <v>0</v>
      </c>
      <c r="GZ35" s="76">
        <v>0</v>
      </c>
      <c r="HA35" s="76">
        <v>4582</v>
      </c>
      <c r="HB35" s="76">
        <v>83</v>
      </c>
      <c r="HC35" s="76">
        <v>4665</v>
      </c>
      <c r="HD35" s="76">
        <v>0</v>
      </c>
      <c r="HE35" s="76">
        <v>0</v>
      </c>
      <c r="HF35" s="76">
        <v>0</v>
      </c>
      <c r="HG35" s="76">
        <v>627</v>
      </c>
      <c r="HH35" s="76">
        <v>0</v>
      </c>
      <c r="HI35" s="76">
        <v>97</v>
      </c>
      <c r="HJ35" s="76">
        <v>0</v>
      </c>
      <c r="HK35" s="76">
        <v>0</v>
      </c>
      <c r="HL35" s="76">
        <v>0</v>
      </c>
      <c r="HM35" s="76">
        <v>724</v>
      </c>
      <c r="HN35" s="76">
        <v>980</v>
      </c>
      <c r="HO35" s="76">
        <v>2130</v>
      </c>
      <c r="HP35" s="76">
        <v>0</v>
      </c>
      <c r="HQ35" s="76">
        <v>0</v>
      </c>
      <c r="HR35" s="76">
        <v>0</v>
      </c>
      <c r="HS35" s="76">
        <v>-10</v>
      </c>
      <c r="HT35" s="76">
        <v>1086</v>
      </c>
      <c r="HU35" s="76">
        <v>0</v>
      </c>
      <c r="HV35" s="76">
        <v>0</v>
      </c>
      <c r="HW35" s="76">
        <v>0</v>
      </c>
      <c r="HX35" s="76">
        <v>350</v>
      </c>
    </row>
    <row r="36" spans="1:232" x14ac:dyDescent="0.2">
      <c r="A36" s="74" t="s">
        <v>34</v>
      </c>
      <c r="B36" s="74" t="s">
        <v>33</v>
      </c>
      <c r="C36" s="75" t="s">
        <v>200</v>
      </c>
      <c r="D36" s="75">
        <v>12</v>
      </c>
      <c r="E36" s="76">
        <v>9802</v>
      </c>
      <c r="F36" s="76">
        <v>0</v>
      </c>
      <c r="G36" s="76">
        <v>-8435</v>
      </c>
      <c r="H36" s="76">
        <v>1367</v>
      </c>
      <c r="I36" s="76">
        <v>83</v>
      </c>
      <c r="J36" s="76">
        <v>0</v>
      </c>
      <c r="K36" s="76">
        <v>0</v>
      </c>
      <c r="L36" s="76">
        <v>0</v>
      </c>
      <c r="M36" s="76">
        <v>42</v>
      </c>
      <c r="N36" s="76">
        <v>-286</v>
      </c>
      <c r="O36" s="76">
        <v>0</v>
      </c>
      <c r="P36" s="76">
        <v>0</v>
      </c>
      <c r="Q36" s="76">
        <v>0</v>
      </c>
      <c r="R36" s="76">
        <v>0</v>
      </c>
      <c r="S36" s="76">
        <v>1206</v>
      </c>
      <c r="T36" s="76">
        <v>0</v>
      </c>
      <c r="U36" s="76">
        <v>1206</v>
      </c>
      <c r="V36" s="76">
        <v>0</v>
      </c>
      <c r="W36" s="76">
        <v>-196</v>
      </c>
      <c r="X36" s="76">
        <v>0</v>
      </c>
      <c r="Y36" s="76">
        <v>0</v>
      </c>
      <c r="Z36" s="76">
        <v>1010</v>
      </c>
      <c r="AA36" s="76">
        <v>6935</v>
      </c>
      <c r="AB36" s="76">
        <v>2657</v>
      </c>
      <c r="AC36" s="76">
        <v>9592</v>
      </c>
      <c r="AD36" s="76">
        <v>0</v>
      </c>
      <c r="AE36" s="76">
        <v>0</v>
      </c>
      <c r="AF36" s="76">
        <v>200</v>
      </c>
      <c r="AG36" s="76">
        <v>10</v>
      </c>
      <c r="AH36" s="76">
        <v>9802</v>
      </c>
      <c r="AI36" s="76">
        <v>2209</v>
      </c>
      <c r="AJ36" s="76">
        <v>2648</v>
      </c>
      <c r="AK36" s="76">
        <v>1484</v>
      </c>
      <c r="AL36" s="76">
        <v>100</v>
      </c>
      <c r="AM36" s="76">
        <v>788</v>
      </c>
      <c r="AN36" s="76">
        <v>540</v>
      </c>
      <c r="AO36" s="76">
        <v>181</v>
      </c>
      <c r="AP36" s="76">
        <v>0</v>
      </c>
      <c r="AQ36" s="76">
        <v>484</v>
      </c>
      <c r="AR36" s="76">
        <v>8434</v>
      </c>
      <c r="AS36" s="76">
        <v>1368</v>
      </c>
      <c r="AT36" s="76">
        <v>156</v>
      </c>
      <c r="AU36" s="76">
        <v>13952</v>
      </c>
      <c r="AV36" s="76">
        <v>0</v>
      </c>
      <c r="AW36" s="76">
        <v>258</v>
      </c>
      <c r="AX36" s="76">
        <v>0</v>
      </c>
      <c r="AY36" s="76">
        <v>0</v>
      </c>
      <c r="AZ36" s="76">
        <v>0</v>
      </c>
      <c r="BA36" s="76">
        <v>0</v>
      </c>
      <c r="BB36" s="76">
        <v>0</v>
      </c>
      <c r="BC36" s="76">
        <v>0</v>
      </c>
      <c r="BD36" s="76">
        <v>0</v>
      </c>
      <c r="BE36" s="76">
        <v>14210</v>
      </c>
      <c r="BF36" s="76">
        <v>0</v>
      </c>
      <c r="BG36" s="76">
        <v>4628</v>
      </c>
      <c r="BH36" s="76">
        <v>4135</v>
      </c>
      <c r="BI36" s="76">
        <v>152</v>
      </c>
      <c r="BJ36" s="76">
        <v>65387</v>
      </c>
      <c r="BK36" s="76">
        <v>74302</v>
      </c>
      <c r="BL36" s="76">
        <v>0</v>
      </c>
      <c r="BM36" s="76">
        <v>0</v>
      </c>
      <c r="BN36" s="76">
        <v>0</v>
      </c>
      <c r="BO36" s="76">
        <v>6026</v>
      </c>
      <c r="BP36" s="76">
        <v>6026</v>
      </c>
      <c r="BQ36" s="76">
        <v>68276</v>
      </c>
      <c r="BR36" s="76">
        <v>82486</v>
      </c>
      <c r="BS36" s="76">
        <v>6000</v>
      </c>
      <c r="BT36" s="76">
        <v>0</v>
      </c>
      <c r="BU36" s="76">
        <v>0</v>
      </c>
      <c r="BV36" s="76">
        <v>593</v>
      </c>
      <c r="BW36" s="76">
        <v>0</v>
      </c>
      <c r="BX36" s="76">
        <v>0</v>
      </c>
      <c r="BY36" s="76">
        <v>65291</v>
      </c>
      <c r="BZ36" s="76">
        <v>71884</v>
      </c>
      <c r="CA36" s="76">
        <v>364</v>
      </c>
      <c r="CB36" s="76">
        <v>0</v>
      </c>
      <c r="CC36" s="76">
        <v>10238</v>
      </c>
      <c r="CD36" s="76">
        <v>10238</v>
      </c>
      <c r="CE36" s="76">
        <v>0</v>
      </c>
      <c r="CF36" s="76">
        <v>0</v>
      </c>
      <c r="CG36" s="76">
        <v>0</v>
      </c>
      <c r="CH36" s="76">
        <v>0</v>
      </c>
      <c r="CI36" s="76">
        <v>10238</v>
      </c>
      <c r="CJ36" s="76">
        <v>0</v>
      </c>
      <c r="CK36" s="76">
        <v>0</v>
      </c>
      <c r="CL36" s="76">
        <v>0</v>
      </c>
      <c r="CM36" s="76">
        <v>0</v>
      </c>
      <c r="CN36" s="76">
        <v>0</v>
      </c>
      <c r="CO36" s="76">
        <v>0</v>
      </c>
      <c r="CP36" s="76">
        <v>0</v>
      </c>
      <c r="CQ36" s="76">
        <v>0</v>
      </c>
      <c r="CR36" s="76">
        <v>0</v>
      </c>
      <c r="CS36" s="76">
        <v>0</v>
      </c>
      <c r="CT36" s="76">
        <v>0</v>
      </c>
      <c r="CU36" s="76">
        <v>0</v>
      </c>
      <c r="CV36" s="76">
        <v>0</v>
      </c>
      <c r="CW36" s="76">
        <v>0</v>
      </c>
      <c r="CX36" s="76">
        <v>0</v>
      </c>
      <c r="CY36" s="76">
        <v>0</v>
      </c>
      <c r="CZ36" s="76">
        <v>0</v>
      </c>
      <c r="DA36" s="76">
        <v>0</v>
      </c>
      <c r="DB36" s="76">
        <v>0</v>
      </c>
      <c r="DC36" s="76">
        <v>0</v>
      </c>
      <c r="DD36" s="76">
        <v>0</v>
      </c>
      <c r="DE36" s="76">
        <v>0</v>
      </c>
      <c r="DF36" s="76">
        <v>0</v>
      </c>
      <c r="DG36" s="76">
        <v>0</v>
      </c>
      <c r="DH36" s="76">
        <v>0</v>
      </c>
      <c r="DI36" s="76">
        <v>0</v>
      </c>
      <c r="DJ36" s="76">
        <v>0</v>
      </c>
      <c r="DK36" s="76">
        <v>0</v>
      </c>
      <c r="DL36" s="76">
        <v>0</v>
      </c>
      <c r="DM36" s="76">
        <v>0</v>
      </c>
      <c r="DN36" s="76">
        <v>0</v>
      </c>
      <c r="DO36" s="76">
        <v>0</v>
      </c>
      <c r="DP36" s="76">
        <v>0</v>
      </c>
      <c r="DQ36" s="76">
        <v>0</v>
      </c>
      <c r="DR36" s="76">
        <v>0</v>
      </c>
      <c r="DS36" s="76">
        <v>0</v>
      </c>
      <c r="DT36" s="76">
        <v>0</v>
      </c>
      <c r="DU36" s="76">
        <v>0</v>
      </c>
      <c r="DV36" s="76">
        <v>0</v>
      </c>
      <c r="DW36" s="76">
        <v>0</v>
      </c>
      <c r="DX36" s="76">
        <v>0</v>
      </c>
      <c r="DY36" s="76">
        <v>0</v>
      </c>
      <c r="DZ36" s="76">
        <v>0</v>
      </c>
      <c r="EA36" s="76">
        <v>0</v>
      </c>
      <c r="EB36" s="76">
        <v>0</v>
      </c>
      <c r="EC36" s="76">
        <v>0</v>
      </c>
      <c r="ED36" s="76">
        <v>0</v>
      </c>
      <c r="EE36" s="76">
        <v>0</v>
      </c>
      <c r="EF36" s="76">
        <v>0</v>
      </c>
      <c r="EG36" s="76">
        <v>0</v>
      </c>
      <c r="EH36" s="76">
        <v>0</v>
      </c>
      <c r="EI36" s="76">
        <v>0</v>
      </c>
      <c r="EJ36" s="76">
        <v>0</v>
      </c>
      <c r="EK36" s="76">
        <v>0</v>
      </c>
      <c r="EL36" s="76">
        <v>0</v>
      </c>
      <c r="EM36" s="76">
        <v>0</v>
      </c>
      <c r="EN36" s="76">
        <v>809</v>
      </c>
      <c r="EO36" s="76">
        <v>143</v>
      </c>
      <c r="EP36" s="76">
        <v>423</v>
      </c>
      <c r="EQ36" s="76">
        <v>143</v>
      </c>
      <c r="ER36" s="76">
        <v>14120</v>
      </c>
      <c r="ES36" s="76">
        <v>0</v>
      </c>
      <c r="ET36" s="76">
        <v>14120</v>
      </c>
      <c r="EU36" s="76">
        <v>367</v>
      </c>
      <c r="EV36" s="76">
        <v>0</v>
      </c>
      <c r="EW36" s="76">
        <v>0</v>
      </c>
      <c r="EX36" s="76">
        <v>0</v>
      </c>
      <c r="EY36" s="76">
        <v>0</v>
      </c>
      <c r="EZ36" s="76">
        <v>14487</v>
      </c>
      <c r="FA36" s="76">
        <v>354</v>
      </c>
      <c r="FB36" s="76">
        <v>181</v>
      </c>
      <c r="FC36" s="76">
        <v>0</v>
      </c>
      <c r="FD36" s="76">
        <v>0</v>
      </c>
      <c r="FE36" s="76">
        <v>0</v>
      </c>
      <c r="FF36" s="76">
        <v>0</v>
      </c>
      <c r="FG36" s="76">
        <v>0</v>
      </c>
      <c r="FH36" s="76">
        <v>535</v>
      </c>
      <c r="FI36" s="76">
        <v>13952</v>
      </c>
      <c r="FJ36" s="76">
        <v>13766</v>
      </c>
      <c r="FK36" s="76">
        <v>0</v>
      </c>
      <c r="FL36" s="76">
        <v>0</v>
      </c>
      <c r="FM36" s="76">
        <v>0</v>
      </c>
      <c r="FN36" s="76">
        <v>83</v>
      </c>
      <c r="FO36" s="76">
        <v>0</v>
      </c>
      <c r="FP36" s="76">
        <v>83</v>
      </c>
      <c r="FQ36" s="76">
        <v>0</v>
      </c>
      <c r="FR36" s="76">
        <v>0</v>
      </c>
      <c r="FS36" s="76">
        <v>0</v>
      </c>
      <c r="FT36" s="76">
        <v>0</v>
      </c>
      <c r="FU36" s="76">
        <v>0</v>
      </c>
      <c r="FV36" s="76">
        <v>0</v>
      </c>
      <c r="FW36" s="76">
        <v>0</v>
      </c>
      <c r="FX36" s="76">
        <v>0</v>
      </c>
      <c r="FY36" s="76">
        <v>0</v>
      </c>
      <c r="FZ36" s="76">
        <v>0</v>
      </c>
      <c r="GA36" s="76">
        <v>0</v>
      </c>
      <c r="GB36" s="76">
        <v>0</v>
      </c>
      <c r="GC36" s="76">
        <v>83</v>
      </c>
      <c r="GD36" s="76">
        <v>0</v>
      </c>
      <c r="GE36" s="76">
        <v>83</v>
      </c>
      <c r="GF36" s="76">
        <v>0</v>
      </c>
      <c r="GG36" s="76">
        <v>0</v>
      </c>
      <c r="GH36" s="76">
        <v>0</v>
      </c>
      <c r="GI36" s="76">
        <v>65292</v>
      </c>
      <c r="GJ36" s="76">
        <v>0</v>
      </c>
      <c r="GK36" s="76">
        <v>95</v>
      </c>
      <c r="GL36" s="76">
        <v>65387</v>
      </c>
      <c r="GM36" s="76">
        <v>394</v>
      </c>
      <c r="GN36" s="76">
        <v>87</v>
      </c>
      <c r="GO36" s="76">
        <v>0</v>
      </c>
      <c r="GP36" s="76">
        <v>0</v>
      </c>
      <c r="GQ36" s="76">
        <v>0</v>
      </c>
      <c r="GR36" s="76">
        <v>1517</v>
      </c>
      <c r="GS36" s="76">
        <v>0</v>
      </c>
      <c r="GT36" s="76">
        <v>4000</v>
      </c>
      <c r="GU36" s="76">
        <v>0</v>
      </c>
      <c r="GV36" s="76">
        <v>0</v>
      </c>
      <c r="GW36" s="76">
        <v>28</v>
      </c>
      <c r="GX36" s="76">
        <v>6026</v>
      </c>
      <c r="GY36" s="76">
        <v>0</v>
      </c>
      <c r="GZ36" s="76">
        <v>0</v>
      </c>
      <c r="HA36" s="76">
        <v>0</v>
      </c>
      <c r="HB36" s="76">
        <v>65292</v>
      </c>
      <c r="HC36" s="76">
        <v>65292</v>
      </c>
      <c r="HD36" s="76">
        <v>0</v>
      </c>
      <c r="HE36" s="76">
        <v>0</v>
      </c>
      <c r="HF36" s="76">
        <v>0</v>
      </c>
      <c r="HG36" s="76">
        <v>282</v>
      </c>
      <c r="HH36" s="76">
        <v>0</v>
      </c>
      <c r="HI36" s="76">
        <v>4</v>
      </c>
      <c r="HJ36" s="76">
        <v>0</v>
      </c>
      <c r="HK36" s="76">
        <v>0</v>
      </c>
      <c r="HL36" s="76">
        <v>0</v>
      </c>
      <c r="HM36" s="76">
        <v>286</v>
      </c>
      <c r="HN36" s="76">
        <v>367</v>
      </c>
      <c r="HO36" s="76">
        <v>181</v>
      </c>
      <c r="HP36" s="76">
        <v>0</v>
      </c>
      <c r="HQ36" s="76">
        <v>0</v>
      </c>
      <c r="HR36" s="76">
        <v>-3</v>
      </c>
      <c r="HS36" s="76">
        <v>0</v>
      </c>
      <c r="HT36" s="76">
        <v>1780</v>
      </c>
      <c r="HU36" s="76">
        <v>0</v>
      </c>
      <c r="HV36" s="76">
        <v>0</v>
      </c>
      <c r="HW36" s="76">
        <v>0</v>
      </c>
      <c r="HX36" s="76">
        <v>0</v>
      </c>
    </row>
    <row r="37" spans="1:232" x14ac:dyDescent="0.2">
      <c r="A37" s="74" t="s">
        <v>278</v>
      </c>
      <c r="B37" s="74" t="s">
        <v>279</v>
      </c>
      <c r="C37" s="75" t="s">
        <v>200</v>
      </c>
      <c r="D37" s="75">
        <v>12</v>
      </c>
      <c r="E37" s="76">
        <v>23500</v>
      </c>
      <c r="F37" s="76">
        <v>-1062</v>
      </c>
      <c r="G37" s="76">
        <v>-16128</v>
      </c>
      <c r="H37" s="76">
        <v>6310</v>
      </c>
      <c r="I37" s="76">
        <v>11</v>
      </c>
      <c r="J37" s="76">
        <v>0</v>
      </c>
      <c r="K37" s="76">
        <v>0</v>
      </c>
      <c r="L37" s="76">
        <v>0</v>
      </c>
      <c r="M37" s="76">
        <v>2</v>
      </c>
      <c r="N37" s="76">
        <v>-4032</v>
      </c>
      <c r="O37" s="76">
        <v>0</v>
      </c>
      <c r="P37" s="76">
        <v>0</v>
      </c>
      <c r="Q37" s="76">
        <v>0</v>
      </c>
      <c r="R37" s="76">
        <v>0</v>
      </c>
      <c r="S37" s="76">
        <v>2291</v>
      </c>
      <c r="T37" s="76">
        <v>0</v>
      </c>
      <c r="U37" s="76">
        <v>2291</v>
      </c>
      <c r="V37" s="76">
        <v>0</v>
      </c>
      <c r="W37" s="76">
        <v>-3387</v>
      </c>
      <c r="X37" s="76">
        <v>0</v>
      </c>
      <c r="Y37" s="76">
        <v>0</v>
      </c>
      <c r="Z37" s="76">
        <v>-1096</v>
      </c>
      <c r="AA37" s="76">
        <v>19561</v>
      </c>
      <c r="AB37" s="76">
        <v>1316</v>
      </c>
      <c r="AC37" s="76">
        <v>20877</v>
      </c>
      <c r="AD37" s="76">
        <v>166</v>
      </c>
      <c r="AE37" s="76">
        <v>0</v>
      </c>
      <c r="AF37" s="76">
        <v>0</v>
      </c>
      <c r="AG37" s="76">
        <v>0</v>
      </c>
      <c r="AH37" s="76">
        <v>21043</v>
      </c>
      <c r="AI37" s="76">
        <v>5141</v>
      </c>
      <c r="AJ37" s="76">
        <v>1105</v>
      </c>
      <c r="AK37" s="76">
        <v>3458</v>
      </c>
      <c r="AL37" s="76">
        <v>436</v>
      </c>
      <c r="AM37" s="76">
        <v>1140</v>
      </c>
      <c r="AN37" s="76">
        <v>339</v>
      </c>
      <c r="AO37" s="76">
        <v>2674</v>
      </c>
      <c r="AP37" s="76">
        <v>0</v>
      </c>
      <c r="AQ37" s="76">
        <v>303</v>
      </c>
      <c r="AR37" s="76">
        <v>14596</v>
      </c>
      <c r="AS37" s="76">
        <v>6447</v>
      </c>
      <c r="AT37" s="76">
        <v>440</v>
      </c>
      <c r="AU37" s="76">
        <v>89797</v>
      </c>
      <c r="AV37" s="76">
        <v>0</v>
      </c>
      <c r="AW37" s="76">
        <v>4685</v>
      </c>
      <c r="AX37" s="76">
        <v>105</v>
      </c>
      <c r="AY37" s="76">
        <v>0</v>
      </c>
      <c r="AZ37" s="76">
        <v>0</v>
      </c>
      <c r="BA37" s="76">
        <v>0</v>
      </c>
      <c r="BB37" s="76">
        <v>0</v>
      </c>
      <c r="BC37" s="76">
        <v>0</v>
      </c>
      <c r="BD37" s="76">
        <v>0</v>
      </c>
      <c r="BE37" s="76">
        <v>94587</v>
      </c>
      <c r="BF37" s="76">
        <v>0</v>
      </c>
      <c r="BG37" s="76">
        <v>1335</v>
      </c>
      <c r="BH37" s="76">
        <v>689</v>
      </c>
      <c r="BI37" s="76">
        <v>0</v>
      </c>
      <c r="BJ37" s="76">
        <v>1989</v>
      </c>
      <c r="BK37" s="76">
        <v>4013</v>
      </c>
      <c r="BL37" s="76">
        <v>0</v>
      </c>
      <c r="BM37" s="76">
        <v>0</v>
      </c>
      <c r="BN37" s="76">
        <v>163</v>
      </c>
      <c r="BO37" s="76">
        <v>4529</v>
      </c>
      <c r="BP37" s="76">
        <v>4692</v>
      </c>
      <c r="BQ37" s="76">
        <v>-679</v>
      </c>
      <c r="BR37" s="76">
        <v>93908</v>
      </c>
      <c r="BS37" s="76">
        <v>90148</v>
      </c>
      <c r="BT37" s="76">
        <v>0</v>
      </c>
      <c r="BU37" s="76">
        <v>0</v>
      </c>
      <c r="BV37" s="76">
        <v>11495</v>
      </c>
      <c r="BW37" s="76">
        <v>0</v>
      </c>
      <c r="BX37" s="76">
        <v>0</v>
      </c>
      <c r="BY37" s="76">
        <v>1113</v>
      </c>
      <c r="BZ37" s="76">
        <v>102756</v>
      </c>
      <c r="CA37" s="76">
        <v>11848</v>
      </c>
      <c r="CB37" s="76">
        <v>0</v>
      </c>
      <c r="CC37" s="76">
        <v>-20696</v>
      </c>
      <c r="CD37" s="76">
        <v>-20696</v>
      </c>
      <c r="CE37" s="76">
        <v>0</v>
      </c>
      <c r="CF37" s="76">
        <v>0</v>
      </c>
      <c r="CG37" s="76">
        <v>0</v>
      </c>
      <c r="CH37" s="76">
        <v>0</v>
      </c>
      <c r="CI37" s="76">
        <v>-20696</v>
      </c>
      <c r="CJ37" s="76">
        <v>0</v>
      </c>
      <c r="CK37" s="76">
        <v>0</v>
      </c>
      <c r="CL37" s="76">
        <v>0</v>
      </c>
      <c r="CM37" s="76">
        <v>0</v>
      </c>
      <c r="CN37" s="76">
        <v>446</v>
      </c>
      <c r="CO37" s="76">
        <v>0</v>
      </c>
      <c r="CP37" s="76">
        <v>282</v>
      </c>
      <c r="CQ37" s="76">
        <v>164</v>
      </c>
      <c r="CR37" s="76">
        <v>0</v>
      </c>
      <c r="CS37" s="76">
        <v>0</v>
      </c>
      <c r="CT37" s="76">
        <v>0</v>
      </c>
      <c r="CU37" s="76">
        <v>0</v>
      </c>
      <c r="CV37" s="76">
        <v>0</v>
      </c>
      <c r="CW37" s="76">
        <v>0</v>
      </c>
      <c r="CX37" s="76">
        <v>0</v>
      </c>
      <c r="CY37" s="76">
        <v>0</v>
      </c>
      <c r="CZ37" s="76">
        <v>0</v>
      </c>
      <c r="DA37" s="76">
        <v>0</v>
      </c>
      <c r="DB37" s="76">
        <v>0</v>
      </c>
      <c r="DC37" s="76">
        <v>0</v>
      </c>
      <c r="DD37" s="76">
        <v>446</v>
      </c>
      <c r="DE37" s="76">
        <v>0</v>
      </c>
      <c r="DF37" s="76">
        <v>282</v>
      </c>
      <c r="DG37" s="76">
        <v>164</v>
      </c>
      <c r="DH37" s="76">
        <v>1030</v>
      </c>
      <c r="DI37" s="76">
        <v>1062</v>
      </c>
      <c r="DJ37" s="76">
        <v>0</v>
      </c>
      <c r="DK37" s="76">
        <v>-32</v>
      </c>
      <c r="DL37" s="76">
        <v>0</v>
      </c>
      <c r="DM37" s="76">
        <v>0</v>
      </c>
      <c r="DN37" s="76">
        <v>0</v>
      </c>
      <c r="DO37" s="76">
        <v>0</v>
      </c>
      <c r="DP37" s="76">
        <v>188</v>
      </c>
      <c r="DQ37" s="76">
        <v>0</v>
      </c>
      <c r="DR37" s="76">
        <v>356</v>
      </c>
      <c r="DS37" s="76">
        <v>-168</v>
      </c>
      <c r="DT37" s="76">
        <v>66</v>
      </c>
      <c r="DU37" s="76">
        <v>0</v>
      </c>
      <c r="DV37" s="76">
        <v>17</v>
      </c>
      <c r="DW37" s="76">
        <v>49</v>
      </c>
      <c r="DX37" s="76">
        <v>0</v>
      </c>
      <c r="DY37" s="76">
        <v>0</v>
      </c>
      <c r="DZ37" s="76">
        <v>0</v>
      </c>
      <c r="EA37" s="76">
        <v>0</v>
      </c>
      <c r="EB37" s="76">
        <v>727</v>
      </c>
      <c r="EC37" s="76">
        <v>0</v>
      </c>
      <c r="ED37" s="76">
        <v>877</v>
      </c>
      <c r="EE37" s="76">
        <v>-150</v>
      </c>
      <c r="EF37" s="76">
        <v>2011</v>
      </c>
      <c r="EG37" s="76">
        <v>1062</v>
      </c>
      <c r="EH37" s="76">
        <v>1250</v>
      </c>
      <c r="EI37" s="76">
        <v>-301</v>
      </c>
      <c r="EJ37" s="76">
        <v>2457</v>
      </c>
      <c r="EK37" s="76">
        <v>1062</v>
      </c>
      <c r="EL37" s="76">
        <v>1532</v>
      </c>
      <c r="EM37" s="76">
        <v>-137</v>
      </c>
      <c r="EN37" s="76">
        <v>789</v>
      </c>
      <c r="EO37" s="76">
        <v>777</v>
      </c>
      <c r="EP37" s="76">
        <v>70</v>
      </c>
      <c r="EQ37" s="76">
        <v>777</v>
      </c>
      <c r="ER37" s="76">
        <v>100944</v>
      </c>
      <c r="ES37" s="76">
        <v>0</v>
      </c>
      <c r="ET37" s="76">
        <v>100944</v>
      </c>
      <c r="EU37" s="76">
        <v>10180</v>
      </c>
      <c r="EV37" s="76">
        <v>-855</v>
      </c>
      <c r="EW37" s="76">
        <v>0</v>
      </c>
      <c r="EX37" s="76">
        <v>0</v>
      </c>
      <c r="EY37" s="76">
        <v>0</v>
      </c>
      <c r="EZ37" s="76">
        <v>110269</v>
      </c>
      <c r="FA37" s="76">
        <v>18232</v>
      </c>
      <c r="FB37" s="76">
        <v>2592</v>
      </c>
      <c r="FC37" s="76">
        <v>0</v>
      </c>
      <c r="FD37" s="76">
        <v>0</v>
      </c>
      <c r="FE37" s="76">
        <v>-352</v>
      </c>
      <c r="FF37" s="76">
        <v>0</v>
      </c>
      <c r="FG37" s="76">
        <v>0</v>
      </c>
      <c r="FH37" s="76">
        <v>20472</v>
      </c>
      <c r="FI37" s="76">
        <v>89797</v>
      </c>
      <c r="FJ37" s="76">
        <v>82712</v>
      </c>
      <c r="FK37" s="76">
        <v>0</v>
      </c>
      <c r="FL37" s="76">
        <v>0</v>
      </c>
      <c r="FM37" s="76">
        <v>0</v>
      </c>
      <c r="FN37" s="76">
        <v>106</v>
      </c>
      <c r="FO37" s="76">
        <v>97</v>
      </c>
      <c r="FP37" s="76">
        <v>9</v>
      </c>
      <c r="FQ37" s="76">
        <v>100</v>
      </c>
      <c r="FR37" s="76">
        <v>98</v>
      </c>
      <c r="FS37" s="76">
        <v>2</v>
      </c>
      <c r="FT37" s="76">
        <v>0</v>
      </c>
      <c r="FU37" s="76">
        <v>0</v>
      </c>
      <c r="FV37" s="76">
        <v>0</v>
      </c>
      <c r="FW37" s="76">
        <v>0</v>
      </c>
      <c r="FX37" s="76">
        <v>0</v>
      </c>
      <c r="FY37" s="76">
        <v>0</v>
      </c>
      <c r="FZ37" s="76">
        <v>0</v>
      </c>
      <c r="GA37" s="76">
        <v>0</v>
      </c>
      <c r="GB37" s="76">
        <v>0</v>
      </c>
      <c r="GC37" s="76">
        <v>206</v>
      </c>
      <c r="GD37" s="76">
        <v>195</v>
      </c>
      <c r="GE37" s="76">
        <v>11</v>
      </c>
      <c r="GF37" s="76">
        <v>1402</v>
      </c>
      <c r="GG37" s="76">
        <v>0</v>
      </c>
      <c r="GH37" s="76">
        <v>0</v>
      </c>
      <c r="GI37" s="76">
        <v>0</v>
      </c>
      <c r="GJ37" s="76">
        <v>0</v>
      </c>
      <c r="GK37" s="76">
        <v>587</v>
      </c>
      <c r="GL37" s="76">
        <v>1989</v>
      </c>
      <c r="GM37" s="76">
        <v>350</v>
      </c>
      <c r="GN37" s="76">
        <v>376</v>
      </c>
      <c r="GO37" s="76">
        <v>562</v>
      </c>
      <c r="GP37" s="76">
        <v>0</v>
      </c>
      <c r="GQ37" s="76">
        <v>187</v>
      </c>
      <c r="GR37" s="76">
        <v>2689</v>
      </c>
      <c r="GS37" s="76">
        <v>0</v>
      </c>
      <c r="GT37" s="76">
        <v>0</v>
      </c>
      <c r="GU37" s="76">
        <v>57</v>
      </c>
      <c r="GV37" s="76">
        <v>0</v>
      </c>
      <c r="GW37" s="76">
        <v>308</v>
      </c>
      <c r="GX37" s="76">
        <v>4529</v>
      </c>
      <c r="GY37" s="76">
        <v>0</v>
      </c>
      <c r="GZ37" s="76">
        <v>725</v>
      </c>
      <c r="HA37" s="76">
        <v>343</v>
      </c>
      <c r="HB37" s="76">
        <v>45</v>
      </c>
      <c r="HC37" s="76">
        <v>1113</v>
      </c>
      <c r="HD37" s="76">
        <v>0</v>
      </c>
      <c r="HE37" s="76">
        <v>0</v>
      </c>
      <c r="HF37" s="76">
        <v>0</v>
      </c>
      <c r="HG37" s="76">
        <v>3710</v>
      </c>
      <c r="HH37" s="76">
        <v>60</v>
      </c>
      <c r="HI37" s="76">
        <v>305</v>
      </c>
      <c r="HJ37" s="76">
        <v>0</v>
      </c>
      <c r="HK37" s="76">
        <v>0</v>
      </c>
      <c r="HL37" s="76">
        <v>-43</v>
      </c>
      <c r="HM37" s="76">
        <v>4032</v>
      </c>
      <c r="HN37" s="76">
        <v>3531</v>
      </c>
      <c r="HO37" s="76">
        <v>2735</v>
      </c>
      <c r="HP37" s="76">
        <v>0</v>
      </c>
      <c r="HQ37" s="76">
        <v>13</v>
      </c>
      <c r="HR37" s="76">
        <v>-39</v>
      </c>
      <c r="HS37" s="76">
        <v>234</v>
      </c>
      <c r="HT37" s="76">
        <v>5010</v>
      </c>
      <c r="HU37" s="76">
        <v>0</v>
      </c>
      <c r="HV37" s="76">
        <v>0</v>
      </c>
      <c r="HW37" s="76">
        <v>-22</v>
      </c>
      <c r="HX37" s="76">
        <v>13</v>
      </c>
    </row>
    <row r="38" spans="1:232" x14ac:dyDescent="0.2">
      <c r="A38" s="74" t="s">
        <v>36</v>
      </c>
      <c r="B38" s="74" t="s">
        <v>35</v>
      </c>
      <c r="C38" s="75" t="s">
        <v>200</v>
      </c>
      <c r="D38" s="75">
        <v>12</v>
      </c>
      <c r="E38" s="76">
        <v>169677</v>
      </c>
      <c r="F38" s="76">
        <v>-14953</v>
      </c>
      <c r="G38" s="76">
        <v>-94285</v>
      </c>
      <c r="H38" s="76">
        <v>60439</v>
      </c>
      <c r="I38" s="76">
        <v>20865</v>
      </c>
      <c r="J38" s="76">
        <v>0</v>
      </c>
      <c r="K38" s="76">
        <v>0</v>
      </c>
      <c r="L38" s="76">
        <v>914</v>
      </c>
      <c r="M38" s="76">
        <v>194</v>
      </c>
      <c r="N38" s="76">
        <v>-16741</v>
      </c>
      <c r="O38" s="76">
        <v>4257</v>
      </c>
      <c r="P38" s="76">
        <v>0</v>
      </c>
      <c r="Q38" s="76">
        <v>0</v>
      </c>
      <c r="R38" s="76">
        <v>0</v>
      </c>
      <c r="S38" s="76">
        <v>69928</v>
      </c>
      <c r="T38" s="76">
        <v>0</v>
      </c>
      <c r="U38" s="76">
        <v>69928</v>
      </c>
      <c r="V38" s="76">
        <v>0</v>
      </c>
      <c r="W38" s="76">
        <v>-2643</v>
      </c>
      <c r="X38" s="76">
        <v>0</v>
      </c>
      <c r="Y38" s="76">
        <v>0</v>
      </c>
      <c r="Z38" s="76">
        <v>67285</v>
      </c>
      <c r="AA38" s="76">
        <v>106986</v>
      </c>
      <c r="AB38" s="76">
        <v>8944</v>
      </c>
      <c r="AC38" s="76">
        <v>115930</v>
      </c>
      <c r="AD38" s="76">
        <v>5632</v>
      </c>
      <c r="AE38" s="76">
        <v>0</v>
      </c>
      <c r="AF38" s="76">
        <v>0</v>
      </c>
      <c r="AG38" s="76">
        <v>3082</v>
      </c>
      <c r="AH38" s="76">
        <v>124644</v>
      </c>
      <c r="AI38" s="76">
        <v>22797</v>
      </c>
      <c r="AJ38" s="76">
        <v>12795</v>
      </c>
      <c r="AK38" s="76">
        <v>13941</v>
      </c>
      <c r="AL38" s="76">
        <v>9813</v>
      </c>
      <c r="AM38" s="76">
        <v>0</v>
      </c>
      <c r="AN38" s="76">
        <v>303</v>
      </c>
      <c r="AO38" s="76">
        <v>20942</v>
      </c>
      <c r="AP38" s="76">
        <v>0</v>
      </c>
      <c r="AQ38" s="76">
        <v>289</v>
      </c>
      <c r="AR38" s="76">
        <v>80880</v>
      </c>
      <c r="AS38" s="76">
        <v>43764</v>
      </c>
      <c r="AT38" s="76">
        <v>1481</v>
      </c>
      <c r="AU38" s="76">
        <v>1968681</v>
      </c>
      <c r="AV38" s="76">
        <v>0</v>
      </c>
      <c r="AW38" s="76">
        <v>9286</v>
      </c>
      <c r="AX38" s="76">
        <v>0</v>
      </c>
      <c r="AY38" s="76">
        <v>93119</v>
      </c>
      <c r="AZ38" s="76">
        <v>19131</v>
      </c>
      <c r="BA38" s="76">
        <v>109</v>
      </c>
      <c r="BB38" s="76">
        <v>0</v>
      </c>
      <c r="BC38" s="76">
        <v>0</v>
      </c>
      <c r="BD38" s="76">
        <v>0</v>
      </c>
      <c r="BE38" s="76">
        <v>2090326</v>
      </c>
      <c r="BF38" s="76">
        <v>120747</v>
      </c>
      <c r="BG38" s="76">
        <v>3892</v>
      </c>
      <c r="BH38" s="76">
        <v>32422</v>
      </c>
      <c r="BI38" s="76">
        <v>0</v>
      </c>
      <c r="BJ38" s="76">
        <v>22401</v>
      </c>
      <c r="BK38" s="76">
        <v>179462</v>
      </c>
      <c r="BL38" s="76">
        <v>34240</v>
      </c>
      <c r="BM38" s="76">
        <v>10</v>
      </c>
      <c r="BN38" s="76">
        <v>7329</v>
      </c>
      <c r="BO38" s="76">
        <v>76605</v>
      </c>
      <c r="BP38" s="76">
        <v>118184</v>
      </c>
      <c r="BQ38" s="76">
        <v>61278</v>
      </c>
      <c r="BR38" s="76">
        <v>2151604</v>
      </c>
      <c r="BS38" s="76">
        <v>557813</v>
      </c>
      <c r="BT38" s="76">
        <v>0</v>
      </c>
      <c r="BU38" s="76">
        <v>0</v>
      </c>
      <c r="BV38" s="76">
        <v>142610</v>
      </c>
      <c r="BW38" s="76">
        <v>0</v>
      </c>
      <c r="BX38" s="76">
        <v>0</v>
      </c>
      <c r="BY38" s="76">
        <v>49834</v>
      </c>
      <c r="BZ38" s="76">
        <v>750257</v>
      </c>
      <c r="CA38" s="76">
        <v>7961</v>
      </c>
      <c r="CB38" s="76">
        <v>0</v>
      </c>
      <c r="CC38" s="76">
        <v>1393386</v>
      </c>
      <c r="CD38" s="76">
        <v>995142</v>
      </c>
      <c r="CE38" s="76">
        <v>398160</v>
      </c>
      <c r="CF38" s="76">
        <v>84</v>
      </c>
      <c r="CG38" s="76">
        <v>0</v>
      </c>
      <c r="CH38" s="76">
        <v>0</v>
      </c>
      <c r="CI38" s="76">
        <v>1393386</v>
      </c>
      <c r="CJ38" s="76">
        <v>7312</v>
      </c>
      <c r="CK38" s="76">
        <v>4919</v>
      </c>
      <c r="CL38" s="76">
        <v>0</v>
      </c>
      <c r="CM38" s="76">
        <v>2393</v>
      </c>
      <c r="CN38" s="76">
        <v>0</v>
      </c>
      <c r="CO38" s="76">
        <v>0</v>
      </c>
      <c r="CP38" s="76">
        <v>0</v>
      </c>
      <c r="CQ38" s="76">
        <v>0</v>
      </c>
      <c r="CR38" s="76">
        <v>0</v>
      </c>
      <c r="CS38" s="76">
        <v>0</v>
      </c>
      <c r="CT38" s="76">
        <v>0</v>
      </c>
      <c r="CU38" s="76">
        <v>0</v>
      </c>
      <c r="CV38" s="76">
        <v>121</v>
      </c>
      <c r="CW38" s="76">
        <v>0</v>
      </c>
      <c r="CX38" s="76">
        <v>2229</v>
      </c>
      <c r="CY38" s="76">
        <v>-2108</v>
      </c>
      <c r="CZ38" s="76">
        <v>1151</v>
      </c>
      <c r="DA38" s="76">
        <v>0</v>
      </c>
      <c r="DB38" s="76">
        <v>3156</v>
      </c>
      <c r="DC38" s="76">
        <v>-2005</v>
      </c>
      <c r="DD38" s="76">
        <v>8584</v>
      </c>
      <c r="DE38" s="76">
        <v>4919</v>
      </c>
      <c r="DF38" s="76">
        <v>5385</v>
      </c>
      <c r="DG38" s="76">
        <v>-1720</v>
      </c>
      <c r="DH38" s="76">
        <v>29012</v>
      </c>
      <c r="DI38" s="76">
        <v>9011</v>
      </c>
      <c r="DJ38" s="76">
        <v>1624</v>
      </c>
      <c r="DK38" s="76">
        <v>18377</v>
      </c>
      <c r="DL38" s="76">
        <v>0</v>
      </c>
      <c r="DM38" s="76">
        <v>0</v>
      </c>
      <c r="DN38" s="76">
        <v>0</v>
      </c>
      <c r="DO38" s="76">
        <v>0</v>
      </c>
      <c r="DP38" s="76">
        <v>2658</v>
      </c>
      <c r="DQ38" s="76">
        <v>0</v>
      </c>
      <c r="DR38" s="76">
        <v>2753</v>
      </c>
      <c r="DS38" s="76">
        <v>-95</v>
      </c>
      <c r="DT38" s="76">
        <v>0</v>
      </c>
      <c r="DU38" s="76">
        <v>0</v>
      </c>
      <c r="DV38" s="76">
        <v>0</v>
      </c>
      <c r="DW38" s="76">
        <v>0</v>
      </c>
      <c r="DX38" s="76">
        <v>0</v>
      </c>
      <c r="DY38" s="76">
        <v>0</v>
      </c>
      <c r="DZ38" s="76">
        <v>0</v>
      </c>
      <c r="EA38" s="76">
        <v>0</v>
      </c>
      <c r="EB38" s="76">
        <v>4779</v>
      </c>
      <c r="EC38" s="76">
        <v>1023</v>
      </c>
      <c r="ED38" s="76">
        <v>3643</v>
      </c>
      <c r="EE38" s="76">
        <v>113</v>
      </c>
      <c r="EF38" s="76">
        <v>36449</v>
      </c>
      <c r="EG38" s="76">
        <v>10034</v>
      </c>
      <c r="EH38" s="76">
        <v>8020</v>
      </c>
      <c r="EI38" s="76">
        <v>18395</v>
      </c>
      <c r="EJ38" s="76">
        <v>45033</v>
      </c>
      <c r="EK38" s="76">
        <v>14953</v>
      </c>
      <c r="EL38" s="76">
        <v>13405</v>
      </c>
      <c r="EM38" s="76">
        <v>16675</v>
      </c>
      <c r="EN38" s="76">
        <v>4047</v>
      </c>
      <c r="EO38" s="76">
        <v>1200</v>
      </c>
      <c r="EP38" s="76">
        <v>155</v>
      </c>
      <c r="EQ38" s="76">
        <v>1200</v>
      </c>
      <c r="ER38" s="76">
        <v>2057925</v>
      </c>
      <c r="ES38" s="76">
        <v>0</v>
      </c>
      <c r="ET38" s="76">
        <v>2057925</v>
      </c>
      <c r="EU38" s="76">
        <v>91152</v>
      </c>
      <c r="EV38" s="76">
        <v>-20445</v>
      </c>
      <c r="EW38" s="76">
        <v>0</v>
      </c>
      <c r="EX38" s="76">
        <v>0</v>
      </c>
      <c r="EY38" s="76">
        <v>110</v>
      </c>
      <c r="EZ38" s="76">
        <v>2128742</v>
      </c>
      <c r="FA38" s="76">
        <v>143572</v>
      </c>
      <c r="FB38" s="76">
        <v>19374</v>
      </c>
      <c r="FC38" s="76">
        <v>1452</v>
      </c>
      <c r="FD38" s="76">
        <v>0</v>
      </c>
      <c r="FE38" s="76">
        <v>-4337</v>
      </c>
      <c r="FF38" s="76">
        <v>0</v>
      </c>
      <c r="FG38" s="76">
        <v>0</v>
      </c>
      <c r="FH38" s="76">
        <v>160061</v>
      </c>
      <c r="FI38" s="76">
        <v>1968681</v>
      </c>
      <c r="FJ38" s="76">
        <v>1914353</v>
      </c>
      <c r="FK38" s="76">
        <v>32745</v>
      </c>
      <c r="FL38" s="76">
        <v>19766</v>
      </c>
      <c r="FM38" s="76">
        <v>12979</v>
      </c>
      <c r="FN38" s="76">
        <v>1254</v>
      </c>
      <c r="FO38" s="76">
        <v>723</v>
      </c>
      <c r="FP38" s="76">
        <v>531</v>
      </c>
      <c r="FQ38" s="76">
        <v>0</v>
      </c>
      <c r="FR38" s="76">
        <v>0</v>
      </c>
      <c r="FS38" s="76">
        <v>0</v>
      </c>
      <c r="FT38" s="76">
        <v>21458</v>
      </c>
      <c r="FU38" s="76">
        <v>14028</v>
      </c>
      <c r="FV38" s="76">
        <v>7430</v>
      </c>
      <c r="FW38" s="76">
        <v>0</v>
      </c>
      <c r="FX38" s="76">
        <v>0</v>
      </c>
      <c r="FY38" s="76">
        <v>0</v>
      </c>
      <c r="FZ38" s="76">
        <v>0</v>
      </c>
      <c r="GA38" s="76">
        <v>75</v>
      </c>
      <c r="GB38" s="76">
        <v>-75</v>
      </c>
      <c r="GC38" s="76">
        <v>55457</v>
      </c>
      <c r="GD38" s="76">
        <v>34592</v>
      </c>
      <c r="GE38" s="76">
        <v>20865</v>
      </c>
      <c r="GF38" s="76">
        <v>0</v>
      </c>
      <c r="GG38" s="76">
        <v>0</v>
      </c>
      <c r="GH38" s="76">
        <v>0</v>
      </c>
      <c r="GI38" s="76">
        <v>0</v>
      </c>
      <c r="GJ38" s="76">
        <v>0</v>
      </c>
      <c r="GK38" s="76">
        <v>22401</v>
      </c>
      <c r="GL38" s="76">
        <v>22401</v>
      </c>
      <c r="GM38" s="76">
        <v>1249</v>
      </c>
      <c r="GN38" s="76">
        <v>0</v>
      </c>
      <c r="GO38" s="76">
        <v>0</v>
      </c>
      <c r="GP38" s="76">
        <v>19249</v>
      </c>
      <c r="GQ38" s="76">
        <v>1279</v>
      </c>
      <c r="GR38" s="76">
        <v>34145</v>
      </c>
      <c r="GS38" s="76">
        <v>0</v>
      </c>
      <c r="GT38" s="76">
        <v>0</v>
      </c>
      <c r="GU38" s="76">
        <v>0</v>
      </c>
      <c r="GV38" s="76">
        <v>0</v>
      </c>
      <c r="GW38" s="76">
        <v>20683</v>
      </c>
      <c r="GX38" s="76">
        <v>76605</v>
      </c>
      <c r="GY38" s="76">
        <v>49066</v>
      </c>
      <c r="GZ38" s="76">
        <v>79</v>
      </c>
      <c r="HA38" s="76">
        <v>0</v>
      </c>
      <c r="HB38" s="76">
        <v>689</v>
      </c>
      <c r="HC38" s="76">
        <v>49834</v>
      </c>
      <c r="HD38" s="76">
        <v>0</v>
      </c>
      <c r="HE38" s="76">
        <v>0</v>
      </c>
      <c r="HF38" s="76">
        <v>0</v>
      </c>
      <c r="HG38" s="76">
        <v>20902</v>
      </c>
      <c r="HH38" s="76">
        <v>458</v>
      </c>
      <c r="HI38" s="76">
        <v>206</v>
      </c>
      <c r="HJ38" s="76">
        <v>235</v>
      </c>
      <c r="HK38" s="76">
        <v>394</v>
      </c>
      <c r="HL38" s="76">
        <v>-5454</v>
      </c>
      <c r="HM38" s="76">
        <v>16741</v>
      </c>
      <c r="HN38" s="76">
        <v>23854</v>
      </c>
      <c r="HO38" s="76">
        <v>23245</v>
      </c>
      <c r="HP38" s="76">
        <v>1452</v>
      </c>
      <c r="HQ38" s="76">
        <v>221</v>
      </c>
      <c r="HR38" s="76">
        <v>-226</v>
      </c>
      <c r="HS38" s="76">
        <v>365</v>
      </c>
      <c r="HT38" s="76">
        <v>19164</v>
      </c>
      <c r="HU38" s="76">
        <v>0</v>
      </c>
      <c r="HV38" s="76">
        <v>-271</v>
      </c>
      <c r="HW38" s="76">
        <v>0</v>
      </c>
      <c r="HX38" s="76">
        <v>1989</v>
      </c>
    </row>
    <row r="39" spans="1:232" x14ac:dyDescent="0.2">
      <c r="A39" s="74" t="s">
        <v>282</v>
      </c>
      <c r="B39" s="74" t="s">
        <v>283</v>
      </c>
      <c r="C39" s="75" t="s">
        <v>200</v>
      </c>
      <c r="D39" s="75">
        <v>12</v>
      </c>
      <c r="E39" s="76">
        <v>29430</v>
      </c>
      <c r="F39" s="76">
        <v>0</v>
      </c>
      <c r="G39" s="76">
        <v>-26732</v>
      </c>
      <c r="H39" s="76">
        <v>2698</v>
      </c>
      <c r="I39" s="76">
        <v>0</v>
      </c>
      <c r="J39" s="76">
        <v>0</v>
      </c>
      <c r="K39" s="76">
        <v>311</v>
      </c>
      <c r="L39" s="76">
        <v>0</v>
      </c>
      <c r="M39" s="76">
        <v>109</v>
      </c>
      <c r="N39" s="76">
        <v>-471</v>
      </c>
      <c r="O39" s="76">
        <v>0</v>
      </c>
      <c r="P39" s="76">
        <v>0</v>
      </c>
      <c r="Q39" s="76">
        <v>0</v>
      </c>
      <c r="R39" s="76">
        <v>0</v>
      </c>
      <c r="S39" s="76">
        <v>2647</v>
      </c>
      <c r="T39" s="76">
        <v>15</v>
      </c>
      <c r="U39" s="76">
        <v>2662</v>
      </c>
      <c r="V39" s="76">
        <v>0</v>
      </c>
      <c r="W39" s="76">
        <v>-3736</v>
      </c>
      <c r="X39" s="76">
        <v>0</v>
      </c>
      <c r="Y39" s="76">
        <v>0</v>
      </c>
      <c r="Z39" s="76">
        <v>-1074</v>
      </c>
      <c r="AA39" s="76">
        <v>16303</v>
      </c>
      <c r="AB39" s="76">
        <v>3113</v>
      </c>
      <c r="AC39" s="76">
        <v>19416</v>
      </c>
      <c r="AD39" s="76">
        <v>380</v>
      </c>
      <c r="AE39" s="76">
        <v>0</v>
      </c>
      <c r="AF39" s="76">
        <v>32</v>
      </c>
      <c r="AG39" s="76">
        <v>1243</v>
      </c>
      <c r="AH39" s="76">
        <v>21071</v>
      </c>
      <c r="AI39" s="76">
        <v>6164</v>
      </c>
      <c r="AJ39" s="76">
        <v>10774</v>
      </c>
      <c r="AK39" s="76">
        <v>815</v>
      </c>
      <c r="AL39" s="76">
        <v>181</v>
      </c>
      <c r="AM39" s="76">
        <v>534</v>
      </c>
      <c r="AN39" s="76">
        <v>195</v>
      </c>
      <c r="AO39" s="76">
        <v>1780</v>
      </c>
      <c r="AP39" s="76">
        <v>0</v>
      </c>
      <c r="AQ39" s="76">
        <v>0</v>
      </c>
      <c r="AR39" s="76">
        <v>20443</v>
      </c>
      <c r="AS39" s="76">
        <v>628</v>
      </c>
      <c r="AT39" s="76">
        <v>3486</v>
      </c>
      <c r="AU39" s="76">
        <v>93023</v>
      </c>
      <c r="AV39" s="76">
        <v>0</v>
      </c>
      <c r="AW39" s="76">
        <v>5492</v>
      </c>
      <c r="AX39" s="76">
        <v>0</v>
      </c>
      <c r="AY39" s="76">
        <v>0</v>
      </c>
      <c r="AZ39" s="76">
        <v>850</v>
      </c>
      <c r="BA39" s="76">
        <v>0</v>
      </c>
      <c r="BB39" s="76">
        <v>0</v>
      </c>
      <c r="BC39" s="76">
        <v>0</v>
      </c>
      <c r="BD39" s="76">
        <v>0</v>
      </c>
      <c r="BE39" s="76">
        <v>99365</v>
      </c>
      <c r="BF39" s="76">
        <v>4699</v>
      </c>
      <c r="BG39" s="76">
        <v>1731</v>
      </c>
      <c r="BH39" s="76">
        <v>2050</v>
      </c>
      <c r="BI39" s="76">
        <v>0</v>
      </c>
      <c r="BJ39" s="76">
        <v>2222</v>
      </c>
      <c r="BK39" s="76">
        <v>10702</v>
      </c>
      <c r="BL39" s="76">
        <v>905</v>
      </c>
      <c r="BM39" s="76">
        <v>0</v>
      </c>
      <c r="BN39" s="76">
        <v>379</v>
      </c>
      <c r="BO39" s="76">
        <v>3989</v>
      </c>
      <c r="BP39" s="76">
        <v>5273</v>
      </c>
      <c r="BQ39" s="76">
        <v>5429</v>
      </c>
      <c r="BR39" s="76">
        <v>104794</v>
      </c>
      <c r="BS39" s="76">
        <v>20236</v>
      </c>
      <c r="BT39" s="76">
        <v>0</v>
      </c>
      <c r="BU39" s="76">
        <v>0</v>
      </c>
      <c r="BV39" s="76">
        <v>31887</v>
      </c>
      <c r="BW39" s="76">
        <v>0</v>
      </c>
      <c r="BX39" s="76">
        <v>0</v>
      </c>
      <c r="BY39" s="76">
        <v>0</v>
      </c>
      <c r="BZ39" s="76">
        <v>52123</v>
      </c>
      <c r="CA39" s="76">
        <v>1049</v>
      </c>
      <c r="CB39" s="76">
        <v>0</v>
      </c>
      <c r="CC39" s="76">
        <v>51622</v>
      </c>
      <c r="CD39" s="76">
        <v>51305</v>
      </c>
      <c r="CE39" s="76">
        <v>0</v>
      </c>
      <c r="CF39" s="76">
        <v>317</v>
      </c>
      <c r="CG39" s="76">
        <v>0</v>
      </c>
      <c r="CH39" s="76">
        <v>0</v>
      </c>
      <c r="CI39" s="76">
        <v>51622</v>
      </c>
      <c r="CJ39" s="76">
        <v>0</v>
      </c>
      <c r="CK39" s="76">
        <v>0</v>
      </c>
      <c r="CL39" s="76">
        <v>0</v>
      </c>
      <c r="CM39" s="76">
        <v>0</v>
      </c>
      <c r="CN39" s="76">
        <v>237</v>
      </c>
      <c r="CO39" s="76">
        <v>0</v>
      </c>
      <c r="CP39" s="76">
        <v>240</v>
      </c>
      <c r="CQ39" s="76">
        <v>-3</v>
      </c>
      <c r="CR39" s="76">
        <v>0</v>
      </c>
      <c r="CS39" s="76">
        <v>0</v>
      </c>
      <c r="CT39" s="76">
        <v>0</v>
      </c>
      <c r="CU39" s="76">
        <v>0</v>
      </c>
      <c r="CV39" s="76">
        <v>0</v>
      </c>
      <c r="CW39" s="76">
        <v>0</v>
      </c>
      <c r="CX39" s="76">
        <v>0</v>
      </c>
      <c r="CY39" s="76">
        <v>0</v>
      </c>
      <c r="CZ39" s="76">
        <v>104</v>
      </c>
      <c r="DA39" s="76">
        <v>0</v>
      </c>
      <c r="DB39" s="76">
        <v>106</v>
      </c>
      <c r="DC39" s="76">
        <v>-2</v>
      </c>
      <c r="DD39" s="76">
        <v>341</v>
      </c>
      <c r="DE39" s="76">
        <v>0</v>
      </c>
      <c r="DF39" s="76">
        <v>346</v>
      </c>
      <c r="DG39" s="76">
        <v>-5</v>
      </c>
      <c r="DH39" s="76">
        <v>0</v>
      </c>
      <c r="DI39" s="76">
        <v>0</v>
      </c>
      <c r="DJ39" s="76">
        <v>0</v>
      </c>
      <c r="DK39" s="76">
        <v>0</v>
      </c>
      <c r="DL39" s="76">
        <v>0</v>
      </c>
      <c r="DM39" s="76">
        <v>0</v>
      </c>
      <c r="DN39" s="76">
        <v>0</v>
      </c>
      <c r="DO39" s="76">
        <v>0</v>
      </c>
      <c r="DP39" s="76">
        <v>4623</v>
      </c>
      <c r="DQ39" s="76">
        <v>0</v>
      </c>
      <c r="DR39" s="76">
        <v>5375</v>
      </c>
      <c r="DS39" s="76">
        <v>-752</v>
      </c>
      <c r="DT39" s="76">
        <v>0</v>
      </c>
      <c r="DU39" s="76">
        <v>0</v>
      </c>
      <c r="DV39" s="76">
        <v>0</v>
      </c>
      <c r="DW39" s="76">
        <v>0</v>
      </c>
      <c r="DX39" s="76">
        <v>0</v>
      </c>
      <c r="DY39" s="76">
        <v>0</v>
      </c>
      <c r="DZ39" s="76">
        <v>0</v>
      </c>
      <c r="EA39" s="76">
        <v>0</v>
      </c>
      <c r="EB39" s="76">
        <v>3395</v>
      </c>
      <c r="EC39" s="76">
        <v>0</v>
      </c>
      <c r="ED39" s="76">
        <v>568</v>
      </c>
      <c r="EE39" s="76">
        <v>2827</v>
      </c>
      <c r="EF39" s="76">
        <v>8018</v>
      </c>
      <c r="EG39" s="76">
        <v>0</v>
      </c>
      <c r="EH39" s="76">
        <v>5943</v>
      </c>
      <c r="EI39" s="76">
        <v>2075</v>
      </c>
      <c r="EJ39" s="76">
        <v>8359</v>
      </c>
      <c r="EK39" s="76">
        <v>0</v>
      </c>
      <c r="EL39" s="76">
        <v>6289</v>
      </c>
      <c r="EM39" s="76">
        <v>2070</v>
      </c>
      <c r="EN39" s="76">
        <v>1985</v>
      </c>
      <c r="EO39" s="76">
        <v>368</v>
      </c>
      <c r="EP39" s="76">
        <v>254</v>
      </c>
      <c r="EQ39" s="76">
        <v>368</v>
      </c>
      <c r="ER39" s="76">
        <v>112268</v>
      </c>
      <c r="ES39" s="76">
        <v>0</v>
      </c>
      <c r="ET39" s="76">
        <v>112268</v>
      </c>
      <c r="EU39" s="76">
        <v>6222</v>
      </c>
      <c r="EV39" s="76">
        <v>-605</v>
      </c>
      <c r="EW39" s="76">
        <v>0</v>
      </c>
      <c r="EX39" s="76">
        <v>0</v>
      </c>
      <c r="EY39" s="76">
        <v>0</v>
      </c>
      <c r="EZ39" s="76">
        <v>117885</v>
      </c>
      <c r="FA39" s="76">
        <v>23677</v>
      </c>
      <c r="FB39" s="76">
        <v>1745</v>
      </c>
      <c r="FC39" s="76">
        <v>0</v>
      </c>
      <c r="FD39" s="76">
        <v>0</v>
      </c>
      <c r="FE39" s="76">
        <v>-560</v>
      </c>
      <c r="FF39" s="76">
        <v>0</v>
      </c>
      <c r="FG39" s="76">
        <v>0</v>
      </c>
      <c r="FH39" s="76">
        <v>24862</v>
      </c>
      <c r="FI39" s="76">
        <v>93023</v>
      </c>
      <c r="FJ39" s="76">
        <v>88591</v>
      </c>
      <c r="FK39" s="76">
        <v>0</v>
      </c>
      <c r="FL39" s="76">
        <v>0</v>
      </c>
      <c r="FM39" s="76">
        <v>0</v>
      </c>
      <c r="FN39" s="76">
        <v>0</v>
      </c>
      <c r="FO39" s="76">
        <v>0</v>
      </c>
      <c r="FP39" s="76">
        <v>0</v>
      </c>
      <c r="FQ39" s="76">
        <v>0</v>
      </c>
      <c r="FR39" s="76">
        <v>0</v>
      </c>
      <c r="FS39" s="76">
        <v>0</v>
      </c>
      <c r="FT39" s="76">
        <v>0</v>
      </c>
      <c r="FU39" s="76">
        <v>0</v>
      </c>
      <c r="FV39" s="76">
        <v>0</v>
      </c>
      <c r="FW39" s="76">
        <v>0</v>
      </c>
      <c r="FX39" s="76">
        <v>0</v>
      </c>
      <c r="FY39" s="76">
        <v>0</v>
      </c>
      <c r="FZ39" s="76">
        <v>0</v>
      </c>
      <c r="GA39" s="76">
        <v>0</v>
      </c>
      <c r="GB39" s="76">
        <v>0</v>
      </c>
      <c r="GC39" s="76">
        <v>0</v>
      </c>
      <c r="GD39" s="76">
        <v>0</v>
      </c>
      <c r="GE39" s="76">
        <v>0</v>
      </c>
      <c r="GF39" s="76">
        <v>0</v>
      </c>
      <c r="GG39" s="76">
        <v>19</v>
      </c>
      <c r="GH39" s="76">
        <v>0</v>
      </c>
      <c r="GI39" s="76">
        <v>0</v>
      </c>
      <c r="GJ39" s="76">
        <v>0</v>
      </c>
      <c r="GK39" s="76">
        <v>2203</v>
      </c>
      <c r="GL39" s="76">
        <v>2222</v>
      </c>
      <c r="GM39" s="76">
        <v>378</v>
      </c>
      <c r="GN39" s="76">
        <v>406</v>
      </c>
      <c r="GO39" s="76">
        <v>56</v>
      </c>
      <c r="GP39" s="76">
        <v>0</v>
      </c>
      <c r="GQ39" s="76">
        <v>0</v>
      </c>
      <c r="GR39" s="76">
        <v>2762</v>
      </c>
      <c r="GS39" s="76">
        <v>0</v>
      </c>
      <c r="GT39" s="76">
        <v>0</v>
      </c>
      <c r="GU39" s="76">
        <v>0</v>
      </c>
      <c r="GV39" s="76">
        <v>0</v>
      </c>
      <c r="GW39" s="76">
        <v>387</v>
      </c>
      <c r="GX39" s="76">
        <v>3989</v>
      </c>
      <c r="GY39" s="76">
        <v>0</v>
      </c>
      <c r="GZ39" s="76">
        <v>0</v>
      </c>
      <c r="HA39" s="76">
        <v>0</v>
      </c>
      <c r="HB39" s="76">
        <v>0</v>
      </c>
      <c r="HC39" s="76">
        <v>0</v>
      </c>
      <c r="HD39" s="76">
        <v>0</v>
      </c>
      <c r="HE39" s="76">
        <v>0</v>
      </c>
      <c r="HF39" s="76">
        <v>0</v>
      </c>
      <c r="HG39" s="76">
        <v>866</v>
      </c>
      <c r="HH39" s="76">
        <v>0</v>
      </c>
      <c r="HI39" s="76">
        <v>0</v>
      </c>
      <c r="HJ39" s="76">
        <v>0</v>
      </c>
      <c r="HK39" s="76">
        <v>0</v>
      </c>
      <c r="HL39" s="76">
        <v>-395</v>
      </c>
      <c r="HM39" s="76">
        <v>471</v>
      </c>
      <c r="HN39" s="76">
        <v>2005</v>
      </c>
      <c r="HO39" s="76">
        <v>2505</v>
      </c>
      <c r="HP39" s="76">
        <v>0</v>
      </c>
      <c r="HQ39" s="76">
        <v>1</v>
      </c>
      <c r="HR39" s="76">
        <v>0</v>
      </c>
      <c r="HS39" s="76">
        <v>-249</v>
      </c>
      <c r="HT39" s="76">
        <v>1963</v>
      </c>
      <c r="HU39" s="76">
        <v>0</v>
      </c>
      <c r="HV39" s="76">
        <v>0</v>
      </c>
      <c r="HW39" s="76">
        <v>0</v>
      </c>
      <c r="HX39" s="76">
        <v>101</v>
      </c>
    </row>
    <row r="40" spans="1:232" x14ac:dyDescent="0.2">
      <c r="A40" s="74" t="s">
        <v>285</v>
      </c>
      <c r="B40" s="74" t="s">
        <v>286</v>
      </c>
      <c r="C40" s="75" t="s">
        <v>200</v>
      </c>
      <c r="D40" s="75">
        <v>12</v>
      </c>
      <c r="E40" s="76">
        <v>13464</v>
      </c>
      <c r="F40" s="76">
        <v>0</v>
      </c>
      <c r="G40" s="76">
        <v>-13525</v>
      </c>
      <c r="H40" s="76">
        <v>-61</v>
      </c>
      <c r="I40" s="76">
        <v>-15</v>
      </c>
      <c r="J40" s="76">
        <v>0</v>
      </c>
      <c r="K40" s="76">
        <v>0</v>
      </c>
      <c r="L40" s="76">
        <v>0</v>
      </c>
      <c r="M40" s="76">
        <v>0</v>
      </c>
      <c r="N40" s="76">
        <v>-371</v>
      </c>
      <c r="O40" s="76">
        <v>0</v>
      </c>
      <c r="P40" s="76">
        <v>0</v>
      </c>
      <c r="Q40" s="76">
        <v>0</v>
      </c>
      <c r="R40" s="76">
        <v>0</v>
      </c>
      <c r="S40" s="76">
        <v>-447</v>
      </c>
      <c r="T40" s="76">
        <v>0</v>
      </c>
      <c r="U40" s="76">
        <v>-447</v>
      </c>
      <c r="V40" s="76">
        <v>0</v>
      </c>
      <c r="W40" s="76">
        <v>0</v>
      </c>
      <c r="X40" s="76">
        <v>0</v>
      </c>
      <c r="Y40" s="76">
        <v>0</v>
      </c>
      <c r="Z40" s="76">
        <v>-447</v>
      </c>
      <c r="AA40" s="76">
        <v>3533</v>
      </c>
      <c r="AB40" s="76">
        <v>2936</v>
      </c>
      <c r="AC40" s="76">
        <v>6469</v>
      </c>
      <c r="AD40" s="76">
        <v>689</v>
      </c>
      <c r="AE40" s="76">
        <v>0</v>
      </c>
      <c r="AF40" s="76">
        <v>596</v>
      </c>
      <c r="AG40" s="76">
        <v>245</v>
      </c>
      <c r="AH40" s="76">
        <v>7999</v>
      </c>
      <c r="AI40" s="76">
        <v>2966</v>
      </c>
      <c r="AJ40" s="76">
        <v>1123</v>
      </c>
      <c r="AK40" s="76">
        <v>482</v>
      </c>
      <c r="AL40" s="76">
        <v>7</v>
      </c>
      <c r="AM40" s="76">
        <v>0</v>
      </c>
      <c r="AN40" s="76">
        <v>269</v>
      </c>
      <c r="AO40" s="76">
        <v>714</v>
      </c>
      <c r="AP40" s="76">
        <v>0</v>
      </c>
      <c r="AQ40" s="76">
        <v>2692</v>
      </c>
      <c r="AR40" s="76">
        <v>8253</v>
      </c>
      <c r="AS40" s="76">
        <v>-254</v>
      </c>
      <c r="AT40" s="76">
        <v>543</v>
      </c>
      <c r="AU40" s="76">
        <v>29933</v>
      </c>
      <c r="AV40" s="76">
        <v>0</v>
      </c>
      <c r="AW40" s="76">
        <v>589</v>
      </c>
      <c r="AX40" s="76">
        <v>0</v>
      </c>
      <c r="AY40" s="76">
        <v>0</v>
      </c>
      <c r="AZ40" s="76">
        <v>0</v>
      </c>
      <c r="BA40" s="76">
        <v>0</v>
      </c>
      <c r="BB40" s="76">
        <v>0</v>
      </c>
      <c r="BC40" s="76">
        <v>0</v>
      </c>
      <c r="BD40" s="76">
        <v>0</v>
      </c>
      <c r="BE40" s="76">
        <v>30522</v>
      </c>
      <c r="BF40" s="76">
        <v>0</v>
      </c>
      <c r="BG40" s="76">
        <v>634</v>
      </c>
      <c r="BH40" s="76">
        <v>1778</v>
      </c>
      <c r="BI40" s="76">
        <v>0</v>
      </c>
      <c r="BJ40" s="76">
        <v>454</v>
      </c>
      <c r="BK40" s="76">
        <v>2866</v>
      </c>
      <c r="BL40" s="76">
        <v>158</v>
      </c>
      <c r="BM40" s="76">
        <v>0</v>
      </c>
      <c r="BN40" s="76">
        <v>0</v>
      </c>
      <c r="BO40" s="76">
        <v>1731</v>
      </c>
      <c r="BP40" s="76">
        <v>1889</v>
      </c>
      <c r="BQ40" s="76">
        <v>977</v>
      </c>
      <c r="BR40" s="76">
        <v>31499</v>
      </c>
      <c r="BS40" s="76">
        <v>11432</v>
      </c>
      <c r="BT40" s="76">
        <v>0</v>
      </c>
      <c r="BU40" s="76">
        <v>0</v>
      </c>
      <c r="BV40" s="76">
        <v>9994</v>
      </c>
      <c r="BW40" s="76">
        <v>0</v>
      </c>
      <c r="BX40" s="76">
        <v>0</v>
      </c>
      <c r="BY40" s="76">
        <v>582</v>
      </c>
      <c r="BZ40" s="76">
        <v>22008</v>
      </c>
      <c r="CA40" s="76">
        <v>223</v>
      </c>
      <c r="CB40" s="76">
        <v>0</v>
      </c>
      <c r="CC40" s="76">
        <v>9268</v>
      </c>
      <c r="CD40" s="76">
        <v>8525</v>
      </c>
      <c r="CE40" s="76">
        <v>0</v>
      </c>
      <c r="CF40" s="76">
        <v>161</v>
      </c>
      <c r="CG40" s="76">
        <v>0</v>
      </c>
      <c r="CH40" s="76">
        <v>582</v>
      </c>
      <c r="CI40" s="76">
        <v>9268</v>
      </c>
      <c r="CJ40" s="76">
        <v>0</v>
      </c>
      <c r="CK40" s="76">
        <v>0</v>
      </c>
      <c r="CL40" s="76">
        <v>0</v>
      </c>
      <c r="CM40" s="76">
        <v>0</v>
      </c>
      <c r="CN40" s="76">
        <v>0</v>
      </c>
      <c r="CO40" s="76">
        <v>0</v>
      </c>
      <c r="CP40" s="76">
        <v>0</v>
      </c>
      <c r="CQ40" s="76">
        <v>0</v>
      </c>
      <c r="CR40" s="76">
        <v>0</v>
      </c>
      <c r="CS40" s="76">
        <v>0</v>
      </c>
      <c r="CT40" s="76">
        <v>0</v>
      </c>
      <c r="CU40" s="76">
        <v>0</v>
      </c>
      <c r="CV40" s="76">
        <v>0</v>
      </c>
      <c r="CW40" s="76">
        <v>0</v>
      </c>
      <c r="CX40" s="76">
        <v>0</v>
      </c>
      <c r="CY40" s="76">
        <v>0</v>
      </c>
      <c r="CZ40" s="76">
        <v>0</v>
      </c>
      <c r="DA40" s="76">
        <v>0</v>
      </c>
      <c r="DB40" s="76">
        <v>0</v>
      </c>
      <c r="DC40" s="76">
        <v>0</v>
      </c>
      <c r="DD40" s="76">
        <v>0</v>
      </c>
      <c r="DE40" s="76">
        <v>0</v>
      </c>
      <c r="DF40" s="76">
        <v>0</v>
      </c>
      <c r="DG40" s="76">
        <v>0</v>
      </c>
      <c r="DH40" s="76">
        <v>0</v>
      </c>
      <c r="DI40" s="76">
        <v>0</v>
      </c>
      <c r="DJ40" s="76">
        <v>0</v>
      </c>
      <c r="DK40" s="76">
        <v>0</v>
      </c>
      <c r="DL40" s="76">
        <v>1473</v>
      </c>
      <c r="DM40" s="76">
        <v>0</v>
      </c>
      <c r="DN40" s="76">
        <v>1240</v>
      </c>
      <c r="DO40" s="76">
        <v>233</v>
      </c>
      <c r="DP40" s="76">
        <v>120</v>
      </c>
      <c r="DQ40" s="76">
        <v>0</v>
      </c>
      <c r="DR40" s="76">
        <v>133</v>
      </c>
      <c r="DS40" s="76">
        <v>-13</v>
      </c>
      <c r="DT40" s="76">
        <v>0</v>
      </c>
      <c r="DU40" s="76">
        <v>0</v>
      </c>
      <c r="DV40" s="76">
        <v>0</v>
      </c>
      <c r="DW40" s="76">
        <v>0</v>
      </c>
      <c r="DX40" s="76">
        <v>3488</v>
      </c>
      <c r="DY40" s="76">
        <v>0</v>
      </c>
      <c r="DZ40" s="76">
        <v>3418</v>
      </c>
      <c r="EA40" s="76">
        <v>70</v>
      </c>
      <c r="EB40" s="76">
        <v>384</v>
      </c>
      <c r="EC40" s="76">
        <v>0</v>
      </c>
      <c r="ED40" s="76">
        <v>481</v>
      </c>
      <c r="EE40" s="76">
        <v>-97</v>
      </c>
      <c r="EF40" s="76">
        <v>5465</v>
      </c>
      <c r="EG40" s="76">
        <v>0</v>
      </c>
      <c r="EH40" s="76">
        <v>5272</v>
      </c>
      <c r="EI40" s="76">
        <v>193</v>
      </c>
      <c r="EJ40" s="76">
        <v>5465</v>
      </c>
      <c r="EK40" s="76">
        <v>0</v>
      </c>
      <c r="EL40" s="76">
        <v>5272</v>
      </c>
      <c r="EM40" s="76">
        <v>193</v>
      </c>
      <c r="EN40" s="76">
        <v>463</v>
      </c>
      <c r="EO40" s="76">
        <v>922</v>
      </c>
      <c r="EP40" s="76">
        <v>82</v>
      </c>
      <c r="EQ40" s="76">
        <v>669</v>
      </c>
      <c r="ER40" s="76">
        <v>40088</v>
      </c>
      <c r="ES40" s="76">
        <v>0</v>
      </c>
      <c r="ET40" s="76">
        <v>40088</v>
      </c>
      <c r="EU40" s="76">
        <v>160</v>
      </c>
      <c r="EV40" s="76">
        <v>-31</v>
      </c>
      <c r="EW40" s="76">
        <v>0</v>
      </c>
      <c r="EX40" s="76">
        <v>0</v>
      </c>
      <c r="EY40" s="76">
        <v>0</v>
      </c>
      <c r="EZ40" s="76">
        <v>40217</v>
      </c>
      <c r="FA40" s="76">
        <v>9004</v>
      </c>
      <c r="FB40" s="76">
        <v>1297</v>
      </c>
      <c r="FC40" s="76">
        <v>0</v>
      </c>
      <c r="FD40" s="76">
        <v>0</v>
      </c>
      <c r="FE40" s="76">
        <v>-17</v>
      </c>
      <c r="FF40" s="76">
        <v>0</v>
      </c>
      <c r="FG40" s="76">
        <v>0</v>
      </c>
      <c r="FH40" s="76">
        <v>10284</v>
      </c>
      <c r="FI40" s="76">
        <v>29933</v>
      </c>
      <c r="FJ40" s="76">
        <v>31084</v>
      </c>
      <c r="FK40" s="76">
        <v>0</v>
      </c>
      <c r="FL40" s="76">
        <v>0</v>
      </c>
      <c r="FM40" s="76">
        <v>0</v>
      </c>
      <c r="FN40" s="76">
        <v>0</v>
      </c>
      <c r="FO40" s="76">
        <v>0</v>
      </c>
      <c r="FP40" s="76">
        <v>0</v>
      </c>
      <c r="FQ40" s="76">
        <v>0</v>
      </c>
      <c r="FR40" s="76">
        <v>0</v>
      </c>
      <c r="FS40" s="76">
        <v>0</v>
      </c>
      <c r="FT40" s="76">
        <v>0</v>
      </c>
      <c r="FU40" s="76">
        <v>0</v>
      </c>
      <c r="FV40" s="76">
        <v>0</v>
      </c>
      <c r="FW40" s="76">
        <v>0</v>
      </c>
      <c r="FX40" s="76">
        <v>0</v>
      </c>
      <c r="FY40" s="76">
        <v>0</v>
      </c>
      <c r="FZ40" s="76">
        <v>0</v>
      </c>
      <c r="GA40" s="76">
        <v>15</v>
      </c>
      <c r="GB40" s="76">
        <v>-15</v>
      </c>
      <c r="GC40" s="76">
        <v>0</v>
      </c>
      <c r="GD40" s="76">
        <v>15</v>
      </c>
      <c r="GE40" s="76">
        <v>-15</v>
      </c>
      <c r="GF40" s="76">
        <v>4</v>
      </c>
      <c r="GG40" s="76">
        <v>5</v>
      </c>
      <c r="GH40" s="76">
        <v>0</v>
      </c>
      <c r="GI40" s="76">
        <v>0</v>
      </c>
      <c r="GJ40" s="76">
        <v>0</v>
      </c>
      <c r="GK40" s="76">
        <v>445</v>
      </c>
      <c r="GL40" s="76">
        <v>454</v>
      </c>
      <c r="GM40" s="76">
        <v>670</v>
      </c>
      <c r="GN40" s="76">
        <v>0</v>
      </c>
      <c r="GO40" s="76">
        <v>0</v>
      </c>
      <c r="GP40" s="76">
        <v>0</v>
      </c>
      <c r="GQ40" s="76">
        <v>0</v>
      </c>
      <c r="GR40" s="76">
        <v>940</v>
      </c>
      <c r="GS40" s="76">
        <v>0</v>
      </c>
      <c r="GT40" s="76">
        <v>0</v>
      </c>
      <c r="GU40" s="76">
        <v>0</v>
      </c>
      <c r="GV40" s="76">
        <v>0</v>
      </c>
      <c r="GW40" s="76">
        <v>121</v>
      </c>
      <c r="GX40" s="76">
        <v>1731</v>
      </c>
      <c r="GY40" s="76">
        <v>582</v>
      </c>
      <c r="GZ40" s="76">
        <v>0</v>
      </c>
      <c r="HA40" s="76">
        <v>0</v>
      </c>
      <c r="HB40" s="76">
        <v>0</v>
      </c>
      <c r="HC40" s="76">
        <v>582</v>
      </c>
      <c r="HD40" s="76">
        <v>0</v>
      </c>
      <c r="HE40" s="76">
        <v>0</v>
      </c>
      <c r="HF40" s="76">
        <v>0</v>
      </c>
      <c r="HG40" s="76">
        <v>371</v>
      </c>
      <c r="HH40" s="76">
        <v>0</v>
      </c>
      <c r="HI40" s="76">
        <v>0</v>
      </c>
      <c r="HJ40" s="76">
        <v>0</v>
      </c>
      <c r="HK40" s="76">
        <v>0</v>
      </c>
      <c r="HL40" s="76">
        <v>0</v>
      </c>
      <c r="HM40" s="76">
        <v>371</v>
      </c>
      <c r="HN40" s="76">
        <v>40</v>
      </c>
      <c r="HO40" s="76">
        <v>1458</v>
      </c>
      <c r="HP40" s="76">
        <v>0</v>
      </c>
      <c r="HQ40" s="76">
        <v>0</v>
      </c>
      <c r="HR40" s="76">
        <v>0</v>
      </c>
      <c r="HS40" s="76">
        <v>-763</v>
      </c>
      <c r="HT40" s="76">
        <v>645</v>
      </c>
      <c r="HU40" s="76">
        <v>0</v>
      </c>
      <c r="HV40" s="76">
        <v>0</v>
      </c>
      <c r="HW40" s="76">
        <v>0</v>
      </c>
      <c r="HX40" s="76">
        <v>166</v>
      </c>
    </row>
    <row r="41" spans="1:232" x14ac:dyDescent="0.2">
      <c r="A41" s="74" t="s">
        <v>41</v>
      </c>
      <c r="B41" s="74" t="s">
        <v>40</v>
      </c>
      <c r="C41" s="75" t="s">
        <v>200</v>
      </c>
      <c r="D41" s="75">
        <v>12</v>
      </c>
      <c r="E41" s="76">
        <v>62627</v>
      </c>
      <c r="F41" s="76">
        <v>-9488</v>
      </c>
      <c r="G41" s="76">
        <v>-31035</v>
      </c>
      <c r="H41" s="76">
        <v>22104</v>
      </c>
      <c r="I41" s="76">
        <v>1091</v>
      </c>
      <c r="J41" s="76">
        <v>0</v>
      </c>
      <c r="K41" s="76">
        <v>-350</v>
      </c>
      <c r="L41" s="76">
        <v>0</v>
      </c>
      <c r="M41" s="76">
        <v>48</v>
      </c>
      <c r="N41" s="76">
        <v>-12179</v>
      </c>
      <c r="O41" s="76">
        <v>830</v>
      </c>
      <c r="P41" s="76">
        <v>-7784</v>
      </c>
      <c r="Q41" s="76">
        <v>0</v>
      </c>
      <c r="R41" s="76">
        <v>0</v>
      </c>
      <c r="S41" s="76">
        <v>3760</v>
      </c>
      <c r="T41" s="76">
        <v>138</v>
      </c>
      <c r="U41" s="76">
        <v>3898</v>
      </c>
      <c r="V41" s="76">
        <v>0</v>
      </c>
      <c r="W41" s="76">
        <v>-5036</v>
      </c>
      <c r="X41" s="76">
        <v>-8983</v>
      </c>
      <c r="Y41" s="76">
        <v>0</v>
      </c>
      <c r="Z41" s="76">
        <v>-10121</v>
      </c>
      <c r="AA41" s="76">
        <v>44907</v>
      </c>
      <c r="AB41" s="76">
        <v>2394</v>
      </c>
      <c r="AC41" s="76">
        <v>47301</v>
      </c>
      <c r="AD41" s="76">
        <v>9</v>
      </c>
      <c r="AE41" s="76">
        <v>0</v>
      </c>
      <c r="AF41" s="76">
        <v>0</v>
      </c>
      <c r="AG41" s="76">
        <v>0</v>
      </c>
      <c r="AH41" s="76">
        <v>47310</v>
      </c>
      <c r="AI41" s="76">
        <v>11419</v>
      </c>
      <c r="AJ41" s="76">
        <v>2184</v>
      </c>
      <c r="AK41" s="76">
        <v>4423</v>
      </c>
      <c r="AL41" s="76">
        <v>4660</v>
      </c>
      <c r="AM41" s="76">
        <v>426</v>
      </c>
      <c r="AN41" s="76">
        <v>74</v>
      </c>
      <c r="AO41" s="76">
        <v>6563</v>
      </c>
      <c r="AP41" s="76">
        <v>0</v>
      </c>
      <c r="AQ41" s="76">
        <v>0</v>
      </c>
      <c r="AR41" s="76">
        <v>29749</v>
      </c>
      <c r="AS41" s="76">
        <v>17561</v>
      </c>
      <c r="AT41" s="76">
        <v>198</v>
      </c>
      <c r="AU41" s="76">
        <v>526121</v>
      </c>
      <c r="AV41" s="76">
        <v>0</v>
      </c>
      <c r="AW41" s="76">
        <v>24128</v>
      </c>
      <c r="AX41" s="76">
        <v>0</v>
      </c>
      <c r="AY41" s="76">
        <v>0</v>
      </c>
      <c r="AZ41" s="76">
        <v>7506</v>
      </c>
      <c r="BA41" s="76">
        <v>0</v>
      </c>
      <c r="BB41" s="76">
        <v>0</v>
      </c>
      <c r="BC41" s="76">
        <v>0</v>
      </c>
      <c r="BD41" s="76">
        <v>0</v>
      </c>
      <c r="BE41" s="76">
        <v>557755</v>
      </c>
      <c r="BF41" s="76">
        <v>13057</v>
      </c>
      <c r="BG41" s="76">
        <v>3781</v>
      </c>
      <c r="BH41" s="76">
        <v>14116</v>
      </c>
      <c r="BI41" s="76">
        <v>0</v>
      </c>
      <c r="BJ41" s="76">
        <v>134</v>
      </c>
      <c r="BK41" s="76">
        <v>31088</v>
      </c>
      <c r="BL41" s="76">
        <v>0</v>
      </c>
      <c r="BM41" s="76">
        <v>0</v>
      </c>
      <c r="BN41" s="76">
        <v>0</v>
      </c>
      <c r="BO41" s="76">
        <v>20213</v>
      </c>
      <c r="BP41" s="76">
        <v>20213</v>
      </c>
      <c r="BQ41" s="76">
        <v>10875</v>
      </c>
      <c r="BR41" s="76">
        <v>568630</v>
      </c>
      <c r="BS41" s="76">
        <v>344087</v>
      </c>
      <c r="BT41" s="76">
        <v>0</v>
      </c>
      <c r="BU41" s="76">
        <v>0</v>
      </c>
      <c r="BV41" s="76">
        <v>3034</v>
      </c>
      <c r="BW41" s="76">
        <v>0</v>
      </c>
      <c r="BX41" s="76">
        <v>81221</v>
      </c>
      <c r="BY41" s="76">
        <v>783</v>
      </c>
      <c r="BZ41" s="76">
        <v>429125</v>
      </c>
      <c r="CA41" s="76">
        <v>15725</v>
      </c>
      <c r="CB41" s="76">
        <v>0</v>
      </c>
      <c r="CC41" s="76">
        <v>123780</v>
      </c>
      <c r="CD41" s="76">
        <v>15773</v>
      </c>
      <c r="CE41" s="76">
        <v>162981</v>
      </c>
      <c r="CF41" s="76">
        <v>0</v>
      </c>
      <c r="CG41" s="76">
        <v>-54974</v>
      </c>
      <c r="CH41" s="76">
        <v>0</v>
      </c>
      <c r="CI41" s="76">
        <v>123780</v>
      </c>
      <c r="CJ41" s="76">
        <v>10054</v>
      </c>
      <c r="CK41" s="76">
        <v>6509</v>
      </c>
      <c r="CL41" s="76">
        <v>0</v>
      </c>
      <c r="CM41" s="76">
        <v>3545</v>
      </c>
      <c r="CN41" s="76">
        <v>376</v>
      </c>
      <c r="CO41" s="76">
        <v>0</v>
      </c>
      <c r="CP41" s="76">
        <v>398</v>
      </c>
      <c r="CQ41" s="76">
        <v>-22</v>
      </c>
      <c r="CR41" s="76">
        <v>0</v>
      </c>
      <c r="CS41" s="76">
        <v>0</v>
      </c>
      <c r="CT41" s="76">
        <v>272</v>
      </c>
      <c r="CU41" s="76">
        <v>-272</v>
      </c>
      <c r="CV41" s="76">
        <v>0</v>
      </c>
      <c r="CW41" s="76">
        <v>0</v>
      </c>
      <c r="CX41" s="76">
        <v>0</v>
      </c>
      <c r="CY41" s="76">
        <v>0</v>
      </c>
      <c r="CZ41" s="76">
        <v>49</v>
      </c>
      <c r="DA41" s="76">
        <v>0</v>
      </c>
      <c r="DB41" s="76">
        <v>445</v>
      </c>
      <c r="DC41" s="76">
        <v>-396</v>
      </c>
      <c r="DD41" s="76">
        <v>10479</v>
      </c>
      <c r="DE41" s="76">
        <v>6509</v>
      </c>
      <c r="DF41" s="76">
        <v>1115</v>
      </c>
      <c r="DG41" s="76">
        <v>2855</v>
      </c>
      <c r="DH41" s="76">
        <v>3500</v>
      </c>
      <c r="DI41" s="76">
        <v>2979</v>
      </c>
      <c r="DJ41" s="76">
        <v>0</v>
      </c>
      <c r="DK41" s="76">
        <v>521</v>
      </c>
      <c r="DL41" s="76">
        <v>0</v>
      </c>
      <c r="DM41" s="76">
        <v>0</v>
      </c>
      <c r="DN41" s="76">
        <v>0</v>
      </c>
      <c r="DO41" s="76">
        <v>0</v>
      </c>
      <c r="DP41" s="76">
        <v>0</v>
      </c>
      <c r="DQ41" s="76">
        <v>0</v>
      </c>
      <c r="DR41" s="76">
        <v>0</v>
      </c>
      <c r="DS41" s="76">
        <v>0</v>
      </c>
      <c r="DT41" s="76">
        <v>320</v>
      </c>
      <c r="DU41" s="76">
        <v>0</v>
      </c>
      <c r="DV41" s="76">
        <v>114</v>
      </c>
      <c r="DW41" s="76">
        <v>206</v>
      </c>
      <c r="DX41" s="76">
        <v>65</v>
      </c>
      <c r="DY41" s="76">
        <v>0</v>
      </c>
      <c r="DZ41" s="76">
        <v>0</v>
      </c>
      <c r="EA41" s="76">
        <v>65</v>
      </c>
      <c r="EB41" s="76">
        <v>953</v>
      </c>
      <c r="EC41" s="76">
        <v>0</v>
      </c>
      <c r="ED41" s="76">
        <v>57</v>
      </c>
      <c r="EE41" s="76">
        <v>896</v>
      </c>
      <c r="EF41" s="76">
        <v>4838</v>
      </c>
      <c r="EG41" s="76">
        <v>2979</v>
      </c>
      <c r="EH41" s="76">
        <v>171</v>
      </c>
      <c r="EI41" s="76">
        <v>1688</v>
      </c>
      <c r="EJ41" s="76">
        <v>15317</v>
      </c>
      <c r="EK41" s="76">
        <v>9488</v>
      </c>
      <c r="EL41" s="76">
        <v>1286</v>
      </c>
      <c r="EM41" s="76">
        <v>4543</v>
      </c>
      <c r="EN41" s="76">
        <v>563</v>
      </c>
      <c r="EO41" s="76">
        <v>172</v>
      </c>
      <c r="EP41" s="76">
        <v>144</v>
      </c>
      <c r="EQ41" s="76">
        <v>135</v>
      </c>
      <c r="ER41" s="76">
        <v>501843</v>
      </c>
      <c r="ES41" s="76">
        <v>0</v>
      </c>
      <c r="ET41" s="76">
        <v>501843</v>
      </c>
      <c r="EU41" s="76">
        <v>44957</v>
      </c>
      <c r="EV41" s="76">
        <v>-4158</v>
      </c>
      <c r="EW41" s="76">
        <v>0</v>
      </c>
      <c r="EX41" s="76">
        <v>0</v>
      </c>
      <c r="EY41" s="76">
        <v>65</v>
      </c>
      <c r="EZ41" s="76">
        <v>542707</v>
      </c>
      <c r="FA41" s="76">
        <v>10821</v>
      </c>
      <c r="FB41" s="76">
        <v>6563</v>
      </c>
      <c r="FC41" s="76">
        <v>0</v>
      </c>
      <c r="FD41" s="76">
        <v>0</v>
      </c>
      <c r="FE41" s="76">
        <v>-798</v>
      </c>
      <c r="FF41" s="76">
        <v>0</v>
      </c>
      <c r="FG41" s="76">
        <v>0</v>
      </c>
      <c r="FH41" s="76">
        <v>16586</v>
      </c>
      <c r="FI41" s="76">
        <v>526121</v>
      </c>
      <c r="FJ41" s="76">
        <v>491022</v>
      </c>
      <c r="FK41" s="76">
        <v>795</v>
      </c>
      <c r="FL41" s="76">
        <v>510</v>
      </c>
      <c r="FM41" s="76">
        <v>285</v>
      </c>
      <c r="FN41" s="76">
        <v>1820</v>
      </c>
      <c r="FO41" s="76">
        <v>2121</v>
      </c>
      <c r="FP41" s="76">
        <v>-301</v>
      </c>
      <c r="FQ41" s="76">
        <v>615</v>
      </c>
      <c r="FR41" s="76">
        <v>753</v>
      </c>
      <c r="FS41" s="76">
        <v>-138</v>
      </c>
      <c r="FT41" s="76">
        <v>2015</v>
      </c>
      <c r="FU41" s="76">
        <v>770</v>
      </c>
      <c r="FV41" s="76">
        <v>1245</v>
      </c>
      <c r="FW41" s="76">
        <v>0</v>
      </c>
      <c r="FX41" s="76">
        <v>0</v>
      </c>
      <c r="FY41" s="76">
        <v>0</v>
      </c>
      <c r="FZ41" s="76">
        <v>0</v>
      </c>
      <c r="GA41" s="76">
        <v>0</v>
      </c>
      <c r="GB41" s="76">
        <v>0</v>
      </c>
      <c r="GC41" s="76">
        <v>5245</v>
      </c>
      <c r="GD41" s="76">
        <v>4154</v>
      </c>
      <c r="GE41" s="76">
        <v>1091</v>
      </c>
      <c r="GF41" s="76">
        <v>0</v>
      </c>
      <c r="GG41" s="76">
        <v>0</v>
      </c>
      <c r="GH41" s="76">
        <v>0</v>
      </c>
      <c r="GI41" s="76">
        <v>0</v>
      </c>
      <c r="GJ41" s="76">
        <v>0</v>
      </c>
      <c r="GK41" s="76">
        <v>134</v>
      </c>
      <c r="GL41" s="76">
        <v>134</v>
      </c>
      <c r="GM41" s="76">
        <v>3232</v>
      </c>
      <c r="GN41" s="76">
        <v>901</v>
      </c>
      <c r="GO41" s="76">
        <v>0</v>
      </c>
      <c r="GP41" s="76">
        <v>0</v>
      </c>
      <c r="GQ41" s="76">
        <v>273</v>
      </c>
      <c r="GR41" s="76">
        <v>8976</v>
      </c>
      <c r="GS41" s="76">
        <v>0</v>
      </c>
      <c r="GT41" s="76">
        <v>0</v>
      </c>
      <c r="GU41" s="76">
        <v>0</v>
      </c>
      <c r="GV41" s="76">
        <v>0</v>
      </c>
      <c r="GW41" s="76">
        <v>6831</v>
      </c>
      <c r="GX41" s="76">
        <v>20213</v>
      </c>
      <c r="GY41" s="76">
        <v>86</v>
      </c>
      <c r="GZ41" s="76">
        <v>697</v>
      </c>
      <c r="HA41" s="76">
        <v>0</v>
      </c>
      <c r="HB41" s="76">
        <v>0</v>
      </c>
      <c r="HC41" s="76">
        <v>783</v>
      </c>
      <c r="HD41" s="76">
        <v>0</v>
      </c>
      <c r="HE41" s="76">
        <v>0</v>
      </c>
      <c r="HF41" s="76">
        <v>0</v>
      </c>
      <c r="HG41" s="76">
        <v>13524</v>
      </c>
      <c r="HH41" s="76">
        <v>333</v>
      </c>
      <c r="HI41" s="76">
        <v>0</v>
      </c>
      <c r="HJ41" s="76">
        <v>0</v>
      </c>
      <c r="HK41" s="76">
        <v>-294</v>
      </c>
      <c r="HL41" s="76">
        <v>-1384</v>
      </c>
      <c r="HM41" s="76">
        <v>12179</v>
      </c>
      <c r="HN41" s="76">
        <v>2706</v>
      </c>
      <c r="HO41" s="76">
        <v>7548</v>
      </c>
      <c r="HP41" s="76">
        <v>192</v>
      </c>
      <c r="HQ41" s="76">
        <v>296</v>
      </c>
      <c r="HR41" s="76">
        <v>-33</v>
      </c>
      <c r="HS41" s="76">
        <v>0</v>
      </c>
      <c r="HT41" s="76">
        <v>8535</v>
      </c>
      <c r="HU41" s="76">
        <v>0</v>
      </c>
      <c r="HV41" s="76">
        <v>0</v>
      </c>
      <c r="HW41" s="76">
        <v>0</v>
      </c>
      <c r="HX41" s="76">
        <v>871</v>
      </c>
    </row>
    <row r="42" spans="1:232" x14ac:dyDescent="0.2">
      <c r="A42" s="74" t="s">
        <v>289</v>
      </c>
      <c r="B42" s="74" t="s">
        <v>290</v>
      </c>
      <c r="C42" s="75" t="s">
        <v>200</v>
      </c>
      <c r="D42" s="75">
        <v>12</v>
      </c>
      <c r="E42" s="76">
        <v>29443</v>
      </c>
      <c r="F42" s="76">
        <v>-442</v>
      </c>
      <c r="G42" s="76">
        <v>-18109</v>
      </c>
      <c r="H42" s="76">
        <v>10892</v>
      </c>
      <c r="I42" s="76">
        <v>450</v>
      </c>
      <c r="J42" s="76">
        <v>0</v>
      </c>
      <c r="K42" s="76">
        <v>0</v>
      </c>
      <c r="L42" s="76">
        <v>0</v>
      </c>
      <c r="M42" s="76">
        <v>61</v>
      </c>
      <c r="N42" s="76">
        <v>-4125</v>
      </c>
      <c r="O42" s="76">
        <v>0</v>
      </c>
      <c r="P42" s="76">
        <v>0</v>
      </c>
      <c r="Q42" s="76">
        <v>0</v>
      </c>
      <c r="R42" s="76">
        <v>0</v>
      </c>
      <c r="S42" s="76">
        <v>7278</v>
      </c>
      <c r="T42" s="76">
        <v>-9</v>
      </c>
      <c r="U42" s="76">
        <v>7269</v>
      </c>
      <c r="V42" s="76">
        <v>0</v>
      </c>
      <c r="W42" s="76">
        <v>-1878</v>
      </c>
      <c r="X42" s="76">
        <v>0</v>
      </c>
      <c r="Y42" s="76">
        <v>0</v>
      </c>
      <c r="Z42" s="76">
        <v>5391</v>
      </c>
      <c r="AA42" s="76">
        <v>24622</v>
      </c>
      <c r="AB42" s="76">
        <v>585</v>
      </c>
      <c r="AC42" s="76">
        <v>25207</v>
      </c>
      <c r="AD42" s="76">
        <v>88</v>
      </c>
      <c r="AE42" s="76">
        <v>0</v>
      </c>
      <c r="AF42" s="76">
        <v>0</v>
      </c>
      <c r="AG42" s="76">
        <v>0</v>
      </c>
      <c r="AH42" s="76">
        <v>25295</v>
      </c>
      <c r="AI42" s="76">
        <v>2521</v>
      </c>
      <c r="AJ42" s="76">
        <v>1746</v>
      </c>
      <c r="AK42" s="76">
        <v>3905</v>
      </c>
      <c r="AL42" s="76">
        <v>1770</v>
      </c>
      <c r="AM42" s="76">
        <v>0</v>
      </c>
      <c r="AN42" s="76">
        <v>206</v>
      </c>
      <c r="AO42" s="76">
        <v>5108</v>
      </c>
      <c r="AP42" s="76">
        <v>0</v>
      </c>
      <c r="AQ42" s="76">
        <v>95</v>
      </c>
      <c r="AR42" s="76">
        <v>15351</v>
      </c>
      <c r="AS42" s="76">
        <v>9944</v>
      </c>
      <c r="AT42" s="76">
        <v>67</v>
      </c>
      <c r="AU42" s="76">
        <v>110216</v>
      </c>
      <c r="AV42" s="76">
        <v>0</v>
      </c>
      <c r="AW42" s="76">
        <v>3216</v>
      </c>
      <c r="AX42" s="76">
        <v>313</v>
      </c>
      <c r="AY42" s="76">
        <v>0</v>
      </c>
      <c r="AZ42" s="76">
        <v>2474</v>
      </c>
      <c r="BA42" s="76">
        <v>0</v>
      </c>
      <c r="BB42" s="76">
        <v>0</v>
      </c>
      <c r="BC42" s="76">
        <v>0</v>
      </c>
      <c r="BD42" s="76">
        <v>0</v>
      </c>
      <c r="BE42" s="76">
        <v>116219</v>
      </c>
      <c r="BF42" s="76">
        <v>636</v>
      </c>
      <c r="BG42" s="76">
        <v>2996</v>
      </c>
      <c r="BH42" s="76">
        <v>12629</v>
      </c>
      <c r="BI42" s="76">
        <v>0</v>
      </c>
      <c r="BJ42" s="76">
        <v>856</v>
      </c>
      <c r="BK42" s="76">
        <v>17117</v>
      </c>
      <c r="BL42" s="76">
        <v>132</v>
      </c>
      <c r="BM42" s="76">
        <v>451</v>
      </c>
      <c r="BN42" s="76">
        <v>97</v>
      </c>
      <c r="BO42" s="76">
        <v>5082</v>
      </c>
      <c r="BP42" s="76">
        <v>5762</v>
      </c>
      <c r="BQ42" s="76">
        <v>11355</v>
      </c>
      <c r="BR42" s="76">
        <v>127574</v>
      </c>
      <c r="BS42" s="76">
        <v>73593</v>
      </c>
      <c r="BT42" s="76">
        <v>0</v>
      </c>
      <c r="BU42" s="76">
        <v>0</v>
      </c>
      <c r="BV42" s="76">
        <v>8958</v>
      </c>
      <c r="BW42" s="76">
        <v>0</v>
      </c>
      <c r="BX42" s="76">
        <v>0</v>
      </c>
      <c r="BY42" s="76">
        <v>145</v>
      </c>
      <c r="BZ42" s="76">
        <v>82696</v>
      </c>
      <c r="CA42" s="76">
        <v>3547</v>
      </c>
      <c r="CB42" s="76">
        <v>0</v>
      </c>
      <c r="CC42" s="76">
        <v>41331</v>
      </c>
      <c r="CD42" s="76">
        <v>41331</v>
      </c>
      <c r="CE42" s="76">
        <v>0</v>
      </c>
      <c r="CF42" s="76">
        <v>0</v>
      </c>
      <c r="CG42" s="76">
        <v>0</v>
      </c>
      <c r="CH42" s="76">
        <v>0</v>
      </c>
      <c r="CI42" s="76">
        <v>41331</v>
      </c>
      <c r="CJ42" s="76">
        <v>773</v>
      </c>
      <c r="CK42" s="76">
        <v>442</v>
      </c>
      <c r="CL42" s="76">
        <v>0</v>
      </c>
      <c r="CM42" s="76">
        <v>331</v>
      </c>
      <c r="CN42" s="76">
        <v>299</v>
      </c>
      <c r="CO42" s="76">
        <v>0</v>
      </c>
      <c r="CP42" s="76">
        <v>287</v>
      </c>
      <c r="CQ42" s="76">
        <v>12</v>
      </c>
      <c r="CR42" s="76">
        <v>0</v>
      </c>
      <c r="CS42" s="76">
        <v>0</v>
      </c>
      <c r="CT42" s="76">
        <v>0</v>
      </c>
      <c r="CU42" s="76">
        <v>0</v>
      </c>
      <c r="CV42" s="76">
        <v>0</v>
      </c>
      <c r="CW42" s="76">
        <v>0</v>
      </c>
      <c r="CX42" s="76">
        <v>0</v>
      </c>
      <c r="CY42" s="76">
        <v>0</v>
      </c>
      <c r="CZ42" s="76">
        <v>874</v>
      </c>
      <c r="DA42" s="76">
        <v>0</v>
      </c>
      <c r="DB42" s="76">
        <v>702</v>
      </c>
      <c r="DC42" s="76">
        <v>172</v>
      </c>
      <c r="DD42" s="76">
        <v>1946</v>
      </c>
      <c r="DE42" s="76">
        <v>442</v>
      </c>
      <c r="DF42" s="76">
        <v>989</v>
      </c>
      <c r="DG42" s="76">
        <v>515</v>
      </c>
      <c r="DH42" s="76">
        <v>0</v>
      </c>
      <c r="DI42" s="76">
        <v>0</v>
      </c>
      <c r="DJ42" s="76">
        <v>0</v>
      </c>
      <c r="DK42" s="76">
        <v>0</v>
      </c>
      <c r="DL42" s="76">
        <v>0</v>
      </c>
      <c r="DM42" s="76">
        <v>0</v>
      </c>
      <c r="DN42" s="76">
        <v>0</v>
      </c>
      <c r="DO42" s="76">
        <v>0</v>
      </c>
      <c r="DP42" s="76">
        <v>0</v>
      </c>
      <c r="DQ42" s="76">
        <v>0</v>
      </c>
      <c r="DR42" s="76">
        <v>0</v>
      </c>
      <c r="DS42" s="76">
        <v>0</v>
      </c>
      <c r="DT42" s="76">
        <v>0</v>
      </c>
      <c r="DU42" s="76">
        <v>0</v>
      </c>
      <c r="DV42" s="76">
        <v>0</v>
      </c>
      <c r="DW42" s="76">
        <v>0</v>
      </c>
      <c r="DX42" s="76">
        <v>0</v>
      </c>
      <c r="DY42" s="76">
        <v>0</v>
      </c>
      <c r="DZ42" s="76">
        <v>0</v>
      </c>
      <c r="EA42" s="76">
        <v>0</v>
      </c>
      <c r="EB42" s="76">
        <v>2202</v>
      </c>
      <c r="EC42" s="76">
        <v>0</v>
      </c>
      <c r="ED42" s="76">
        <v>1769</v>
      </c>
      <c r="EE42" s="76">
        <v>433</v>
      </c>
      <c r="EF42" s="76">
        <v>2202</v>
      </c>
      <c r="EG42" s="76">
        <v>0</v>
      </c>
      <c r="EH42" s="76">
        <v>1769</v>
      </c>
      <c r="EI42" s="76">
        <v>433</v>
      </c>
      <c r="EJ42" s="76">
        <v>4148</v>
      </c>
      <c r="EK42" s="76">
        <v>442</v>
      </c>
      <c r="EL42" s="76">
        <v>2758</v>
      </c>
      <c r="EM42" s="76">
        <v>948</v>
      </c>
      <c r="EN42" s="76">
        <v>335</v>
      </c>
      <c r="EO42" s="76">
        <v>209</v>
      </c>
      <c r="EP42" s="76">
        <v>158</v>
      </c>
      <c r="EQ42" s="76">
        <v>209</v>
      </c>
      <c r="ER42" s="76">
        <v>135892</v>
      </c>
      <c r="ES42" s="76">
        <v>0</v>
      </c>
      <c r="ET42" s="76">
        <v>135892</v>
      </c>
      <c r="EU42" s="76">
        <v>11032</v>
      </c>
      <c r="EV42" s="76">
        <v>-680</v>
      </c>
      <c r="EW42" s="76">
        <v>0</v>
      </c>
      <c r="EX42" s="76">
        <v>0</v>
      </c>
      <c r="EY42" s="76">
        <v>0</v>
      </c>
      <c r="EZ42" s="76">
        <v>146244</v>
      </c>
      <c r="FA42" s="76">
        <v>31279</v>
      </c>
      <c r="FB42" s="76">
        <v>4949</v>
      </c>
      <c r="FC42" s="76">
        <v>0</v>
      </c>
      <c r="FD42" s="76">
        <v>0</v>
      </c>
      <c r="FE42" s="76">
        <v>-200</v>
      </c>
      <c r="FF42" s="76">
        <v>0</v>
      </c>
      <c r="FG42" s="76">
        <v>0</v>
      </c>
      <c r="FH42" s="76">
        <v>36028</v>
      </c>
      <c r="FI42" s="76">
        <v>110216</v>
      </c>
      <c r="FJ42" s="76">
        <v>104613</v>
      </c>
      <c r="FK42" s="76">
        <v>0</v>
      </c>
      <c r="FL42" s="76">
        <v>0</v>
      </c>
      <c r="FM42" s="76">
        <v>0</v>
      </c>
      <c r="FN42" s="76">
        <v>1292</v>
      </c>
      <c r="FO42" s="76">
        <v>1042</v>
      </c>
      <c r="FP42" s="76">
        <v>250</v>
      </c>
      <c r="FQ42" s="76">
        <v>172</v>
      </c>
      <c r="FR42" s="76">
        <v>179</v>
      </c>
      <c r="FS42" s="76">
        <v>-7</v>
      </c>
      <c r="FT42" s="76">
        <v>215</v>
      </c>
      <c r="FU42" s="76">
        <v>8</v>
      </c>
      <c r="FV42" s="76">
        <v>207</v>
      </c>
      <c r="FW42" s="76">
        <v>0</v>
      </c>
      <c r="FX42" s="76">
        <v>0</v>
      </c>
      <c r="FY42" s="76">
        <v>0</v>
      </c>
      <c r="FZ42" s="76">
        <v>0</v>
      </c>
      <c r="GA42" s="76">
        <v>0</v>
      </c>
      <c r="GB42" s="76">
        <v>0</v>
      </c>
      <c r="GC42" s="76">
        <v>1679</v>
      </c>
      <c r="GD42" s="76">
        <v>1229</v>
      </c>
      <c r="GE42" s="76">
        <v>450</v>
      </c>
      <c r="GF42" s="76">
        <v>0</v>
      </c>
      <c r="GG42" s="76">
        <v>0</v>
      </c>
      <c r="GH42" s="76">
        <v>0</v>
      </c>
      <c r="GI42" s="76">
        <v>0</v>
      </c>
      <c r="GJ42" s="76">
        <v>0</v>
      </c>
      <c r="GK42" s="76">
        <v>856</v>
      </c>
      <c r="GL42" s="76">
        <v>856</v>
      </c>
      <c r="GM42" s="76">
        <v>807</v>
      </c>
      <c r="GN42" s="76">
        <v>404</v>
      </c>
      <c r="GO42" s="76">
        <v>0</v>
      </c>
      <c r="GP42" s="76">
        <v>0</v>
      </c>
      <c r="GQ42" s="76">
        <v>0</v>
      </c>
      <c r="GR42" s="76">
        <v>2476</v>
      </c>
      <c r="GS42" s="76">
        <v>0</v>
      </c>
      <c r="GT42" s="76">
        <v>0</v>
      </c>
      <c r="GU42" s="76">
        <v>0</v>
      </c>
      <c r="GV42" s="76">
        <v>0</v>
      </c>
      <c r="GW42" s="76">
        <v>1395</v>
      </c>
      <c r="GX42" s="76">
        <v>5082</v>
      </c>
      <c r="GY42" s="76">
        <v>0</v>
      </c>
      <c r="GZ42" s="76">
        <v>145</v>
      </c>
      <c r="HA42" s="76">
        <v>0</v>
      </c>
      <c r="HB42" s="76">
        <v>0</v>
      </c>
      <c r="HC42" s="76">
        <v>145</v>
      </c>
      <c r="HD42" s="76">
        <v>0</v>
      </c>
      <c r="HE42" s="76">
        <v>0</v>
      </c>
      <c r="HF42" s="76">
        <v>0</v>
      </c>
      <c r="HG42" s="76">
        <v>2</v>
      </c>
      <c r="HH42" s="76">
        <v>0</v>
      </c>
      <c r="HI42" s="76">
        <v>55</v>
      </c>
      <c r="HJ42" s="76">
        <v>0</v>
      </c>
      <c r="HK42" s="76">
        <v>4068</v>
      </c>
      <c r="HL42" s="76">
        <v>0</v>
      </c>
      <c r="HM42" s="76">
        <v>4125</v>
      </c>
      <c r="HN42" s="76">
        <v>3692</v>
      </c>
      <c r="HO42" s="76">
        <v>4949</v>
      </c>
      <c r="HP42" s="76">
        <v>0</v>
      </c>
      <c r="HQ42" s="76">
        <v>72</v>
      </c>
      <c r="HR42" s="76">
        <v>-25</v>
      </c>
      <c r="HS42" s="76">
        <v>-2</v>
      </c>
      <c r="HT42" s="76">
        <v>5065</v>
      </c>
      <c r="HU42" s="76">
        <v>0</v>
      </c>
      <c r="HV42" s="76">
        <v>0</v>
      </c>
      <c r="HW42" s="76">
        <v>0</v>
      </c>
      <c r="HX42" s="76">
        <v>0</v>
      </c>
    </row>
    <row r="43" spans="1:232" x14ac:dyDescent="0.2">
      <c r="A43" s="74" t="s">
        <v>299</v>
      </c>
      <c r="B43" s="74" t="s">
        <v>300</v>
      </c>
      <c r="C43" s="75" t="s">
        <v>200</v>
      </c>
      <c r="D43" s="75">
        <v>12</v>
      </c>
      <c r="E43" s="76">
        <v>795600</v>
      </c>
      <c r="F43" s="76">
        <v>-48200</v>
      </c>
      <c r="G43" s="76">
        <v>-495200</v>
      </c>
      <c r="H43" s="76">
        <v>252200</v>
      </c>
      <c r="I43" s="76">
        <v>37900</v>
      </c>
      <c r="J43" s="76">
        <v>0</v>
      </c>
      <c r="K43" s="76">
        <v>6600</v>
      </c>
      <c r="L43" s="76">
        <v>5500</v>
      </c>
      <c r="M43" s="76">
        <v>5100</v>
      </c>
      <c r="N43" s="76">
        <v>-144900</v>
      </c>
      <c r="O43" s="76">
        <v>17200</v>
      </c>
      <c r="P43" s="76">
        <v>-3600</v>
      </c>
      <c r="Q43" s="76">
        <v>0</v>
      </c>
      <c r="R43" s="76">
        <v>0</v>
      </c>
      <c r="S43" s="76">
        <v>176000</v>
      </c>
      <c r="T43" s="76">
        <v>-2700</v>
      </c>
      <c r="U43" s="76">
        <v>173300</v>
      </c>
      <c r="V43" s="76">
        <v>0</v>
      </c>
      <c r="W43" s="76">
        <v>-9500</v>
      </c>
      <c r="X43" s="76">
        <v>-9200</v>
      </c>
      <c r="Y43" s="76">
        <v>-700</v>
      </c>
      <c r="Z43" s="76">
        <v>153900</v>
      </c>
      <c r="AA43" s="76">
        <v>596900</v>
      </c>
      <c r="AB43" s="76">
        <v>49100</v>
      </c>
      <c r="AC43" s="76">
        <v>646000</v>
      </c>
      <c r="AD43" s="76">
        <v>22800</v>
      </c>
      <c r="AE43" s="76">
        <v>0</v>
      </c>
      <c r="AF43" s="76">
        <v>0</v>
      </c>
      <c r="AG43" s="76">
        <v>1100</v>
      </c>
      <c r="AH43" s="76">
        <v>669900</v>
      </c>
      <c r="AI43" s="76">
        <v>81800</v>
      </c>
      <c r="AJ43" s="76">
        <v>60200</v>
      </c>
      <c r="AK43" s="76">
        <v>127700</v>
      </c>
      <c r="AL43" s="76">
        <v>75500</v>
      </c>
      <c r="AM43" s="76">
        <v>0</v>
      </c>
      <c r="AN43" s="76">
        <v>4500</v>
      </c>
      <c r="AO43" s="76">
        <v>88300</v>
      </c>
      <c r="AP43" s="76">
        <v>0</v>
      </c>
      <c r="AQ43" s="76">
        <v>800</v>
      </c>
      <c r="AR43" s="76">
        <v>438800</v>
      </c>
      <c r="AS43" s="76">
        <v>231100</v>
      </c>
      <c r="AT43" s="76">
        <v>9800</v>
      </c>
      <c r="AU43" s="76">
        <v>6503200</v>
      </c>
      <c r="AV43" s="76">
        <v>0</v>
      </c>
      <c r="AW43" s="76">
        <v>49000</v>
      </c>
      <c r="AX43" s="76">
        <v>39500</v>
      </c>
      <c r="AY43" s="76">
        <v>14400</v>
      </c>
      <c r="AZ43" s="76">
        <v>228300</v>
      </c>
      <c r="BA43" s="76">
        <v>87010</v>
      </c>
      <c r="BB43" s="76">
        <v>4990</v>
      </c>
      <c r="BC43" s="76">
        <v>0</v>
      </c>
      <c r="BD43" s="76">
        <v>140200</v>
      </c>
      <c r="BE43" s="76">
        <v>7066600</v>
      </c>
      <c r="BF43" s="76">
        <v>171600</v>
      </c>
      <c r="BG43" s="76">
        <v>67600</v>
      </c>
      <c r="BH43" s="76">
        <v>168500</v>
      </c>
      <c r="BI43" s="76">
        <v>111200</v>
      </c>
      <c r="BJ43" s="76">
        <v>12500</v>
      </c>
      <c r="BK43" s="76">
        <v>531400</v>
      </c>
      <c r="BL43" s="76">
        <v>79200</v>
      </c>
      <c r="BM43" s="76">
        <v>0</v>
      </c>
      <c r="BN43" s="76">
        <v>23000</v>
      </c>
      <c r="BO43" s="76">
        <v>187300</v>
      </c>
      <c r="BP43" s="76">
        <v>289500</v>
      </c>
      <c r="BQ43" s="76">
        <v>241900</v>
      </c>
      <c r="BR43" s="76">
        <v>7308500</v>
      </c>
      <c r="BS43" s="76">
        <v>3252300</v>
      </c>
      <c r="BT43" s="76">
        <v>0</v>
      </c>
      <c r="BU43" s="76">
        <v>6400</v>
      </c>
      <c r="BV43" s="76">
        <v>2096900</v>
      </c>
      <c r="BW43" s="76">
        <v>12300</v>
      </c>
      <c r="BX43" s="76">
        <v>385000</v>
      </c>
      <c r="BY43" s="76">
        <v>172200</v>
      </c>
      <c r="BZ43" s="76">
        <v>5925100</v>
      </c>
      <c r="CA43" s="76">
        <v>57200</v>
      </c>
      <c r="CB43" s="76">
        <v>16600</v>
      </c>
      <c r="CC43" s="76">
        <v>1309600</v>
      </c>
      <c r="CD43" s="76">
        <v>1705000</v>
      </c>
      <c r="CE43" s="76">
        <v>0</v>
      </c>
      <c r="CF43" s="76">
        <v>0</v>
      </c>
      <c r="CG43" s="76">
        <v>-395400</v>
      </c>
      <c r="CH43" s="76">
        <v>0</v>
      </c>
      <c r="CI43" s="76">
        <v>1309600</v>
      </c>
      <c r="CJ43" s="76">
        <v>51900</v>
      </c>
      <c r="CK43" s="76">
        <v>29500</v>
      </c>
      <c r="CL43" s="76">
        <v>100</v>
      </c>
      <c r="CM43" s="76">
        <v>22300</v>
      </c>
      <c r="CN43" s="76">
        <v>18400</v>
      </c>
      <c r="CO43" s="76">
        <v>0</v>
      </c>
      <c r="CP43" s="76">
        <v>17600</v>
      </c>
      <c r="CQ43" s="76">
        <v>800</v>
      </c>
      <c r="CR43" s="76">
        <v>0</v>
      </c>
      <c r="CS43" s="76">
        <v>0</v>
      </c>
      <c r="CT43" s="76">
        <v>7100</v>
      </c>
      <c r="CU43" s="76">
        <v>-7100</v>
      </c>
      <c r="CV43" s="76">
        <v>1100</v>
      </c>
      <c r="CW43" s="76">
        <v>0</v>
      </c>
      <c r="CX43" s="76">
        <v>7900</v>
      </c>
      <c r="CY43" s="76">
        <v>-6800</v>
      </c>
      <c r="CZ43" s="76">
        <v>7400</v>
      </c>
      <c r="DA43" s="76">
        <v>2300</v>
      </c>
      <c r="DB43" s="76">
        <v>18200</v>
      </c>
      <c r="DC43" s="76">
        <v>-13100</v>
      </c>
      <c r="DD43" s="76">
        <v>78800</v>
      </c>
      <c r="DE43" s="76">
        <v>31800</v>
      </c>
      <c r="DF43" s="76">
        <v>50900</v>
      </c>
      <c r="DG43" s="76">
        <v>-3900</v>
      </c>
      <c r="DH43" s="76">
        <v>24400</v>
      </c>
      <c r="DI43" s="76">
        <v>16400</v>
      </c>
      <c r="DJ43" s="76">
        <v>600</v>
      </c>
      <c r="DK43" s="76">
        <v>7400</v>
      </c>
      <c r="DL43" s="76">
        <v>0</v>
      </c>
      <c r="DM43" s="76">
        <v>0</v>
      </c>
      <c r="DN43" s="76">
        <v>0</v>
      </c>
      <c r="DO43" s="76">
        <v>0</v>
      </c>
      <c r="DP43" s="76">
        <v>0</v>
      </c>
      <c r="DQ43" s="76">
        <v>0</v>
      </c>
      <c r="DR43" s="76">
        <v>0</v>
      </c>
      <c r="DS43" s="76">
        <v>0</v>
      </c>
      <c r="DT43" s="76">
        <v>13200</v>
      </c>
      <c r="DU43" s="76">
        <v>0</v>
      </c>
      <c r="DV43" s="76">
        <v>4800</v>
      </c>
      <c r="DW43" s="76">
        <v>8400</v>
      </c>
      <c r="DX43" s="76">
        <v>0</v>
      </c>
      <c r="DY43" s="76">
        <v>0</v>
      </c>
      <c r="DZ43" s="76">
        <v>0</v>
      </c>
      <c r="EA43" s="76">
        <v>0</v>
      </c>
      <c r="EB43" s="76">
        <v>9300</v>
      </c>
      <c r="EC43" s="76">
        <v>0</v>
      </c>
      <c r="ED43" s="76">
        <v>100</v>
      </c>
      <c r="EE43" s="76">
        <v>9200</v>
      </c>
      <c r="EF43" s="76">
        <v>46900</v>
      </c>
      <c r="EG43" s="76">
        <v>16400</v>
      </c>
      <c r="EH43" s="76">
        <v>5500</v>
      </c>
      <c r="EI43" s="76">
        <v>25000</v>
      </c>
      <c r="EJ43" s="76">
        <v>125700</v>
      </c>
      <c r="EK43" s="76">
        <v>48200</v>
      </c>
      <c r="EL43" s="76">
        <v>56400</v>
      </c>
      <c r="EM43" s="76">
        <v>21100</v>
      </c>
      <c r="EN43" s="76">
        <v>25126</v>
      </c>
      <c r="EO43" s="76">
        <v>12179</v>
      </c>
      <c r="EP43" s="76">
        <v>5321</v>
      </c>
      <c r="EQ43" s="76">
        <v>12179</v>
      </c>
      <c r="ER43" s="76">
        <v>7070900</v>
      </c>
      <c r="ES43" s="76">
        <v>0</v>
      </c>
      <c r="ET43" s="76">
        <v>7070900</v>
      </c>
      <c r="EU43" s="76">
        <v>287800</v>
      </c>
      <c r="EV43" s="76">
        <v>-33800</v>
      </c>
      <c r="EW43" s="76">
        <v>0</v>
      </c>
      <c r="EX43" s="76">
        <v>0</v>
      </c>
      <c r="EY43" s="76">
        <v>-8300</v>
      </c>
      <c r="EZ43" s="76">
        <v>7316600</v>
      </c>
      <c r="FA43" s="76">
        <v>735400</v>
      </c>
      <c r="FB43" s="76">
        <v>88400</v>
      </c>
      <c r="FC43" s="76">
        <v>0</v>
      </c>
      <c r="FD43" s="76">
        <v>0</v>
      </c>
      <c r="FE43" s="76">
        <v>-1800</v>
      </c>
      <c r="FF43" s="76">
        <v>0</v>
      </c>
      <c r="FG43" s="76">
        <v>-8600</v>
      </c>
      <c r="FH43" s="76">
        <v>813400</v>
      </c>
      <c r="FI43" s="76">
        <v>6503200</v>
      </c>
      <c r="FJ43" s="76">
        <v>6335500</v>
      </c>
      <c r="FK43" s="76">
        <v>36062</v>
      </c>
      <c r="FL43" s="76">
        <v>19402</v>
      </c>
      <c r="FM43" s="76">
        <v>16660</v>
      </c>
      <c r="FN43" s="76">
        <v>19743</v>
      </c>
      <c r="FO43" s="76">
        <v>14116</v>
      </c>
      <c r="FP43" s="76">
        <v>5627</v>
      </c>
      <c r="FQ43" s="76">
        <v>2689</v>
      </c>
      <c r="FR43" s="76">
        <v>2858</v>
      </c>
      <c r="FS43" s="76">
        <v>-169</v>
      </c>
      <c r="FT43" s="76">
        <v>5757</v>
      </c>
      <c r="FU43" s="76">
        <v>3474</v>
      </c>
      <c r="FV43" s="76">
        <v>2283</v>
      </c>
      <c r="FW43" s="76">
        <v>31453</v>
      </c>
      <c r="FX43" s="76">
        <v>20296</v>
      </c>
      <c r="FY43" s="76">
        <v>11157</v>
      </c>
      <c r="FZ43" s="76">
        <v>3596</v>
      </c>
      <c r="GA43" s="76">
        <v>1254</v>
      </c>
      <c r="GB43" s="76">
        <v>2342</v>
      </c>
      <c r="GC43" s="76">
        <v>99300</v>
      </c>
      <c r="GD43" s="76">
        <v>61400</v>
      </c>
      <c r="GE43" s="76">
        <v>37900</v>
      </c>
      <c r="GF43" s="76">
        <v>0</v>
      </c>
      <c r="GG43" s="76">
        <v>0</v>
      </c>
      <c r="GH43" s="76">
        <v>0</v>
      </c>
      <c r="GI43" s="76">
        <v>12500</v>
      </c>
      <c r="GJ43" s="76">
        <v>0</v>
      </c>
      <c r="GK43" s="76">
        <v>0</v>
      </c>
      <c r="GL43" s="76">
        <v>12500</v>
      </c>
      <c r="GM43" s="76">
        <v>6600</v>
      </c>
      <c r="GN43" s="76">
        <v>21700</v>
      </c>
      <c r="GO43" s="76">
        <v>0</v>
      </c>
      <c r="GP43" s="76">
        <v>7200</v>
      </c>
      <c r="GQ43" s="76">
        <v>3100</v>
      </c>
      <c r="GR43" s="76">
        <v>92800</v>
      </c>
      <c r="GS43" s="76">
        <v>100</v>
      </c>
      <c r="GT43" s="76">
        <v>12500</v>
      </c>
      <c r="GU43" s="76">
        <v>0</v>
      </c>
      <c r="GV43" s="76">
        <v>1200</v>
      </c>
      <c r="GW43" s="76">
        <v>42100</v>
      </c>
      <c r="GX43" s="76">
        <v>187300</v>
      </c>
      <c r="GY43" s="76">
        <v>13400</v>
      </c>
      <c r="GZ43" s="76">
        <v>5400</v>
      </c>
      <c r="HA43" s="76">
        <v>15900</v>
      </c>
      <c r="HB43" s="76">
        <v>137500</v>
      </c>
      <c r="HC43" s="76">
        <v>172200</v>
      </c>
      <c r="HD43" s="76">
        <v>7100</v>
      </c>
      <c r="HE43" s="76">
        <v>9500</v>
      </c>
      <c r="HF43" s="76">
        <v>16600</v>
      </c>
      <c r="HG43" s="76">
        <v>143011</v>
      </c>
      <c r="HH43" s="76">
        <v>3189</v>
      </c>
      <c r="HI43" s="76">
        <v>2200</v>
      </c>
      <c r="HJ43" s="76">
        <v>85</v>
      </c>
      <c r="HK43" s="76">
        <v>7415</v>
      </c>
      <c r="HL43" s="76">
        <v>-11000</v>
      </c>
      <c r="HM43" s="76">
        <v>144900</v>
      </c>
      <c r="HN43" s="76">
        <v>75200</v>
      </c>
      <c r="HO43" s="76">
        <v>95300</v>
      </c>
      <c r="HP43" s="76">
        <v>9400</v>
      </c>
      <c r="HQ43" s="76">
        <v>1206</v>
      </c>
      <c r="HR43" s="76">
        <v>-313</v>
      </c>
      <c r="HS43" s="76">
        <v>-146</v>
      </c>
      <c r="HT43" s="76">
        <v>115952</v>
      </c>
      <c r="HU43" s="76">
        <v>64</v>
      </c>
      <c r="HV43" s="76">
        <v>0</v>
      </c>
      <c r="HW43" s="76">
        <v>-61</v>
      </c>
      <c r="HX43" s="76">
        <v>6511</v>
      </c>
    </row>
    <row r="44" spans="1:232" x14ac:dyDescent="0.2">
      <c r="A44" s="74" t="s">
        <v>47</v>
      </c>
      <c r="B44" s="74" t="s">
        <v>45</v>
      </c>
      <c r="C44" s="75" t="s">
        <v>200</v>
      </c>
      <c r="D44" s="75">
        <v>12</v>
      </c>
      <c r="E44" s="76">
        <v>58314</v>
      </c>
      <c r="F44" s="76">
        <v>-3377</v>
      </c>
      <c r="G44" s="76">
        <v>-34150</v>
      </c>
      <c r="H44" s="76">
        <v>20787</v>
      </c>
      <c r="I44" s="76">
        <v>376</v>
      </c>
      <c r="J44" s="76">
        <v>0</v>
      </c>
      <c r="K44" s="76">
        <v>0</v>
      </c>
      <c r="L44" s="76">
        <v>0</v>
      </c>
      <c r="M44" s="76">
        <v>74</v>
      </c>
      <c r="N44" s="76">
        <v>-8778</v>
      </c>
      <c r="O44" s="76">
        <v>0</v>
      </c>
      <c r="P44" s="76">
        <v>0</v>
      </c>
      <c r="Q44" s="76">
        <v>0</v>
      </c>
      <c r="R44" s="76">
        <v>0</v>
      </c>
      <c r="S44" s="76">
        <v>12459</v>
      </c>
      <c r="T44" s="76">
        <v>-78</v>
      </c>
      <c r="U44" s="76">
        <v>12381</v>
      </c>
      <c r="V44" s="76">
        <v>18743</v>
      </c>
      <c r="W44" s="76">
        <v>-4133</v>
      </c>
      <c r="X44" s="76">
        <v>0</v>
      </c>
      <c r="Y44" s="76">
        <v>-1645</v>
      </c>
      <c r="Z44" s="76">
        <v>25346</v>
      </c>
      <c r="AA44" s="76">
        <v>47687</v>
      </c>
      <c r="AB44" s="76">
        <v>1402</v>
      </c>
      <c r="AC44" s="76">
        <v>49089</v>
      </c>
      <c r="AD44" s="76">
        <v>0</v>
      </c>
      <c r="AE44" s="76">
        <v>79</v>
      </c>
      <c r="AF44" s="76">
        <v>0</v>
      </c>
      <c r="AG44" s="76">
        <v>0</v>
      </c>
      <c r="AH44" s="76">
        <v>49168</v>
      </c>
      <c r="AI44" s="76">
        <v>9765</v>
      </c>
      <c r="AJ44" s="76">
        <v>1322</v>
      </c>
      <c r="AK44" s="76">
        <v>7252</v>
      </c>
      <c r="AL44" s="76">
        <v>1957</v>
      </c>
      <c r="AM44" s="76">
        <v>3720</v>
      </c>
      <c r="AN44" s="76">
        <v>376</v>
      </c>
      <c r="AO44" s="76">
        <v>6131</v>
      </c>
      <c r="AP44" s="76">
        <v>0</v>
      </c>
      <c r="AQ44" s="76">
        <v>0</v>
      </c>
      <c r="AR44" s="76">
        <v>30523</v>
      </c>
      <c r="AS44" s="76">
        <v>18645</v>
      </c>
      <c r="AT44" s="76">
        <v>665</v>
      </c>
      <c r="AU44" s="76">
        <v>23015</v>
      </c>
      <c r="AV44" s="76">
        <v>278177</v>
      </c>
      <c r="AW44" s="76">
        <v>475</v>
      </c>
      <c r="AX44" s="76">
        <v>0</v>
      </c>
      <c r="AY44" s="76">
        <v>279</v>
      </c>
      <c r="AZ44" s="76">
        <v>0</v>
      </c>
      <c r="BA44" s="76">
        <v>0</v>
      </c>
      <c r="BB44" s="76">
        <v>0</v>
      </c>
      <c r="BC44" s="76">
        <v>0</v>
      </c>
      <c r="BD44" s="76">
        <v>0</v>
      </c>
      <c r="BE44" s="76">
        <v>301946</v>
      </c>
      <c r="BF44" s="76">
        <v>4642</v>
      </c>
      <c r="BG44" s="76">
        <v>2357</v>
      </c>
      <c r="BH44" s="76">
        <v>23757</v>
      </c>
      <c r="BI44" s="76">
        <v>0</v>
      </c>
      <c r="BJ44" s="76">
        <v>2115</v>
      </c>
      <c r="BK44" s="76">
        <v>32871</v>
      </c>
      <c r="BL44" s="76">
        <v>0</v>
      </c>
      <c r="BM44" s="76">
        <v>0</v>
      </c>
      <c r="BN44" s="76">
        <v>0</v>
      </c>
      <c r="BO44" s="76">
        <v>8544</v>
      </c>
      <c r="BP44" s="76">
        <v>8544</v>
      </c>
      <c r="BQ44" s="76">
        <v>24327</v>
      </c>
      <c r="BR44" s="76">
        <v>326273</v>
      </c>
      <c r="BS44" s="76">
        <v>190000</v>
      </c>
      <c r="BT44" s="76">
        <v>0</v>
      </c>
      <c r="BU44" s="76">
        <v>0</v>
      </c>
      <c r="BV44" s="76">
        <v>2579</v>
      </c>
      <c r="BW44" s="76">
        <v>0</v>
      </c>
      <c r="BX44" s="76">
        <v>0</v>
      </c>
      <c r="BY44" s="76">
        <v>2319</v>
      </c>
      <c r="BZ44" s="76">
        <v>194898</v>
      </c>
      <c r="CA44" s="76">
        <v>20006</v>
      </c>
      <c r="CB44" s="76">
        <v>0</v>
      </c>
      <c r="CC44" s="76">
        <v>111369</v>
      </c>
      <c r="CD44" s="76">
        <v>59817</v>
      </c>
      <c r="CE44" s="76">
        <v>50271</v>
      </c>
      <c r="CF44" s="76">
        <v>1281</v>
      </c>
      <c r="CG44" s="76">
        <v>0</v>
      </c>
      <c r="CH44" s="76">
        <v>0</v>
      </c>
      <c r="CI44" s="76">
        <v>111369</v>
      </c>
      <c r="CJ44" s="76">
        <v>1224</v>
      </c>
      <c r="CK44" s="76">
        <v>1239</v>
      </c>
      <c r="CL44" s="76">
        <v>0</v>
      </c>
      <c r="CM44" s="76">
        <v>-15</v>
      </c>
      <c r="CN44" s="76">
        <v>0</v>
      </c>
      <c r="CO44" s="76">
        <v>0</v>
      </c>
      <c r="CP44" s="76">
        <v>0</v>
      </c>
      <c r="CQ44" s="76">
        <v>0</v>
      </c>
      <c r="CR44" s="76">
        <v>0</v>
      </c>
      <c r="CS44" s="76">
        <v>0</v>
      </c>
      <c r="CT44" s="76">
        <v>0</v>
      </c>
      <c r="CU44" s="76">
        <v>0</v>
      </c>
      <c r="CV44" s="76">
        <v>0</v>
      </c>
      <c r="CW44" s="76">
        <v>0</v>
      </c>
      <c r="CX44" s="76">
        <v>0</v>
      </c>
      <c r="CY44" s="76">
        <v>0</v>
      </c>
      <c r="CZ44" s="76">
        <v>4370</v>
      </c>
      <c r="DA44" s="76">
        <v>0</v>
      </c>
      <c r="DB44" s="76">
        <v>1938</v>
      </c>
      <c r="DC44" s="76">
        <v>2432</v>
      </c>
      <c r="DD44" s="76">
        <v>5594</v>
      </c>
      <c r="DE44" s="76">
        <v>1239</v>
      </c>
      <c r="DF44" s="76">
        <v>1938</v>
      </c>
      <c r="DG44" s="76">
        <v>2417</v>
      </c>
      <c r="DH44" s="76">
        <v>2109</v>
      </c>
      <c r="DI44" s="76">
        <v>2138</v>
      </c>
      <c r="DJ44" s="76">
        <v>0</v>
      </c>
      <c r="DK44" s="76">
        <v>-29</v>
      </c>
      <c r="DL44" s="76">
        <v>0</v>
      </c>
      <c r="DM44" s="76">
        <v>0</v>
      </c>
      <c r="DN44" s="76">
        <v>0</v>
      </c>
      <c r="DO44" s="76">
        <v>0</v>
      </c>
      <c r="DP44" s="76">
        <v>0</v>
      </c>
      <c r="DQ44" s="76">
        <v>0</v>
      </c>
      <c r="DR44" s="76">
        <v>0</v>
      </c>
      <c r="DS44" s="76">
        <v>0</v>
      </c>
      <c r="DT44" s="76">
        <v>0</v>
      </c>
      <c r="DU44" s="76">
        <v>0</v>
      </c>
      <c r="DV44" s="76">
        <v>0</v>
      </c>
      <c r="DW44" s="76">
        <v>0</v>
      </c>
      <c r="DX44" s="76">
        <v>0</v>
      </c>
      <c r="DY44" s="76">
        <v>0</v>
      </c>
      <c r="DZ44" s="76">
        <v>0</v>
      </c>
      <c r="EA44" s="76">
        <v>0</v>
      </c>
      <c r="EB44" s="76">
        <v>1443</v>
      </c>
      <c r="EC44" s="76">
        <v>0</v>
      </c>
      <c r="ED44" s="76">
        <v>1689</v>
      </c>
      <c r="EE44" s="76">
        <v>-246</v>
      </c>
      <c r="EF44" s="76">
        <v>3552</v>
      </c>
      <c r="EG44" s="76">
        <v>2138</v>
      </c>
      <c r="EH44" s="76">
        <v>1689</v>
      </c>
      <c r="EI44" s="76">
        <v>-275</v>
      </c>
      <c r="EJ44" s="76">
        <v>9146</v>
      </c>
      <c r="EK44" s="76">
        <v>3377</v>
      </c>
      <c r="EL44" s="76">
        <v>3627</v>
      </c>
      <c r="EM44" s="76">
        <v>2142</v>
      </c>
      <c r="EN44" s="76">
        <v>2563</v>
      </c>
      <c r="EO44" s="76">
        <v>494</v>
      </c>
      <c r="EP44" s="76">
        <v>652</v>
      </c>
      <c r="EQ44" s="76">
        <v>372</v>
      </c>
      <c r="ER44" s="76">
        <v>25830</v>
      </c>
      <c r="ES44" s="76">
        <v>255847</v>
      </c>
      <c r="ET44" s="76">
        <v>281677</v>
      </c>
      <c r="EU44" s="76">
        <v>11813</v>
      </c>
      <c r="EV44" s="76">
        <v>-4446</v>
      </c>
      <c r="EW44" s="76">
        <v>0</v>
      </c>
      <c r="EX44" s="76">
        <v>0</v>
      </c>
      <c r="EY44" s="76">
        <v>14328</v>
      </c>
      <c r="EZ44" s="76">
        <v>303372</v>
      </c>
      <c r="FA44" s="76">
        <v>1127</v>
      </c>
      <c r="FB44" s="76">
        <v>6063</v>
      </c>
      <c r="FC44" s="76">
        <v>702</v>
      </c>
      <c r="FD44" s="76">
        <v>-5712</v>
      </c>
      <c r="FE44" s="76">
        <v>0</v>
      </c>
      <c r="FF44" s="76">
        <v>0</v>
      </c>
      <c r="FG44" s="76">
        <v>0</v>
      </c>
      <c r="FH44" s="76">
        <v>2180</v>
      </c>
      <c r="FI44" s="76">
        <v>301192</v>
      </c>
      <c r="FJ44" s="76">
        <v>280550</v>
      </c>
      <c r="FK44" s="76">
        <v>24</v>
      </c>
      <c r="FL44" s="76">
        <v>36</v>
      </c>
      <c r="FM44" s="76">
        <v>-12</v>
      </c>
      <c r="FN44" s="76">
        <v>974</v>
      </c>
      <c r="FO44" s="76">
        <v>875</v>
      </c>
      <c r="FP44" s="76">
        <v>99</v>
      </c>
      <c r="FQ44" s="76">
        <v>395</v>
      </c>
      <c r="FR44" s="76">
        <v>109</v>
      </c>
      <c r="FS44" s="76">
        <v>286</v>
      </c>
      <c r="FT44" s="76">
        <v>15</v>
      </c>
      <c r="FU44" s="76">
        <v>12</v>
      </c>
      <c r="FV44" s="76">
        <v>3</v>
      </c>
      <c r="FW44" s="76">
        <v>0</v>
      </c>
      <c r="FX44" s="76">
        <v>0</v>
      </c>
      <c r="FY44" s="76">
        <v>0</v>
      </c>
      <c r="FZ44" s="76">
        <v>0</v>
      </c>
      <c r="GA44" s="76">
        <v>0</v>
      </c>
      <c r="GB44" s="76">
        <v>0</v>
      </c>
      <c r="GC44" s="76">
        <v>1408</v>
      </c>
      <c r="GD44" s="76">
        <v>1032</v>
      </c>
      <c r="GE44" s="76">
        <v>376</v>
      </c>
      <c r="GF44" s="76">
        <v>0</v>
      </c>
      <c r="GG44" s="76">
        <v>0</v>
      </c>
      <c r="GH44" s="76">
        <v>1256</v>
      </c>
      <c r="GI44" s="76">
        <v>0</v>
      </c>
      <c r="GJ44" s="76">
        <v>0</v>
      </c>
      <c r="GK44" s="76">
        <v>859</v>
      </c>
      <c r="GL44" s="76">
        <v>2115</v>
      </c>
      <c r="GM44" s="76">
        <v>696</v>
      </c>
      <c r="GN44" s="76">
        <v>773</v>
      </c>
      <c r="GO44" s="76">
        <v>0</v>
      </c>
      <c r="GP44" s="76">
        <v>0</v>
      </c>
      <c r="GQ44" s="76">
        <v>0</v>
      </c>
      <c r="GR44" s="76">
        <v>3640</v>
      </c>
      <c r="GS44" s="76">
        <v>0</v>
      </c>
      <c r="GT44" s="76">
        <v>0</v>
      </c>
      <c r="GU44" s="76">
        <v>0</v>
      </c>
      <c r="GV44" s="76">
        <v>0</v>
      </c>
      <c r="GW44" s="76">
        <v>3435</v>
      </c>
      <c r="GX44" s="76">
        <v>8544</v>
      </c>
      <c r="GY44" s="76">
        <v>304</v>
      </c>
      <c r="GZ44" s="76">
        <v>2015</v>
      </c>
      <c r="HA44" s="76">
        <v>0</v>
      </c>
      <c r="HB44" s="76">
        <v>0</v>
      </c>
      <c r="HC44" s="76">
        <v>2319</v>
      </c>
      <c r="HD44" s="76">
        <v>0</v>
      </c>
      <c r="HE44" s="76">
        <v>0</v>
      </c>
      <c r="HF44" s="76">
        <v>0</v>
      </c>
      <c r="HG44" s="76">
        <v>8082</v>
      </c>
      <c r="HH44" s="76">
        <v>0</v>
      </c>
      <c r="HI44" s="76">
        <v>494</v>
      </c>
      <c r="HJ44" s="76">
        <v>0</v>
      </c>
      <c r="HK44" s="76">
        <v>202</v>
      </c>
      <c r="HL44" s="76">
        <v>0</v>
      </c>
      <c r="HM44" s="76">
        <v>8778</v>
      </c>
      <c r="HN44" s="76">
        <v>2146</v>
      </c>
      <c r="HO44" s="76">
        <v>6131</v>
      </c>
      <c r="HP44" s="76">
        <v>702</v>
      </c>
      <c r="HQ44" s="76">
        <v>107</v>
      </c>
      <c r="HR44" s="76">
        <v>-76</v>
      </c>
      <c r="HS44" s="76">
        <v>9</v>
      </c>
      <c r="HT44" s="76">
        <v>10652</v>
      </c>
      <c r="HU44" s="76">
        <v>0</v>
      </c>
      <c r="HV44" s="76">
        <v>0</v>
      </c>
      <c r="HW44" s="76">
        <v>-2</v>
      </c>
      <c r="HX44" s="76">
        <v>5</v>
      </c>
    </row>
    <row r="45" spans="1:232" x14ac:dyDescent="0.2">
      <c r="A45" s="74" t="s">
        <v>301</v>
      </c>
      <c r="B45" s="74" t="s">
        <v>302</v>
      </c>
      <c r="C45" s="75" t="s">
        <v>200</v>
      </c>
      <c r="D45" s="75">
        <v>12</v>
      </c>
      <c r="E45" s="76">
        <v>25986</v>
      </c>
      <c r="F45" s="76">
        <v>-1742</v>
      </c>
      <c r="G45" s="76">
        <v>-15401</v>
      </c>
      <c r="H45" s="76">
        <v>8843</v>
      </c>
      <c r="I45" s="76">
        <v>522</v>
      </c>
      <c r="J45" s="76">
        <v>0</v>
      </c>
      <c r="K45" s="76">
        <v>0</v>
      </c>
      <c r="L45" s="76">
        <v>0</v>
      </c>
      <c r="M45" s="76">
        <v>104</v>
      </c>
      <c r="N45" s="76">
        <v>-5406</v>
      </c>
      <c r="O45" s="76">
        <v>0</v>
      </c>
      <c r="P45" s="76">
        <v>0</v>
      </c>
      <c r="Q45" s="76">
        <v>0</v>
      </c>
      <c r="R45" s="76">
        <v>0</v>
      </c>
      <c r="S45" s="76">
        <v>4063</v>
      </c>
      <c r="T45" s="76">
        <v>-17</v>
      </c>
      <c r="U45" s="76">
        <v>4046</v>
      </c>
      <c r="V45" s="76">
        <v>0</v>
      </c>
      <c r="W45" s="76">
        <v>-798</v>
      </c>
      <c r="X45" s="76">
        <v>0</v>
      </c>
      <c r="Y45" s="76">
        <v>0</v>
      </c>
      <c r="Z45" s="76">
        <v>3248</v>
      </c>
      <c r="AA45" s="76">
        <v>19075</v>
      </c>
      <c r="AB45" s="76">
        <v>1318</v>
      </c>
      <c r="AC45" s="76">
        <v>20393</v>
      </c>
      <c r="AD45" s="76">
        <v>539</v>
      </c>
      <c r="AE45" s="76">
        <v>0</v>
      </c>
      <c r="AF45" s="76">
        <v>0</v>
      </c>
      <c r="AG45" s="76">
        <v>0</v>
      </c>
      <c r="AH45" s="76">
        <v>20932</v>
      </c>
      <c r="AI45" s="76">
        <v>2536</v>
      </c>
      <c r="AJ45" s="76">
        <v>1394</v>
      </c>
      <c r="AK45" s="76">
        <v>3808</v>
      </c>
      <c r="AL45" s="76">
        <v>1816</v>
      </c>
      <c r="AM45" s="76">
        <v>1026</v>
      </c>
      <c r="AN45" s="76">
        <v>88</v>
      </c>
      <c r="AO45" s="76">
        <v>2620</v>
      </c>
      <c r="AP45" s="76">
        <v>197</v>
      </c>
      <c r="AQ45" s="76">
        <v>1</v>
      </c>
      <c r="AR45" s="76">
        <v>13486</v>
      </c>
      <c r="AS45" s="76">
        <v>7446</v>
      </c>
      <c r="AT45" s="76">
        <v>165</v>
      </c>
      <c r="AU45" s="76">
        <v>157866</v>
      </c>
      <c r="AV45" s="76">
        <v>0</v>
      </c>
      <c r="AW45" s="76">
        <v>4135</v>
      </c>
      <c r="AX45" s="76">
        <v>164</v>
      </c>
      <c r="AY45" s="76">
        <v>0</v>
      </c>
      <c r="AZ45" s="76">
        <v>0</v>
      </c>
      <c r="BA45" s="76">
        <v>0</v>
      </c>
      <c r="BB45" s="76">
        <v>0</v>
      </c>
      <c r="BC45" s="76">
        <v>0</v>
      </c>
      <c r="BD45" s="76">
        <v>0</v>
      </c>
      <c r="BE45" s="76">
        <v>162165</v>
      </c>
      <c r="BF45" s="76">
        <v>1697</v>
      </c>
      <c r="BG45" s="76">
        <v>2552</v>
      </c>
      <c r="BH45" s="76">
        <v>16019</v>
      </c>
      <c r="BI45" s="76">
        <v>0</v>
      </c>
      <c r="BJ45" s="76">
        <v>59</v>
      </c>
      <c r="BK45" s="76">
        <v>20327</v>
      </c>
      <c r="BL45" s="76">
        <v>0</v>
      </c>
      <c r="BM45" s="76">
        <v>0</v>
      </c>
      <c r="BN45" s="76">
        <v>0</v>
      </c>
      <c r="BO45" s="76">
        <v>5341</v>
      </c>
      <c r="BP45" s="76">
        <v>5341</v>
      </c>
      <c r="BQ45" s="76">
        <v>14986</v>
      </c>
      <c r="BR45" s="76">
        <v>177151</v>
      </c>
      <c r="BS45" s="76">
        <v>104710</v>
      </c>
      <c r="BT45" s="76">
        <v>0</v>
      </c>
      <c r="BU45" s="76">
        <v>0</v>
      </c>
      <c r="BV45" s="76">
        <v>39198</v>
      </c>
      <c r="BW45" s="76">
        <v>0</v>
      </c>
      <c r="BX45" s="76">
        <v>0</v>
      </c>
      <c r="BY45" s="76">
        <v>241</v>
      </c>
      <c r="BZ45" s="76">
        <v>144149</v>
      </c>
      <c r="CA45" s="76">
        <v>6154</v>
      </c>
      <c r="CB45" s="76">
        <v>34</v>
      </c>
      <c r="CC45" s="76">
        <v>26814</v>
      </c>
      <c r="CD45" s="76">
        <v>26686</v>
      </c>
      <c r="CE45" s="76">
        <v>0</v>
      </c>
      <c r="CF45" s="76">
        <v>32</v>
      </c>
      <c r="CG45" s="76">
        <v>0</v>
      </c>
      <c r="CH45" s="76">
        <v>96</v>
      </c>
      <c r="CI45" s="76">
        <v>26814</v>
      </c>
      <c r="CJ45" s="76">
        <v>2426</v>
      </c>
      <c r="CK45" s="76">
        <v>1742</v>
      </c>
      <c r="CL45" s="76">
        <v>64</v>
      </c>
      <c r="CM45" s="76">
        <v>620</v>
      </c>
      <c r="CN45" s="76">
        <v>0</v>
      </c>
      <c r="CO45" s="76">
        <v>0</v>
      </c>
      <c r="CP45" s="76">
        <v>0</v>
      </c>
      <c r="CQ45" s="76">
        <v>0</v>
      </c>
      <c r="CR45" s="76">
        <v>0</v>
      </c>
      <c r="CS45" s="76">
        <v>0</v>
      </c>
      <c r="CT45" s="76">
        <v>0</v>
      </c>
      <c r="CU45" s="76">
        <v>0</v>
      </c>
      <c r="CV45" s="76">
        <v>0</v>
      </c>
      <c r="CW45" s="76">
        <v>0</v>
      </c>
      <c r="CX45" s="76">
        <v>0</v>
      </c>
      <c r="CY45" s="76">
        <v>0</v>
      </c>
      <c r="CZ45" s="76">
        <v>0</v>
      </c>
      <c r="DA45" s="76">
        <v>0</v>
      </c>
      <c r="DB45" s="76">
        <v>0</v>
      </c>
      <c r="DC45" s="76">
        <v>0</v>
      </c>
      <c r="DD45" s="76">
        <v>2426</v>
      </c>
      <c r="DE45" s="76">
        <v>1742</v>
      </c>
      <c r="DF45" s="76">
        <v>64</v>
      </c>
      <c r="DG45" s="76">
        <v>620</v>
      </c>
      <c r="DH45" s="76">
        <v>0</v>
      </c>
      <c r="DI45" s="76">
        <v>0</v>
      </c>
      <c r="DJ45" s="76">
        <v>0</v>
      </c>
      <c r="DK45" s="76">
        <v>0</v>
      </c>
      <c r="DL45" s="76">
        <v>0</v>
      </c>
      <c r="DM45" s="76">
        <v>0</v>
      </c>
      <c r="DN45" s="76">
        <v>0</v>
      </c>
      <c r="DO45" s="76">
        <v>0</v>
      </c>
      <c r="DP45" s="76">
        <v>0</v>
      </c>
      <c r="DQ45" s="76">
        <v>0</v>
      </c>
      <c r="DR45" s="76">
        <v>0</v>
      </c>
      <c r="DS45" s="76">
        <v>0</v>
      </c>
      <c r="DT45" s="76">
        <v>0</v>
      </c>
      <c r="DU45" s="76">
        <v>0</v>
      </c>
      <c r="DV45" s="76">
        <v>0</v>
      </c>
      <c r="DW45" s="76">
        <v>0</v>
      </c>
      <c r="DX45" s="76">
        <v>0</v>
      </c>
      <c r="DY45" s="76">
        <v>0</v>
      </c>
      <c r="DZ45" s="76">
        <v>0</v>
      </c>
      <c r="EA45" s="76">
        <v>0</v>
      </c>
      <c r="EB45" s="76">
        <v>2628</v>
      </c>
      <c r="EC45" s="76">
        <v>0</v>
      </c>
      <c r="ED45" s="76">
        <v>1851</v>
      </c>
      <c r="EE45" s="76">
        <v>777</v>
      </c>
      <c r="EF45" s="76">
        <v>2628</v>
      </c>
      <c r="EG45" s="76">
        <v>0</v>
      </c>
      <c r="EH45" s="76">
        <v>1851</v>
      </c>
      <c r="EI45" s="76">
        <v>777</v>
      </c>
      <c r="EJ45" s="76">
        <v>5054</v>
      </c>
      <c r="EK45" s="76">
        <v>1742</v>
      </c>
      <c r="EL45" s="76">
        <v>1915</v>
      </c>
      <c r="EM45" s="76">
        <v>1397</v>
      </c>
      <c r="EN45" s="76">
        <v>167</v>
      </c>
      <c r="EO45" s="76">
        <v>121</v>
      </c>
      <c r="EP45" s="76">
        <v>44</v>
      </c>
      <c r="EQ45" s="76">
        <v>121</v>
      </c>
      <c r="ER45" s="76">
        <v>146925</v>
      </c>
      <c r="ES45" s="76">
        <v>0</v>
      </c>
      <c r="ET45" s="76">
        <v>146925</v>
      </c>
      <c r="EU45" s="76">
        <v>31569</v>
      </c>
      <c r="EV45" s="76">
        <v>-708</v>
      </c>
      <c r="EW45" s="76">
        <v>0</v>
      </c>
      <c r="EX45" s="76">
        <v>0</v>
      </c>
      <c r="EY45" s="76">
        <v>-197</v>
      </c>
      <c r="EZ45" s="76">
        <v>177589</v>
      </c>
      <c r="FA45" s="76">
        <v>17329</v>
      </c>
      <c r="FB45" s="76">
        <v>2620</v>
      </c>
      <c r="FC45" s="76">
        <v>0</v>
      </c>
      <c r="FD45" s="76">
        <v>0</v>
      </c>
      <c r="FE45" s="76">
        <v>-226</v>
      </c>
      <c r="FF45" s="76">
        <v>0</v>
      </c>
      <c r="FG45" s="76">
        <v>0</v>
      </c>
      <c r="FH45" s="76">
        <v>19723</v>
      </c>
      <c r="FI45" s="76">
        <v>157866</v>
      </c>
      <c r="FJ45" s="76">
        <v>129596</v>
      </c>
      <c r="FK45" s="76">
        <v>0</v>
      </c>
      <c r="FL45" s="76">
        <v>0</v>
      </c>
      <c r="FM45" s="76">
        <v>0</v>
      </c>
      <c r="FN45" s="76">
        <v>511</v>
      </c>
      <c r="FO45" s="76">
        <v>474</v>
      </c>
      <c r="FP45" s="76">
        <v>37</v>
      </c>
      <c r="FQ45" s="76">
        <v>0</v>
      </c>
      <c r="FR45" s="76">
        <v>0</v>
      </c>
      <c r="FS45" s="76">
        <v>0</v>
      </c>
      <c r="FT45" s="76">
        <v>872</v>
      </c>
      <c r="FU45" s="76">
        <v>387</v>
      </c>
      <c r="FV45" s="76">
        <v>485</v>
      </c>
      <c r="FW45" s="76">
        <v>0</v>
      </c>
      <c r="FX45" s="76">
        <v>0</v>
      </c>
      <c r="FY45" s="76">
        <v>0</v>
      </c>
      <c r="FZ45" s="76">
        <v>0</v>
      </c>
      <c r="GA45" s="76">
        <v>0</v>
      </c>
      <c r="GB45" s="76">
        <v>0</v>
      </c>
      <c r="GC45" s="76">
        <v>1383</v>
      </c>
      <c r="GD45" s="76">
        <v>861</v>
      </c>
      <c r="GE45" s="76">
        <v>522</v>
      </c>
      <c r="GF45" s="76">
        <v>0</v>
      </c>
      <c r="GG45" s="76">
        <v>0</v>
      </c>
      <c r="GH45" s="76">
        <v>0</v>
      </c>
      <c r="GI45" s="76">
        <v>0</v>
      </c>
      <c r="GJ45" s="76">
        <v>0</v>
      </c>
      <c r="GK45" s="76">
        <v>59</v>
      </c>
      <c r="GL45" s="76">
        <v>59</v>
      </c>
      <c r="GM45" s="76">
        <v>2104</v>
      </c>
      <c r="GN45" s="76">
        <v>421</v>
      </c>
      <c r="GO45" s="76">
        <v>0</v>
      </c>
      <c r="GP45" s="76">
        <v>0</v>
      </c>
      <c r="GQ45" s="76">
        <v>0</v>
      </c>
      <c r="GR45" s="76">
        <v>2621</v>
      </c>
      <c r="GS45" s="76">
        <v>0</v>
      </c>
      <c r="GT45" s="76">
        <v>0</v>
      </c>
      <c r="GU45" s="76">
        <v>0</v>
      </c>
      <c r="GV45" s="76">
        <v>0</v>
      </c>
      <c r="GW45" s="76">
        <v>195</v>
      </c>
      <c r="GX45" s="76">
        <v>5341</v>
      </c>
      <c r="GY45" s="76">
        <v>237</v>
      </c>
      <c r="GZ45" s="76">
        <v>4</v>
      </c>
      <c r="HA45" s="76">
        <v>0</v>
      </c>
      <c r="HB45" s="76">
        <v>0</v>
      </c>
      <c r="HC45" s="76">
        <v>241</v>
      </c>
      <c r="HD45" s="76">
        <v>0</v>
      </c>
      <c r="HE45" s="76">
        <v>34</v>
      </c>
      <c r="HF45" s="76">
        <v>34</v>
      </c>
      <c r="HG45" s="76">
        <v>4635</v>
      </c>
      <c r="HH45" s="76">
        <v>111</v>
      </c>
      <c r="HI45" s="76">
        <v>149</v>
      </c>
      <c r="HJ45" s="76">
        <v>0</v>
      </c>
      <c r="HK45" s="76">
        <v>1117</v>
      </c>
      <c r="HL45" s="76">
        <v>-606</v>
      </c>
      <c r="HM45" s="76">
        <v>5406</v>
      </c>
      <c r="HN45" s="76">
        <v>2770</v>
      </c>
      <c r="HO45" s="76">
        <v>2995</v>
      </c>
      <c r="HP45" s="76">
        <v>197</v>
      </c>
      <c r="HQ45" s="76">
        <v>144</v>
      </c>
      <c r="HR45" s="76">
        <v>-14</v>
      </c>
      <c r="HS45" s="76">
        <v>-2</v>
      </c>
      <c r="HT45" s="76">
        <v>4256</v>
      </c>
      <c r="HU45" s="76">
        <v>0</v>
      </c>
      <c r="HV45" s="76">
        <v>0</v>
      </c>
      <c r="HW45" s="76">
        <v>0</v>
      </c>
      <c r="HX45" s="76">
        <v>9</v>
      </c>
    </row>
    <row r="46" spans="1:232" x14ac:dyDescent="0.2">
      <c r="A46" s="74" t="s">
        <v>306</v>
      </c>
      <c r="B46" s="74" t="s">
        <v>307</v>
      </c>
      <c r="C46" s="75" t="s">
        <v>200</v>
      </c>
      <c r="D46" s="75">
        <v>12</v>
      </c>
      <c r="E46" s="76">
        <v>20588</v>
      </c>
      <c r="F46" s="76">
        <v>-1982</v>
      </c>
      <c r="G46" s="76">
        <v>-11447</v>
      </c>
      <c r="H46" s="76">
        <v>7159</v>
      </c>
      <c r="I46" s="76">
        <v>-138</v>
      </c>
      <c r="J46" s="76">
        <v>344</v>
      </c>
      <c r="K46" s="76">
        <v>0</v>
      </c>
      <c r="L46" s="76">
        <v>0</v>
      </c>
      <c r="M46" s="76">
        <v>2</v>
      </c>
      <c r="N46" s="76">
        <v>-4929</v>
      </c>
      <c r="O46" s="76">
        <v>0</v>
      </c>
      <c r="P46" s="76">
        <v>-119</v>
      </c>
      <c r="Q46" s="76">
        <v>0</v>
      </c>
      <c r="R46" s="76">
        <v>0</v>
      </c>
      <c r="S46" s="76">
        <v>2319</v>
      </c>
      <c r="T46" s="76">
        <v>0</v>
      </c>
      <c r="U46" s="76">
        <v>2319</v>
      </c>
      <c r="V46" s="76">
        <v>0</v>
      </c>
      <c r="W46" s="76">
        <v>0</v>
      </c>
      <c r="X46" s="76">
        <v>-19</v>
      </c>
      <c r="Y46" s="76">
        <v>0</v>
      </c>
      <c r="Z46" s="76">
        <v>2300</v>
      </c>
      <c r="AA46" s="76">
        <v>15457</v>
      </c>
      <c r="AB46" s="76">
        <v>930</v>
      </c>
      <c r="AC46" s="76">
        <v>16387</v>
      </c>
      <c r="AD46" s="76">
        <v>756</v>
      </c>
      <c r="AE46" s="76">
        <v>0</v>
      </c>
      <c r="AF46" s="76">
        <v>150</v>
      </c>
      <c r="AG46" s="76">
        <v>28</v>
      </c>
      <c r="AH46" s="76">
        <v>17321</v>
      </c>
      <c r="AI46" s="76">
        <v>4012</v>
      </c>
      <c r="AJ46" s="76">
        <v>774</v>
      </c>
      <c r="AK46" s="76">
        <v>2101</v>
      </c>
      <c r="AL46" s="76">
        <v>267</v>
      </c>
      <c r="AM46" s="76">
        <v>622</v>
      </c>
      <c r="AN46" s="76">
        <v>61</v>
      </c>
      <c r="AO46" s="76">
        <v>2792</v>
      </c>
      <c r="AP46" s="76">
        <v>0</v>
      </c>
      <c r="AQ46" s="76">
        <v>633</v>
      </c>
      <c r="AR46" s="76">
        <v>11262</v>
      </c>
      <c r="AS46" s="76">
        <v>6059</v>
      </c>
      <c r="AT46" s="76">
        <v>116</v>
      </c>
      <c r="AU46" s="76">
        <v>201072</v>
      </c>
      <c r="AV46" s="76">
        <v>0</v>
      </c>
      <c r="AW46" s="76">
        <v>473</v>
      </c>
      <c r="AX46" s="76">
        <v>0</v>
      </c>
      <c r="AY46" s="76">
        <v>0</v>
      </c>
      <c r="AZ46" s="76">
        <v>0</v>
      </c>
      <c r="BA46" s="76">
        <v>0</v>
      </c>
      <c r="BB46" s="76">
        <v>0</v>
      </c>
      <c r="BC46" s="76">
        <v>0</v>
      </c>
      <c r="BD46" s="76">
        <v>1349</v>
      </c>
      <c r="BE46" s="76">
        <v>202894</v>
      </c>
      <c r="BF46" s="76">
        <v>731</v>
      </c>
      <c r="BG46" s="76">
        <v>374</v>
      </c>
      <c r="BH46" s="76">
        <v>1383</v>
      </c>
      <c r="BI46" s="76">
        <v>0</v>
      </c>
      <c r="BJ46" s="76">
        <v>706</v>
      </c>
      <c r="BK46" s="76">
        <v>3194</v>
      </c>
      <c r="BL46" s="76">
        <v>1903</v>
      </c>
      <c r="BM46" s="76">
        <v>0</v>
      </c>
      <c r="BN46" s="76">
        <v>755</v>
      </c>
      <c r="BO46" s="76">
        <v>3609</v>
      </c>
      <c r="BP46" s="76">
        <v>6267</v>
      </c>
      <c r="BQ46" s="76">
        <v>-3073</v>
      </c>
      <c r="BR46" s="76">
        <v>199821</v>
      </c>
      <c r="BS46" s="76">
        <v>98194</v>
      </c>
      <c r="BT46" s="76">
        <v>0</v>
      </c>
      <c r="BU46" s="76">
        <v>0</v>
      </c>
      <c r="BV46" s="76">
        <v>53936</v>
      </c>
      <c r="BW46" s="76">
        <v>0</v>
      </c>
      <c r="BX46" s="76">
        <v>3466</v>
      </c>
      <c r="BY46" s="76">
        <v>874</v>
      </c>
      <c r="BZ46" s="76">
        <v>156470</v>
      </c>
      <c r="CA46" s="76">
        <v>1252</v>
      </c>
      <c r="CB46" s="76">
        <v>215</v>
      </c>
      <c r="CC46" s="76">
        <v>41884</v>
      </c>
      <c r="CD46" s="76">
        <v>43002</v>
      </c>
      <c r="CE46" s="76">
        <v>0</v>
      </c>
      <c r="CF46" s="76">
        <v>0</v>
      </c>
      <c r="CG46" s="76">
        <v>-1118</v>
      </c>
      <c r="CH46" s="76">
        <v>0</v>
      </c>
      <c r="CI46" s="76">
        <v>41884</v>
      </c>
      <c r="CJ46" s="76">
        <v>2991</v>
      </c>
      <c r="CK46" s="76">
        <v>1982</v>
      </c>
      <c r="CL46" s="76">
        <v>0</v>
      </c>
      <c r="CM46" s="76">
        <v>1009</v>
      </c>
      <c r="CN46" s="76">
        <v>0</v>
      </c>
      <c r="CO46" s="76">
        <v>0</v>
      </c>
      <c r="CP46" s="76">
        <v>0</v>
      </c>
      <c r="CQ46" s="76">
        <v>0</v>
      </c>
      <c r="CR46" s="76">
        <v>0</v>
      </c>
      <c r="CS46" s="76">
        <v>0</v>
      </c>
      <c r="CT46" s="76">
        <v>0</v>
      </c>
      <c r="CU46" s="76">
        <v>0</v>
      </c>
      <c r="CV46" s="76">
        <v>0</v>
      </c>
      <c r="CW46" s="76">
        <v>0</v>
      </c>
      <c r="CX46" s="76">
        <v>0</v>
      </c>
      <c r="CY46" s="76">
        <v>0</v>
      </c>
      <c r="CZ46" s="76">
        <v>276</v>
      </c>
      <c r="DA46" s="76">
        <v>0</v>
      </c>
      <c r="DB46" s="76">
        <v>185</v>
      </c>
      <c r="DC46" s="76">
        <v>91</v>
      </c>
      <c r="DD46" s="76">
        <v>3267</v>
      </c>
      <c r="DE46" s="76">
        <v>1982</v>
      </c>
      <c r="DF46" s="76">
        <v>185</v>
      </c>
      <c r="DG46" s="76">
        <v>1100</v>
      </c>
      <c r="DH46" s="76">
        <v>0</v>
      </c>
      <c r="DI46" s="76">
        <v>0</v>
      </c>
      <c r="DJ46" s="76">
        <v>0</v>
      </c>
      <c r="DK46" s="76">
        <v>0</v>
      </c>
      <c r="DL46" s="76">
        <v>0</v>
      </c>
      <c r="DM46" s="76">
        <v>0</v>
      </c>
      <c r="DN46" s="76">
        <v>0</v>
      </c>
      <c r="DO46" s="76">
        <v>0</v>
      </c>
      <c r="DP46" s="76">
        <v>0</v>
      </c>
      <c r="DQ46" s="76">
        <v>0</v>
      </c>
      <c r="DR46" s="76">
        <v>0</v>
      </c>
      <c r="DS46" s="76">
        <v>0</v>
      </c>
      <c r="DT46" s="76">
        <v>0</v>
      </c>
      <c r="DU46" s="76">
        <v>0</v>
      </c>
      <c r="DV46" s="76">
        <v>0</v>
      </c>
      <c r="DW46" s="76">
        <v>0</v>
      </c>
      <c r="DX46" s="76">
        <v>0</v>
      </c>
      <c r="DY46" s="76">
        <v>0</v>
      </c>
      <c r="DZ46" s="76">
        <v>0</v>
      </c>
      <c r="EA46" s="76">
        <v>0</v>
      </c>
      <c r="EB46" s="76">
        <v>0</v>
      </c>
      <c r="EC46" s="76">
        <v>0</v>
      </c>
      <c r="ED46" s="76">
        <v>0</v>
      </c>
      <c r="EE46" s="76">
        <v>0</v>
      </c>
      <c r="EF46" s="76">
        <v>0</v>
      </c>
      <c r="EG46" s="76">
        <v>0</v>
      </c>
      <c r="EH46" s="76">
        <v>0</v>
      </c>
      <c r="EI46" s="76">
        <v>0</v>
      </c>
      <c r="EJ46" s="76">
        <v>3267</v>
      </c>
      <c r="EK46" s="76">
        <v>1982</v>
      </c>
      <c r="EL46" s="76">
        <v>185</v>
      </c>
      <c r="EM46" s="76">
        <v>1100</v>
      </c>
      <c r="EN46" s="76">
        <v>433</v>
      </c>
      <c r="EO46" s="76">
        <v>85</v>
      </c>
      <c r="EP46" s="76">
        <v>59</v>
      </c>
      <c r="EQ46" s="76">
        <v>85</v>
      </c>
      <c r="ER46" s="76">
        <v>206409</v>
      </c>
      <c r="ES46" s="76">
        <v>0</v>
      </c>
      <c r="ET46" s="76">
        <v>206409</v>
      </c>
      <c r="EU46" s="76">
        <v>19727</v>
      </c>
      <c r="EV46" s="76">
        <v>-548</v>
      </c>
      <c r="EW46" s="76">
        <v>0</v>
      </c>
      <c r="EX46" s="76">
        <v>0</v>
      </c>
      <c r="EY46" s="76">
        <v>0</v>
      </c>
      <c r="EZ46" s="76">
        <v>225588</v>
      </c>
      <c r="FA46" s="76">
        <v>21764</v>
      </c>
      <c r="FB46" s="76">
        <v>2792</v>
      </c>
      <c r="FC46" s="76">
        <v>0</v>
      </c>
      <c r="FD46" s="76">
        <v>0</v>
      </c>
      <c r="FE46" s="76">
        <v>-40</v>
      </c>
      <c r="FF46" s="76">
        <v>0</v>
      </c>
      <c r="FG46" s="76">
        <v>0</v>
      </c>
      <c r="FH46" s="76">
        <v>24516</v>
      </c>
      <c r="FI46" s="76">
        <v>201072</v>
      </c>
      <c r="FJ46" s="76">
        <v>184645</v>
      </c>
      <c r="FK46" s="76">
        <v>0</v>
      </c>
      <c r="FL46" s="76">
        <v>0</v>
      </c>
      <c r="FM46" s="76">
        <v>0</v>
      </c>
      <c r="FN46" s="76">
        <v>0</v>
      </c>
      <c r="FO46" s="76">
        <v>0</v>
      </c>
      <c r="FP46" s="76">
        <v>0</v>
      </c>
      <c r="FQ46" s="76">
        <v>0</v>
      </c>
      <c r="FR46" s="76">
        <v>0</v>
      </c>
      <c r="FS46" s="76">
        <v>0</v>
      </c>
      <c r="FT46" s="76">
        <v>547</v>
      </c>
      <c r="FU46" s="76">
        <v>685</v>
      </c>
      <c r="FV46" s="76">
        <v>-138</v>
      </c>
      <c r="FW46" s="76">
        <v>0</v>
      </c>
      <c r="FX46" s="76">
        <v>0</v>
      </c>
      <c r="FY46" s="76">
        <v>0</v>
      </c>
      <c r="FZ46" s="76">
        <v>0</v>
      </c>
      <c r="GA46" s="76">
        <v>0</v>
      </c>
      <c r="GB46" s="76">
        <v>0</v>
      </c>
      <c r="GC46" s="76">
        <v>547</v>
      </c>
      <c r="GD46" s="76">
        <v>685</v>
      </c>
      <c r="GE46" s="76">
        <v>-138</v>
      </c>
      <c r="GF46" s="76">
        <v>0</v>
      </c>
      <c r="GG46" s="76">
        <v>0</v>
      </c>
      <c r="GH46" s="76">
        <v>0</v>
      </c>
      <c r="GI46" s="76">
        <v>0</v>
      </c>
      <c r="GJ46" s="76">
        <v>0</v>
      </c>
      <c r="GK46" s="76">
        <v>706</v>
      </c>
      <c r="GL46" s="76">
        <v>706</v>
      </c>
      <c r="GM46" s="76">
        <v>115</v>
      </c>
      <c r="GN46" s="76">
        <v>414</v>
      </c>
      <c r="GO46" s="76">
        <v>0</v>
      </c>
      <c r="GP46" s="76">
        <v>97</v>
      </c>
      <c r="GQ46" s="76">
        <v>55</v>
      </c>
      <c r="GR46" s="76">
        <v>2899</v>
      </c>
      <c r="GS46" s="76">
        <v>0</v>
      </c>
      <c r="GT46" s="76">
        <v>0</v>
      </c>
      <c r="GU46" s="76">
        <v>0</v>
      </c>
      <c r="GV46" s="76">
        <v>0</v>
      </c>
      <c r="GW46" s="76">
        <v>29</v>
      </c>
      <c r="GX46" s="76">
        <v>3609</v>
      </c>
      <c r="GY46" s="76">
        <v>75</v>
      </c>
      <c r="GZ46" s="76">
        <v>0</v>
      </c>
      <c r="HA46" s="76">
        <v>0</v>
      </c>
      <c r="HB46" s="76">
        <v>799</v>
      </c>
      <c r="HC46" s="76">
        <v>874</v>
      </c>
      <c r="HD46" s="76">
        <v>215</v>
      </c>
      <c r="HE46" s="76">
        <v>0</v>
      </c>
      <c r="HF46" s="76">
        <v>215</v>
      </c>
      <c r="HG46" s="76">
        <v>6150</v>
      </c>
      <c r="HH46" s="76">
        <v>181</v>
      </c>
      <c r="HI46" s="76">
        <v>26</v>
      </c>
      <c r="HJ46" s="76">
        <v>0</v>
      </c>
      <c r="HK46" s="76">
        <v>0</v>
      </c>
      <c r="HL46" s="76">
        <v>-1428</v>
      </c>
      <c r="HM46" s="76">
        <v>4929</v>
      </c>
      <c r="HN46" s="76">
        <v>1228</v>
      </c>
      <c r="HO46" s="76">
        <v>2792</v>
      </c>
      <c r="HP46" s="76">
        <v>0</v>
      </c>
      <c r="HQ46" s="76">
        <v>0</v>
      </c>
      <c r="HR46" s="76">
        <v>0</v>
      </c>
      <c r="HS46" s="76">
        <v>166</v>
      </c>
      <c r="HT46" s="76">
        <v>3232</v>
      </c>
      <c r="HU46" s="76">
        <v>0</v>
      </c>
      <c r="HV46" s="76">
        <v>0</v>
      </c>
      <c r="HW46" s="76">
        <v>0</v>
      </c>
      <c r="HX46" s="76">
        <v>0</v>
      </c>
    </row>
    <row r="47" spans="1:232" x14ac:dyDescent="0.2">
      <c r="A47" s="74" t="s">
        <v>49</v>
      </c>
      <c r="B47" s="74" t="s">
        <v>48</v>
      </c>
      <c r="C47" s="75" t="s">
        <v>200</v>
      </c>
      <c r="D47" s="75">
        <v>12</v>
      </c>
      <c r="E47" s="76">
        <v>29155</v>
      </c>
      <c r="F47" s="76">
        <v>0</v>
      </c>
      <c r="G47" s="76">
        <v>-18676</v>
      </c>
      <c r="H47" s="76">
        <v>10479</v>
      </c>
      <c r="I47" s="76">
        <v>-408</v>
      </c>
      <c r="J47" s="76">
        <v>0</v>
      </c>
      <c r="K47" s="76">
        <v>0</v>
      </c>
      <c r="L47" s="76">
        <v>0</v>
      </c>
      <c r="M47" s="76">
        <v>30</v>
      </c>
      <c r="N47" s="76">
        <v>-3469</v>
      </c>
      <c r="O47" s="76">
        <v>0</v>
      </c>
      <c r="P47" s="76">
        <v>0</v>
      </c>
      <c r="Q47" s="76">
        <v>0</v>
      </c>
      <c r="R47" s="76">
        <v>0</v>
      </c>
      <c r="S47" s="76">
        <v>6632</v>
      </c>
      <c r="T47" s="76">
        <v>0</v>
      </c>
      <c r="U47" s="76">
        <v>6632</v>
      </c>
      <c r="V47" s="76">
        <v>0</v>
      </c>
      <c r="W47" s="76">
        <v>-1834</v>
      </c>
      <c r="X47" s="76">
        <v>0</v>
      </c>
      <c r="Y47" s="76">
        <v>0</v>
      </c>
      <c r="Z47" s="76">
        <v>4798</v>
      </c>
      <c r="AA47" s="76">
        <v>25233</v>
      </c>
      <c r="AB47" s="76">
        <v>538</v>
      </c>
      <c r="AC47" s="76">
        <v>25771</v>
      </c>
      <c r="AD47" s="76">
        <v>2777</v>
      </c>
      <c r="AE47" s="76">
        <v>0</v>
      </c>
      <c r="AF47" s="76">
        <v>0</v>
      </c>
      <c r="AG47" s="76">
        <v>24</v>
      </c>
      <c r="AH47" s="76">
        <v>28572</v>
      </c>
      <c r="AI47" s="76">
        <v>5493</v>
      </c>
      <c r="AJ47" s="76">
        <v>1350</v>
      </c>
      <c r="AK47" s="76">
        <v>4536</v>
      </c>
      <c r="AL47" s="76">
        <v>0</v>
      </c>
      <c r="AM47" s="76">
        <v>0</v>
      </c>
      <c r="AN47" s="76">
        <v>121</v>
      </c>
      <c r="AO47" s="76">
        <v>5788</v>
      </c>
      <c r="AP47" s="76">
        <v>0</v>
      </c>
      <c r="AQ47" s="76">
        <v>0</v>
      </c>
      <c r="AR47" s="76">
        <v>17288</v>
      </c>
      <c r="AS47" s="76">
        <v>11284</v>
      </c>
      <c r="AT47" s="76">
        <v>204</v>
      </c>
      <c r="AU47" s="76">
        <v>131988</v>
      </c>
      <c r="AV47" s="76">
        <v>0</v>
      </c>
      <c r="AW47" s="76">
        <v>8175</v>
      </c>
      <c r="AX47" s="76">
        <v>0</v>
      </c>
      <c r="AY47" s="76">
        <v>0</v>
      </c>
      <c r="AZ47" s="76">
        <v>2095</v>
      </c>
      <c r="BA47" s="76">
        <v>0</v>
      </c>
      <c r="BB47" s="76">
        <v>0</v>
      </c>
      <c r="BC47" s="76">
        <v>0</v>
      </c>
      <c r="BD47" s="76">
        <v>0</v>
      </c>
      <c r="BE47" s="76">
        <v>142258</v>
      </c>
      <c r="BF47" s="76">
        <v>0</v>
      </c>
      <c r="BG47" s="76">
        <v>497</v>
      </c>
      <c r="BH47" s="76">
        <v>3630</v>
      </c>
      <c r="BI47" s="76">
        <v>0</v>
      </c>
      <c r="BJ47" s="76">
        <v>2416</v>
      </c>
      <c r="BK47" s="76">
        <v>6543</v>
      </c>
      <c r="BL47" s="76">
        <v>0</v>
      </c>
      <c r="BM47" s="76">
        <v>0</v>
      </c>
      <c r="BN47" s="76">
        <v>2200</v>
      </c>
      <c r="BO47" s="76">
        <v>1998</v>
      </c>
      <c r="BP47" s="76">
        <v>4198</v>
      </c>
      <c r="BQ47" s="76">
        <v>2345</v>
      </c>
      <c r="BR47" s="76">
        <v>144603</v>
      </c>
      <c r="BS47" s="76">
        <v>53000</v>
      </c>
      <c r="BT47" s="76">
        <v>0</v>
      </c>
      <c r="BU47" s="76">
        <v>118</v>
      </c>
      <c r="BV47" s="76">
        <v>51627</v>
      </c>
      <c r="BW47" s="76">
        <v>0</v>
      </c>
      <c r="BX47" s="76">
        <v>0</v>
      </c>
      <c r="BY47" s="76">
        <v>1058</v>
      </c>
      <c r="BZ47" s="76">
        <v>105803</v>
      </c>
      <c r="CA47" s="76">
        <v>5538</v>
      </c>
      <c r="CB47" s="76">
        <v>0</v>
      </c>
      <c r="CC47" s="76">
        <v>33262</v>
      </c>
      <c r="CD47" s="76">
        <v>36565</v>
      </c>
      <c r="CE47" s="76">
        <v>2095</v>
      </c>
      <c r="CF47" s="76">
        <v>-5398</v>
      </c>
      <c r="CG47" s="76">
        <v>0</v>
      </c>
      <c r="CH47" s="76">
        <v>0</v>
      </c>
      <c r="CI47" s="76">
        <v>33262</v>
      </c>
      <c r="CJ47" s="76">
        <v>0</v>
      </c>
      <c r="CK47" s="76">
        <v>0</v>
      </c>
      <c r="CL47" s="76">
        <v>0</v>
      </c>
      <c r="CM47" s="76">
        <v>0</v>
      </c>
      <c r="CN47" s="76">
        <v>144</v>
      </c>
      <c r="CO47" s="76">
        <v>0</v>
      </c>
      <c r="CP47" s="76">
        <v>237</v>
      </c>
      <c r="CQ47" s="76">
        <v>-93</v>
      </c>
      <c r="CR47" s="76">
        <v>0</v>
      </c>
      <c r="CS47" s="76">
        <v>0</v>
      </c>
      <c r="CT47" s="76">
        <v>206</v>
      </c>
      <c r="CU47" s="76">
        <v>-206</v>
      </c>
      <c r="CV47" s="76">
        <v>0</v>
      </c>
      <c r="CW47" s="76">
        <v>0</v>
      </c>
      <c r="CX47" s="76">
        <v>591</v>
      </c>
      <c r="CY47" s="76">
        <v>-591</v>
      </c>
      <c r="CZ47" s="76">
        <v>0</v>
      </c>
      <c r="DA47" s="76">
        <v>0</v>
      </c>
      <c r="DB47" s="76">
        <v>0</v>
      </c>
      <c r="DC47" s="76">
        <v>0</v>
      </c>
      <c r="DD47" s="76">
        <v>144</v>
      </c>
      <c r="DE47" s="76">
        <v>0</v>
      </c>
      <c r="DF47" s="76">
        <v>1034</v>
      </c>
      <c r="DG47" s="76">
        <v>-890</v>
      </c>
      <c r="DH47" s="76">
        <v>0</v>
      </c>
      <c r="DI47" s="76">
        <v>0</v>
      </c>
      <c r="DJ47" s="76">
        <v>0</v>
      </c>
      <c r="DK47" s="76">
        <v>0</v>
      </c>
      <c r="DL47" s="76">
        <v>0</v>
      </c>
      <c r="DM47" s="76">
        <v>0</v>
      </c>
      <c r="DN47" s="76">
        <v>0</v>
      </c>
      <c r="DO47" s="76">
        <v>0</v>
      </c>
      <c r="DP47" s="76">
        <v>0</v>
      </c>
      <c r="DQ47" s="76">
        <v>0</v>
      </c>
      <c r="DR47" s="76">
        <v>0</v>
      </c>
      <c r="DS47" s="76">
        <v>0</v>
      </c>
      <c r="DT47" s="76">
        <v>0</v>
      </c>
      <c r="DU47" s="76">
        <v>0</v>
      </c>
      <c r="DV47" s="76">
        <v>0</v>
      </c>
      <c r="DW47" s="76">
        <v>0</v>
      </c>
      <c r="DX47" s="76">
        <v>0</v>
      </c>
      <c r="DY47" s="76">
        <v>0</v>
      </c>
      <c r="DZ47" s="76">
        <v>0</v>
      </c>
      <c r="EA47" s="76">
        <v>0</v>
      </c>
      <c r="EB47" s="76">
        <v>438</v>
      </c>
      <c r="EC47" s="76">
        <v>0</v>
      </c>
      <c r="ED47" s="76">
        <v>353</v>
      </c>
      <c r="EE47" s="76">
        <v>85</v>
      </c>
      <c r="EF47" s="76">
        <v>438</v>
      </c>
      <c r="EG47" s="76">
        <v>0</v>
      </c>
      <c r="EH47" s="76">
        <v>353</v>
      </c>
      <c r="EI47" s="76">
        <v>85</v>
      </c>
      <c r="EJ47" s="76">
        <v>582</v>
      </c>
      <c r="EK47" s="76">
        <v>0</v>
      </c>
      <c r="EL47" s="76">
        <v>1387</v>
      </c>
      <c r="EM47" s="76">
        <v>-805</v>
      </c>
      <c r="EN47" s="76">
        <v>206</v>
      </c>
      <c r="EO47" s="76">
        <v>213</v>
      </c>
      <c r="EP47" s="76">
        <v>187</v>
      </c>
      <c r="EQ47" s="76">
        <v>213</v>
      </c>
      <c r="ER47" s="76">
        <v>153354</v>
      </c>
      <c r="ES47" s="76">
        <v>0</v>
      </c>
      <c r="ET47" s="76">
        <v>153354</v>
      </c>
      <c r="EU47" s="76">
        <v>7439</v>
      </c>
      <c r="EV47" s="76">
        <v>-1790</v>
      </c>
      <c r="EW47" s="76">
        <v>0</v>
      </c>
      <c r="EX47" s="76">
        <v>0</v>
      </c>
      <c r="EY47" s="76">
        <v>0</v>
      </c>
      <c r="EZ47" s="76">
        <v>159003</v>
      </c>
      <c r="FA47" s="76">
        <v>22162</v>
      </c>
      <c r="FB47" s="76">
        <v>5163</v>
      </c>
      <c r="FC47" s="76">
        <v>0</v>
      </c>
      <c r="FD47" s="76">
        <v>0</v>
      </c>
      <c r="FE47" s="76">
        <v>-309</v>
      </c>
      <c r="FF47" s="76">
        <v>0</v>
      </c>
      <c r="FG47" s="76">
        <v>0</v>
      </c>
      <c r="FH47" s="76">
        <v>27016</v>
      </c>
      <c r="FI47" s="76">
        <v>131987</v>
      </c>
      <c r="FJ47" s="76">
        <v>131192</v>
      </c>
      <c r="FK47" s="76">
        <v>0</v>
      </c>
      <c r="FL47" s="76">
        <v>0</v>
      </c>
      <c r="FM47" s="76">
        <v>0</v>
      </c>
      <c r="FN47" s="76">
        <v>1138</v>
      </c>
      <c r="FO47" s="76">
        <v>1312</v>
      </c>
      <c r="FP47" s="76">
        <v>-174</v>
      </c>
      <c r="FQ47" s="76">
        <v>785</v>
      </c>
      <c r="FR47" s="76">
        <v>929</v>
      </c>
      <c r="FS47" s="76">
        <v>-144</v>
      </c>
      <c r="FT47" s="76">
        <v>25</v>
      </c>
      <c r="FU47" s="76">
        <v>115</v>
      </c>
      <c r="FV47" s="76">
        <v>-90</v>
      </c>
      <c r="FW47" s="76">
        <v>0</v>
      </c>
      <c r="FX47" s="76">
        <v>0</v>
      </c>
      <c r="FY47" s="76">
        <v>0</v>
      </c>
      <c r="FZ47" s="76">
        <v>0</v>
      </c>
      <c r="GA47" s="76">
        <v>0</v>
      </c>
      <c r="GB47" s="76">
        <v>0</v>
      </c>
      <c r="GC47" s="76">
        <v>1948</v>
      </c>
      <c r="GD47" s="76">
        <v>2356</v>
      </c>
      <c r="GE47" s="76">
        <v>-408</v>
      </c>
      <c r="GF47" s="76">
        <v>0</v>
      </c>
      <c r="GG47" s="76">
        <v>3</v>
      </c>
      <c r="GH47" s="76">
        <v>34</v>
      </c>
      <c r="GI47" s="76">
        <v>0</v>
      </c>
      <c r="GJ47" s="76">
        <v>0</v>
      </c>
      <c r="GK47" s="76">
        <v>2379</v>
      </c>
      <c r="GL47" s="76">
        <v>2416</v>
      </c>
      <c r="GM47" s="76">
        <v>193</v>
      </c>
      <c r="GN47" s="76">
        <v>556</v>
      </c>
      <c r="GO47" s="76">
        <v>0</v>
      </c>
      <c r="GP47" s="76">
        <v>0</v>
      </c>
      <c r="GQ47" s="76">
        <v>242</v>
      </c>
      <c r="GR47" s="76">
        <v>348</v>
      </c>
      <c r="GS47" s="76">
        <v>49</v>
      </c>
      <c r="GT47" s="76">
        <v>0</v>
      </c>
      <c r="GU47" s="76">
        <v>0</v>
      </c>
      <c r="GV47" s="76">
        <v>0</v>
      </c>
      <c r="GW47" s="76">
        <v>610</v>
      </c>
      <c r="GX47" s="76">
        <v>1998</v>
      </c>
      <c r="GY47" s="76">
        <v>0</v>
      </c>
      <c r="GZ47" s="76">
        <v>1058</v>
      </c>
      <c r="HA47" s="76">
        <v>0</v>
      </c>
      <c r="HB47" s="76">
        <v>0</v>
      </c>
      <c r="HC47" s="76">
        <v>1058</v>
      </c>
      <c r="HD47" s="76">
        <v>0</v>
      </c>
      <c r="HE47" s="76">
        <v>0</v>
      </c>
      <c r="HF47" s="76">
        <v>0</v>
      </c>
      <c r="HG47" s="76">
        <v>3361</v>
      </c>
      <c r="HH47" s="76">
        <v>0</v>
      </c>
      <c r="HI47" s="76">
        <v>108</v>
      </c>
      <c r="HJ47" s="76">
        <v>0</v>
      </c>
      <c r="HK47" s="76">
        <v>0</v>
      </c>
      <c r="HL47" s="76">
        <v>0</v>
      </c>
      <c r="HM47" s="76">
        <v>3469</v>
      </c>
      <c r="HN47" s="76">
        <v>3504</v>
      </c>
      <c r="HO47" s="76">
        <v>6196</v>
      </c>
      <c r="HP47" s="76">
        <v>0</v>
      </c>
      <c r="HQ47" s="76">
        <v>30</v>
      </c>
      <c r="HR47" s="76">
        <v>-41</v>
      </c>
      <c r="HS47" s="76">
        <v>1</v>
      </c>
      <c r="HT47" s="76">
        <v>6173</v>
      </c>
      <c r="HU47" s="76">
        <v>0</v>
      </c>
      <c r="HV47" s="76">
        <v>0</v>
      </c>
      <c r="HW47" s="76">
        <v>0</v>
      </c>
      <c r="HX47" s="76">
        <v>0</v>
      </c>
    </row>
    <row r="48" spans="1:232" x14ac:dyDescent="0.2">
      <c r="A48" s="74" t="s">
        <v>51</v>
      </c>
      <c r="B48" s="74" t="s">
        <v>50</v>
      </c>
      <c r="C48" s="75" t="s">
        <v>200</v>
      </c>
      <c r="D48" s="75">
        <v>12</v>
      </c>
      <c r="E48" s="76">
        <v>17048</v>
      </c>
      <c r="F48" s="76">
        <v>-225</v>
      </c>
      <c r="G48" s="76">
        <v>-12980</v>
      </c>
      <c r="H48" s="76">
        <v>3843</v>
      </c>
      <c r="I48" s="76">
        <v>231</v>
      </c>
      <c r="J48" s="76">
        <v>0</v>
      </c>
      <c r="K48" s="76">
        <v>0</v>
      </c>
      <c r="L48" s="76">
        <v>0</v>
      </c>
      <c r="M48" s="76">
        <v>68</v>
      </c>
      <c r="N48" s="76">
        <v>-1994</v>
      </c>
      <c r="O48" s="76">
        <v>0</v>
      </c>
      <c r="P48" s="76">
        <v>0</v>
      </c>
      <c r="Q48" s="76">
        <v>0</v>
      </c>
      <c r="R48" s="76">
        <v>0</v>
      </c>
      <c r="S48" s="76">
        <v>2148</v>
      </c>
      <c r="T48" s="76">
        <v>0</v>
      </c>
      <c r="U48" s="76">
        <v>2148</v>
      </c>
      <c r="V48" s="76">
        <v>0</v>
      </c>
      <c r="W48" s="76">
        <v>-76</v>
      </c>
      <c r="X48" s="76">
        <v>0</v>
      </c>
      <c r="Y48" s="76">
        <v>0</v>
      </c>
      <c r="Z48" s="76">
        <v>2072</v>
      </c>
      <c r="AA48" s="76">
        <v>12661</v>
      </c>
      <c r="AB48" s="76">
        <v>774</v>
      </c>
      <c r="AC48" s="76">
        <v>13435</v>
      </c>
      <c r="AD48" s="76">
        <v>1311</v>
      </c>
      <c r="AE48" s="76">
        <v>30</v>
      </c>
      <c r="AF48" s="76">
        <v>0</v>
      </c>
      <c r="AG48" s="76">
        <v>0</v>
      </c>
      <c r="AH48" s="76">
        <v>14776</v>
      </c>
      <c r="AI48" s="76">
        <v>2860</v>
      </c>
      <c r="AJ48" s="76">
        <v>636</v>
      </c>
      <c r="AK48" s="76">
        <v>1983</v>
      </c>
      <c r="AL48" s="76">
        <v>1872</v>
      </c>
      <c r="AM48" s="76">
        <v>349</v>
      </c>
      <c r="AN48" s="76">
        <v>65</v>
      </c>
      <c r="AO48" s="76">
        <v>3113</v>
      </c>
      <c r="AP48" s="76">
        <v>0</v>
      </c>
      <c r="AQ48" s="76">
        <v>118</v>
      </c>
      <c r="AR48" s="76">
        <v>10996</v>
      </c>
      <c r="AS48" s="76">
        <v>3780</v>
      </c>
      <c r="AT48" s="76">
        <v>156</v>
      </c>
      <c r="AU48" s="76">
        <v>116407</v>
      </c>
      <c r="AV48" s="76">
        <v>0</v>
      </c>
      <c r="AW48" s="76">
        <v>2534</v>
      </c>
      <c r="AX48" s="76">
        <v>0</v>
      </c>
      <c r="AY48" s="76">
        <v>0</v>
      </c>
      <c r="AZ48" s="76">
        <v>4943</v>
      </c>
      <c r="BA48" s="76">
        <v>0</v>
      </c>
      <c r="BB48" s="76">
        <v>0</v>
      </c>
      <c r="BC48" s="76">
        <v>0</v>
      </c>
      <c r="BD48" s="76">
        <v>0</v>
      </c>
      <c r="BE48" s="76">
        <v>123884</v>
      </c>
      <c r="BF48" s="76">
        <v>0</v>
      </c>
      <c r="BG48" s="76">
        <v>493</v>
      </c>
      <c r="BH48" s="76">
        <v>2356</v>
      </c>
      <c r="BI48" s="76">
        <v>0</v>
      </c>
      <c r="BJ48" s="76">
        <v>919</v>
      </c>
      <c r="BK48" s="76">
        <v>3768</v>
      </c>
      <c r="BL48" s="76">
        <v>406</v>
      </c>
      <c r="BM48" s="76">
        <v>0</v>
      </c>
      <c r="BN48" s="76">
        <v>1341</v>
      </c>
      <c r="BO48" s="76">
        <v>2086</v>
      </c>
      <c r="BP48" s="76">
        <v>3833</v>
      </c>
      <c r="BQ48" s="76">
        <v>-65</v>
      </c>
      <c r="BR48" s="76">
        <v>123819</v>
      </c>
      <c r="BS48" s="76">
        <v>43256</v>
      </c>
      <c r="BT48" s="76">
        <v>0</v>
      </c>
      <c r="BU48" s="76">
        <v>0</v>
      </c>
      <c r="BV48" s="76">
        <v>57467</v>
      </c>
      <c r="BW48" s="76">
        <v>0</v>
      </c>
      <c r="BX48" s="76">
        <v>0</v>
      </c>
      <c r="BY48" s="76">
        <v>426</v>
      </c>
      <c r="BZ48" s="76">
        <v>101149</v>
      </c>
      <c r="CA48" s="76">
        <v>2737</v>
      </c>
      <c r="CB48" s="76">
        <v>607</v>
      </c>
      <c r="CC48" s="76">
        <v>19326</v>
      </c>
      <c r="CD48" s="76">
        <v>13566</v>
      </c>
      <c r="CE48" s="76">
        <v>1150</v>
      </c>
      <c r="CF48" s="76">
        <v>4610</v>
      </c>
      <c r="CG48" s="76">
        <v>0</v>
      </c>
      <c r="CH48" s="76">
        <v>0</v>
      </c>
      <c r="CI48" s="76">
        <v>19326</v>
      </c>
      <c r="CJ48" s="76">
        <v>367</v>
      </c>
      <c r="CK48" s="76">
        <v>225</v>
      </c>
      <c r="CL48" s="76">
        <v>0</v>
      </c>
      <c r="CM48" s="76">
        <v>142</v>
      </c>
      <c r="CN48" s="76">
        <v>116</v>
      </c>
      <c r="CO48" s="76">
        <v>0</v>
      </c>
      <c r="CP48" s="76">
        <v>116</v>
      </c>
      <c r="CQ48" s="76">
        <v>0</v>
      </c>
      <c r="CR48" s="76">
        <v>0</v>
      </c>
      <c r="CS48" s="76">
        <v>0</v>
      </c>
      <c r="CT48" s="76">
        <v>192</v>
      </c>
      <c r="CU48" s="76">
        <v>-192</v>
      </c>
      <c r="CV48" s="76">
        <v>0</v>
      </c>
      <c r="CW48" s="76">
        <v>0</v>
      </c>
      <c r="CX48" s="76">
        <v>0</v>
      </c>
      <c r="CY48" s="76">
        <v>0</v>
      </c>
      <c r="CZ48" s="76">
        <v>1335</v>
      </c>
      <c r="DA48" s="76">
        <v>0</v>
      </c>
      <c r="DB48" s="76">
        <v>1335</v>
      </c>
      <c r="DC48" s="76">
        <v>0</v>
      </c>
      <c r="DD48" s="76">
        <v>1818</v>
      </c>
      <c r="DE48" s="76">
        <v>225</v>
      </c>
      <c r="DF48" s="76">
        <v>1643</v>
      </c>
      <c r="DG48" s="76">
        <v>-50</v>
      </c>
      <c r="DH48" s="76">
        <v>0</v>
      </c>
      <c r="DI48" s="76">
        <v>0</v>
      </c>
      <c r="DJ48" s="76">
        <v>0</v>
      </c>
      <c r="DK48" s="76">
        <v>0</v>
      </c>
      <c r="DL48" s="76">
        <v>434</v>
      </c>
      <c r="DM48" s="76">
        <v>0</v>
      </c>
      <c r="DN48" s="76">
        <v>322</v>
      </c>
      <c r="DO48" s="76">
        <v>112</v>
      </c>
      <c r="DP48" s="76">
        <v>0</v>
      </c>
      <c r="DQ48" s="76">
        <v>0</v>
      </c>
      <c r="DR48" s="76">
        <v>0</v>
      </c>
      <c r="DS48" s="76">
        <v>0</v>
      </c>
      <c r="DT48" s="76">
        <v>0</v>
      </c>
      <c r="DU48" s="76">
        <v>0</v>
      </c>
      <c r="DV48" s="76">
        <v>0</v>
      </c>
      <c r="DW48" s="76">
        <v>0</v>
      </c>
      <c r="DX48" s="76">
        <v>0</v>
      </c>
      <c r="DY48" s="76">
        <v>0</v>
      </c>
      <c r="DZ48" s="76">
        <v>0</v>
      </c>
      <c r="EA48" s="76">
        <v>0</v>
      </c>
      <c r="EB48" s="76">
        <v>20</v>
      </c>
      <c r="EC48" s="76">
        <v>0</v>
      </c>
      <c r="ED48" s="76">
        <v>19</v>
      </c>
      <c r="EE48" s="76">
        <v>1</v>
      </c>
      <c r="EF48" s="76">
        <v>454</v>
      </c>
      <c r="EG48" s="76">
        <v>0</v>
      </c>
      <c r="EH48" s="76">
        <v>341</v>
      </c>
      <c r="EI48" s="76">
        <v>113</v>
      </c>
      <c r="EJ48" s="76">
        <v>2272</v>
      </c>
      <c r="EK48" s="76">
        <v>225</v>
      </c>
      <c r="EL48" s="76">
        <v>1984</v>
      </c>
      <c r="EM48" s="76">
        <v>63</v>
      </c>
      <c r="EN48" s="76">
        <v>255</v>
      </c>
      <c r="EO48" s="76">
        <v>30</v>
      </c>
      <c r="EP48" s="76">
        <v>133</v>
      </c>
      <c r="EQ48" s="76">
        <v>30</v>
      </c>
      <c r="ER48" s="76">
        <v>157862</v>
      </c>
      <c r="ES48" s="76">
        <v>0</v>
      </c>
      <c r="ET48" s="76">
        <v>157862</v>
      </c>
      <c r="EU48" s="76">
        <v>4973</v>
      </c>
      <c r="EV48" s="76">
        <v>-587</v>
      </c>
      <c r="EW48" s="76">
        <v>0</v>
      </c>
      <c r="EX48" s="76">
        <v>0</v>
      </c>
      <c r="EY48" s="76">
        <v>-619</v>
      </c>
      <c r="EZ48" s="76">
        <v>161629</v>
      </c>
      <c r="FA48" s="76">
        <v>42843</v>
      </c>
      <c r="FB48" s="76">
        <v>2994</v>
      </c>
      <c r="FC48" s="76">
        <v>0</v>
      </c>
      <c r="FD48" s="76">
        <v>0</v>
      </c>
      <c r="FE48" s="76">
        <v>-142</v>
      </c>
      <c r="FF48" s="76">
        <v>0</v>
      </c>
      <c r="FG48" s="76">
        <v>-473</v>
      </c>
      <c r="FH48" s="76">
        <v>45222</v>
      </c>
      <c r="FI48" s="76">
        <v>116407</v>
      </c>
      <c r="FJ48" s="76">
        <v>115019</v>
      </c>
      <c r="FK48" s="76">
        <v>199</v>
      </c>
      <c r="FL48" s="76">
        <v>111</v>
      </c>
      <c r="FM48" s="76">
        <v>88</v>
      </c>
      <c r="FN48" s="76">
        <v>0</v>
      </c>
      <c r="FO48" s="76">
        <v>0</v>
      </c>
      <c r="FP48" s="76">
        <v>0</v>
      </c>
      <c r="FQ48" s="76">
        <v>0</v>
      </c>
      <c r="FR48" s="76">
        <v>0</v>
      </c>
      <c r="FS48" s="76">
        <v>0</v>
      </c>
      <c r="FT48" s="76">
        <v>448</v>
      </c>
      <c r="FU48" s="76">
        <v>305</v>
      </c>
      <c r="FV48" s="76">
        <v>143</v>
      </c>
      <c r="FW48" s="76">
        <v>0</v>
      </c>
      <c r="FX48" s="76">
        <v>0</v>
      </c>
      <c r="FY48" s="76">
        <v>0</v>
      </c>
      <c r="FZ48" s="76">
        <v>0</v>
      </c>
      <c r="GA48" s="76">
        <v>0</v>
      </c>
      <c r="GB48" s="76">
        <v>0</v>
      </c>
      <c r="GC48" s="76">
        <v>647</v>
      </c>
      <c r="GD48" s="76">
        <v>416</v>
      </c>
      <c r="GE48" s="76">
        <v>231</v>
      </c>
      <c r="GF48" s="76">
        <v>0</v>
      </c>
      <c r="GG48" s="76">
        <v>60</v>
      </c>
      <c r="GH48" s="76">
        <v>0</v>
      </c>
      <c r="GI48" s="76">
        <v>0</v>
      </c>
      <c r="GJ48" s="76">
        <v>0</v>
      </c>
      <c r="GK48" s="76">
        <v>859</v>
      </c>
      <c r="GL48" s="76">
        <v>919</v>
      </c>
      <c r="GM48" s="76">
        <v>767</v>
      </c>
      <c r="GN48" s="76">
        <v>437</v>
      </c>
      <c r="GO48" s="76">
        <v>0</v>
      </c>
      <c r="GP48" s="76">
        <v>164</v>
      </c>
      <c r="GQ48" s="76">
        <v>0</v>
      </c>
      <c r="GR48" s="76">
        <v>207</v>
      </c>
      <c r="GS48" s="76">
        <v>0</v>
      </c>
      <c r="GT48" s="76">
        <v>0</v>
      </c>
      <c r="GU48" s="76">
        <v>0</v>
      </c>
      <c r="GV48" s="76">
        <v>0</v>
      </c>
      <c r="GW48" s="76">
        <v>511</v>
      </c>
      <c r="GX48" s="76">
        <v>2086</v>
      </c>
      <c r="GY48" s="76">
        <v>388</v>
      </c>
      <c r="GZ48" s="76">
        <v>0</v>
      </c>
      <c r="HA48" s="76">
        <v>0</v>
      </c>
      <c r="HB48" s="76">
        <v>38</v>
      </c>
      <c r="HC48" s="76">
        <v>426</v>
      </c>
      <c r="HD48" s="76">
        <v>0</v>
      </c>
      <c r="HE48" s="76">
        <v>607</v>
      </c>
      <c r="HF48" s="76">
        <v>607</v>
      </c>
      <c r="HG48" s="76">
        <v>1850</v>
      </c>
      <c r="HH48" s="76">
        <v>87</v>
      </c>
      <c r="HI48" s="76">
        <v>57</v>
      </c>
      <c r="HJ48" s="76">
        <v>0</v>
      </c>
      <c r="HK48" s="76">
        <v>0</v>
      </c>
      <c r="HL48" s="76">
        <v>0</v>
      </c>
      <c r="HM48" s="76">
        <v>1994</v>
      </c>
      <c r="HN48" s="76">
        <v>1377</v>
      </c>
      <c r="HO48" s="76">
        <v>3223</v>
      </c>
      <c r="HP48" s="76">
        <v>0</v>
      </c>
      <c r="HQ48" s="76">
        <v>15</v>
      </c>
      <c r="HR48" s="76">
        <v>-9</v>
      </c>
      <c r="HS48" s="76">
        <v>11</v>
      </c>
      <c r="HT48" s="76">
        <v>2887</v>
      </c>
      <c r="HU48" s="76">
        <v>0</v>
      </c>
      <c r="HV48" s="76">
        <v>0</v>
      </c>
      <c r="HW48" s="76">
        <v>0</v>
      </c>
      <c r="HX48" s="76">
        <v>6</v>
      </c>
    </row>
    <row r="49" spans="1:232" x14ac:dyDescent="0.2">
      <c r="A49" s="74" t="s">
        <v>308</v>
      </c>
      <c r="B49" s="74" t="s">
        <v>867</v>
      </c>
      <c r="C49" s="75" t="s">
        <v>200</v>
      </c>
      <c r="D49" s="75">
        <v>12</v>
      </c>
      <c r="E49" s="76">
        <v>26041</v>
      </c>
      <c r="F49" s="76">
        <v>-1056</v>
      </c>
      <c r="G49" s="76">
        <v>-16708</v>
      </c>
      <c r="H49" s="76">
        <v>8277</v>
      </c>
      <c r="I49" s="76">
        <v>882</v>
      </c>
      <c r="J49" s="76">
        <v>0</v>
      </c>
      <c r="K49" s="76">
        <v>246</v>
      </c>
      <c r="L49" s="76">
        <v>0</v>
      </c>
      <c r="M49" s="76">
        <v>18</v>
      </c>
      <c r="N49" s="76">
        <v>-5331</v>
      </c>
      <c r="O49" s="76">
        <v>0</v>
      </c>
      <c r="P49" s="76">
        <v>0</v>
      </c>
      <c r="Q49" s="76">
        <v>0</v>
      </c>
      <c r="R49" s="76">
        <v>0</v>
      </c>
      <c r="S49" s="76">
        <v>4092</v>
      </c>
      <c r="T49" s="76">
        <v>23</v>
      </c>
      <c r="U49" s="76">
        <v>4115</v>
      </c>
      <c r="V49" s="76">
        <v>0</v>
      </c>
      <c r="W49" s="76">
        <v>-213</v>
      </c>
      <c r="X49" s="76">
        <v>0</v>
      </c>
      <c r="Y49" s="76">
        <v>0</v>
      </c>
      <c r="Z49" s="76">
        <v>3902</v>
      </c>
      <c r="AA49" s="76">
        <v>21110</v>
      </c>
      <c r="AB49" s="76">
        <v>788</v>
      </c>
      <c r="AC49" s="76">
        <v>21898</v>
      </c>
      <c r="AD49" s="76">
        <v>429</v>
      </c>
      <c r="AE49" s="76">
        <v>0</v>
      </c>
      <c r="AF49" s="76">
        <v>616</v>
      </c>
      <c r="AG49" s="76">
        <v>334</v>
      </c>
      <c r="AH49" s="76">
        <v>23277</v>
      </c>
      <c r="AI49" s="76">
        <v>3889</v>
      </c>
      <c r="AJ49" s="76">
        <v>1061</v>
      </c>
      <c r="AK49" s="76">
        <v>4282</v>
      </c>
      <c r="AL49" s="76">
        <v>2188</v>
      </c>
      <c r="AM49" s="76">
        <v>0</v>
      </c>
      <c r="AN49" s="76">
        <v>73</v>
      </c>
      <c r="AO49" s="76">
        <v>3253</v>
      </c>
      <c r="AP49" s="76">
        <v>0</v>
      </c>
      <c r="AQ49" s="76">
        <v>869</v>
      </c>
      <c r="AR49" s="76">
        <v>15615</v>
      </c>
      <c r="AS49" s="76">
        <v>7662</v>
      </c>
      <c r="AT49" s="76">
        <v>255</v>
      </c>
      <c r="AU49" s="76">
        <v>156910</v>
      </c>
      <c r="AV49" s="76">
        <v>0</v>
      </c>
      <c r="AW49" s="76">
        <v>277</v>
      </c>
      <c r="AX49" s="76">
        <v>209</v>
      </c>
      <c r="AY49" s="76">
        <v>0</v>
      </c>
      <c r="AZ49" s="76">
        <v>3597</v>
      </c>
      <c r="BA49" s="76">
        <v>0</v>
      </c>
      <c r="BB49" s="76">
        <v>0</v>
      </c>
      <c r="BC49" s="76">
        <v>0</v>
      </c>
      <c r="BD49" s="76">
        <v>0</v>
      </c>
      <c r="BE49" s="76">
        <v>160993</v>
      </c>
      <c r="BF49" s="76">
        <v>6516</v>
      </c>
      <c r="BG49" s="76">
        <v>887</v>
      </c>
      <c r="BH49" s="76">
        <v>3215</v>
      </c>
      <c r="BI49" s="76">
        <v>0</v>
      </c>
      <c r="BJ49" s="76">
        <v>11416</v>
      </c>
      <c r="BK49" s="76">
        <v>22034</v>
      </c>
      <c r="BL49" s="76">
        <v>0</v>
      </c>
      <c r="BM49" s="76">
        <v>0</v>
      </c>
      <c r="BN49" s="76">
        <v>430</v>
      </c>
      <c r="BO49" s="76">
        <v>5081</v>
      </c>
      <c r="BP49" s="76">
        <v>5511</v>
      </c>
      <c r="BQ49" s="76">
        <v>16523</v>
      </c>
      <c r="BR49" s="76">
        <v>177516</v>
      </c>
      <c r="BS49" s="76">
        <v>96869</v>
      </c>
      <c r="BT49" s="76">
        <v>0</v>
      </c>
      <c r="BU49" s="76">
        <v>0</v>
      </c>
      <c r="BV49" s="76">
        <v>36862</v>
      </c>
      <c r="BW49" s="76">
        <v>0</v>
      </c>
      <c r="BX49" s="76">
        <v>0</v>
      </c>
      <c r="BY49" s="76">
        <v>0</v>
      </c>
      <c r="BZ49" s="76">
        <v>133731</v>
      </c>
      <c r="CA49" s="76">
        <v>3821</v>
      </c>
      <c r="CB49" s="76">
        <v>10277</v>
      </c>
      <c r="CC49" s="76">
        <v>29687</v>
      </c>
      <c r="CD49" s="76">
        <v>29687</v>
      </c>
      <c r="CE49" s="76">
        <v>0</v>
      </c>
      <c r="CF49" s="76">
        <v>0</v>
      </c>
      <c r="CG49" s="76">
        <v>0</v>
      </c>
      <c r="CH49" s="76">
        <v>0</v>
      </c>
      <c r="CI49" s="76">
        <v>29687</v>
      </c>
      <c r="CJ49" s="76">
        <v>509</v>
      </c>
      <c r="CK49" s="76">
        <v>432</v>
      </c>
      <c r="CL49" s="76">
        <v>0</v>
      </c>
      <c r="CM49" s="76">
        <v>77</v>
      </c>
      <c r="CN49" s="76">
        <v>382</v>
      </c>
      <c r="CO49" s="76">
        <v>0</v>
      </c>
      <c r="CP49" s="76">
        <v>351</v>
      </c>
      <c r="CQ49" s="76">
        <v>31</v>
      </c>
      <c r="CR49" s="76">
        <v>20</v>
      </c>
      <c r="CS49" s="76">
        <v>0</v>
      </c>
      <c r="CT49" s="76">
        <v>19</v>
      </c>
      <c r="CU49" s="76">
        <v>1</v>
      </c>
      <c r="CV49" s="76">
        <v>0</v>
      </c>
      <c r="CW49" s="76">
        <v>0</v>
      </c>
      <c r="CX49" s="76">
        <v>0</v>
      </c>
      <c r="CY49" s="76">
        <v>0</v>
      </c>
      <c r="CZ49" s="76">
        <v>236</v>
      </c>
      <c r="DA49" s="76">
        <v>0</v>
      </c>
      <c r="DB49" s="76">
        <v>0</v>
      </c>
      <c r="DC49" s="76">
        <v>236</v>
      </c>
      <c r="DD49" s="76">
        <v>1147</v>
      </c>
      <c r="DE49" s="76">
        <v>432</v>
      </c>
      <c r="DF49" s="76">
        <v>370</v>
      </c>
      <c r="DG49" s="76">
        <v>345</v>
      </c>
      <c r="DH49" s="76">
        <v>728</v>
      </c>
      <c r="DI49" s="76">
        <v>624</v>
      </c>
      <c r="DJ49" s="76">
        <v>0</v>
      </c>
      <c r="DK49" s="76">
        <v>104</v>
      </c>
      <c r="DL49" s="76">
        <v>0</v>
      </c>
      <c r="DM49" s="76">
        <v>0</v>
      </c>
      <c r="DN49" s="76">
        <v>0</v>
      </c>
      <c r="DO49" s="76">
        <v>0</v>
      </c>
      <c r="DP49" s="76">
        <v>0</v>
      </c>
      <c r="DQ49" s="76">
        <v>0</v>
      </c>
      <c r="DR49" s="76">
        <v>0</v>
      </c>
      <c r="DS49" s="76">
        <v>0</v>
      </c>
      <c r="DT49" s="76">
        <v>156</v>
      </c>
      <c r="DU49" s="76">
        <v>0</v>
      </c>
      <c r="DV49" s="76">
        <v>121</v>
      </c>
      <c r="DW49" s="76">
        <v>35</v>
      </c>
      <c r="DX49" s="76">
        <v>0</v>
      </c>
      <c r="DY49" s="76">
        <v>0</v>
      </c>
      <c r="DZ49" s="76">
        <v>0</v>
      </c>
      <c r="EA49" s="76">
        <v>0</v>
      </c>
      <c r="EB49" s="76">
        <v>733</v>
      </c>
      <c r="EC49" s="76">
        <v>0</v>
      </c>
      <c r="ED49" s="76">
        <v>602</v>
      </c>
      <c r="EE49" s="76">
        <v>131</v>
      </c>
      <c r="EF49" s="76">
        <v>1617</v>
      </c>
      <c r="EG49" s="76">
        <v>624</v>
      </c>
      <c r="EH49" s="76">
        <v>723</v>
      </c>
      <c r="EI49" s="76">
        <v>270</v>
      </c>
      <c r="EJ49" s="76">
        <v>2764</v>
      </c>
      <c r="EK49" s="76">
        <v>1056</v>
      </c>
      <c r="EL49" s="76">
        <v>1093</v>
      </c>
      <c r="EM49" s="76">
        <v>615</v>
      </c>
      <c r="EN49" s="76">
        <v>1042</v>
      </c>
      <c r="EO49" s="76">
        <v>342</v>
      </c>
      <c r="EP49" s="76">
        <v>262</v>
      </c>
      <c r="EQ49" s="76">
        <v>342</v>
      </c>
      <c r="ER49" s="76">
        <v>180723</v>
      </c>
      <c r="ES49" s="76">
        <v>0</v>
      </c>
      <c r="ET49" s="76">
        <v>180723</v>
      </c>
      <c r="EU49" s="76">
        <v>17997</v>
      </c>
      <c r="EV49" s="76">
        <v>-2435</v>
      </c>
      <c r="EW49" s="76">
        <v>0</v>
      </c>
      <c r="EX49" s="76">
        <v>0</v>
      </c>
      <c r="EY49" s="76">
        <v>-6518</v>
      </c>
      <c r="EZ49" s="76">
        <v>189767</v>
      </c>
      <c r="FA49" s="76">
        <v>30527</v>
      </c>
      <c r="FB49" s="76">
        <v>3253</v>
      </c>
      <c r="FC49" s="76">
        <v>0</v>
      </c>
      <c r="FD49" s="76">
        <v>0</v>
      </c>
      <c r="FE49" s="76">
        <v>-923</v>
      </c>
      <c r="FF49" s="76">
        <v>0</v>
      </c>
      <c r="FG49" s="76">
        <v>0</v>
      </c>
      <c r="FH49" s="76">
        <v>32857</v>
      </c>
      <c r="FI49" s="76">
        <v>156910</v>
      </c>
      <c r="FJ49" s="76">
        <v>150196</v>
      </c>
      <c r="FK49" s="76">
        <v>0</v>
      </c>
      <c r="FL49" s="76">
        <v>0</v>
      </c>
      <c r="FM49" s="76">
        <v>0</v>
      </c>
      <c r="FN49" s="76">
        <v>1049</v>
      </c>
      <c r="FO49" s="76">
        <v>429</v>
      </c>
      <c r="FP49" s="76">
        <v>620</v>
      </c>
      <c r="FQ49" s="76">
        <v>0</v>
      </c>
      <c r="FR49" s="76">
        <v>0</v>
      </c>
      <c r="FS49" s="76">
        <v>0</v>
      </c>
      <c r="FT49" s="76">
        <v>972</v>
      </c>
      <c r="FU49" s="76">
        <v>140</v>
      </c>
      <c r="FV49" s="76">
        <v>832</v>
      </c>
      <c r="FW49" s="76">
        <v>0</v>
      </c>
      <c r="FX49" s="76">
        <v>0</v>
      </c>
      <c r="FY49" s="76">
        <v>0</v>
      </c>
      <c r="FZ49" s="76">
        <v>160</v>
      </c>
      <c r="GA49" s="76">
        <v>730</v>
      </c>
      <c r="GB49" s="76">
        <v>-570</v>
      </c>
      <c r="GC49" s="76">
        <v>2181</v>
      </c>
      <c r="GD49" s="76">
        <v>1299</v>
      </c>
      <c r="GE49" s="76">
        <v>882</v>
      </c>
      <c r="GF49" s="76">
        <v>0</v>
      </c>
      <c r="GG49" s="76">
        <v>0</v>
      </c>
      <c r="GH49" s="76">
        <v>0</v>
      </c>
      <c r="GI49" s="76">
        <v>10277</v>
      </c>
      <c r="GJ49" s="76">
        <v>0</v>
      </c>
      <c r="GK49" s="76">
        <v>1139</v>
      </c>
      <c r="GL49" s="76">
        <v>11416</v>
      </c>
      <c r="GM49" s="76">
        <v>1270</v>
      </c>
      <c r="GN49" s="76">
        <v>464</v>
      </c>
      <c r="GO49" s="76">
        <v>0</v>
      </c>
      <c r="GP49" s="76">
        <v>63</v>
      </c>
      <c r="GQ49" s="76">
        <v>0</v>
      </c>
      <c r="GR49" s="76">
        <v>1916</v>
      </c>
      <c r="GS49" s="76">
        <v>0</v>
      </c>
      <c r="GT49" s="76">
        <v>0</v>
      </c>
      <c r="GU49" s="76">
        <v>0</v>
      </c>
      <c r="GV49" s="76">
        <v>0</v>
      </c>
      <c r="GW49" s="76">
        <v>1368</v>
      </c>
      <c r="GX49" s="76">
        <v>5081</v>
      </c>
      <c r="GY49" s="76">
        <v>0</v>
      </c>
      <c r="GZ49" s="76">
        <v>0</v>
      </c>
      <c r="HA49" s="76">
        <v>0</v>
      </c>
      <c r="HB49" s="76">
        <v>0</v>
      </c>
      <c r="HC49" s="76">
        <v>0</v>
      </c>
      <c r="HD49" s="76">
        <v>10277</v>
      </c>
      <c r="HE49" s="76">
        <v>0</v>
      </c>
      <c r="HF49" s="76">
        <v>10277</v>
      </c>
      <c r="HG49" s="76">
        <v>5462</v>
      </c>
      <c r="HH49" s="76">
        <v>0</v>
      </c>
      <c r="HI49" s="76">
        <v>101</v>
      </c>
      <c r="HJ49" s="76">
        <v>0</v>
      </c>
      <c r="HK49" s="76">
        <v>0</v>
      </c>
      <c r="HL49" s="76">
        <v>-232</v>
      </c>
      <c r="HM49" s="76">
        <v>5331</v>
      </c>
      <c r="HN49" s="76">
        <v>2904</v>
      </c>
      <c r="HO49" s="76">
        <v>3532</v>
      </c>
      <c r="HP49" s="76">
        <v>0</v>
      </c>
      <c r="HQ49" s="76">
        <v>84</v>
      </c>
      <c r="HR49" s="76">
        <v>-61</v>
      </c>
      <c r="HS49" s="76">
        <v>0</v>
      </c>
      <c r="HT49" s="76">
        <v>4668</v>
      </c>
      <c r="HU49" s="76">
        <v>0</v>
      </c>
      <c r="HV49" s="76">
        <v>0</v>
      </c>
      <c r="HW49" s="76">
        <v>0</v>
      </c>
      <c r="HX49" s="76">
        <v>33</v>
      </c>
    </row>
    <row r="50" spans="1:232" x14ac:dyDescent="0.2">
      <c r="A50" s="74" t="s">
        <v>315</v>
      </c>
      <c r="B50" s="74" t="s">
        <v>314</v>
      </c>
      <c r="C50" s="75" t="s">
        <v>200</v>
      </c>
      <c r="D50" s="75">
        <v>12</v>
      </c>
      <c r="E50" s="76">
        <v>29890</v>
      </c>
      <c r="F50" s="76">
        <v>-1764</v>
      </c>
      <c r="G50" s="76">
        <v>-15203</v>
      </c>
      <c r="H50" s="76">
        <v>12923</v>
      </c>
      <c r="I50" s="76">
        <v>1509</v>
      </c>
      <c r="J50" s="76">
        <v>0</v>
      </c>
      <c r="K50" s="76">
        <v>0</v>
      </c>
      <c r="L50" s="76">
        <v>0</v>
      </c>
      <c r="M50" s="76">
        <v>67</v>
      </c>
      <c r="N50" s="76">
        <v>-8656</v>
      </c>
      <c r="O50" s="76">
        <v>0</v>
      </c>
      <c r="P50" s="76">
        <v>0</v>
      </c>
      <c r="Q50" s="76">
        <v>0</v>
      </c>
      <c r="R50" s="76">
        <v>0</v>
      </c>
      <c r="S50" s="76">
        <v>5843</v>
      </c>
      <c r="T50" s="76">
        <v>-20</v>
      </c>
      <c r="U50" s="76">
        <v>5823</v>
      </c>
      <c r="V50" s="76">
        <v>0</v>
      </c>
      <c r="W50" s="76">
        <v>-1156</v>
      </c>
      <c r="X50" s="76">
        <v>0</v>
      </c>
      <c r="Y50" s="76">
        <v>0</v>
      </c>
      <c r="Z50" s="76">
        <v>4667</v>
      </c>
      <c r="AA50" s="76">
        <v>25559</v>
      </c>
      <c r="AB50" s="76">
        <v>615</v>
      </c>
      <c r="AC50" s="76">
        <v>26174</v>
      </c>
      <c r="AD50" s="76">
        <v>0</v>
      </c>
      <c r="AE50" s="76">
        <v>0</v>
      </c>
      <c r="AF50" s="76">
        <v>0</v>
      </c>
      <c r="AG50" s="76">
        <v>0</v>
      </c>
      <c r="AH50" s="76">
        <v>26174</v>
      </c>
      <c r="AI50" s="76">
        <v>4599</v>
      </c>
      <c r="AJ50" s="76">
        <v>833</v>
      </c>
      <c r="AK50" s="76">
        <v>1375</v>
      </c>
      <c r="AL50" s="76">
        <v>1959</v>
      </c>
      <c r="AM50" s="76">
        <v>718</v>
      </c>
      <c r="AN50" s="76">
        <v>167</v>
      </c>
      <c r="AO50" s="76">
        <v>4862</v>
      </c>
      <c r="AP50" s="76">
        <v>0</v>
      </c>
      <c r="AQ50" s="76">
        <v>0</v>
      </c>
      <c r="AR50" s="76">
        <v>14513</v>
      </c>
      <c r="AS50" s="76">
        <v>11661</v>
      </c>
      <c r="AT50" s="76">
        <v>147</v>
      </c>
      <c r="AU50" s="76">
        <v>280648</v>
      </c>
      <c r="AV50" s="76">
        <v>0</v>
      </c>
      <c r="AW50" s="76">
        <v>3385</v>
      </c>
      <c r="AX50" s="76">
        <v>0</v>
      </c>
      <c r="AY50" s="76">
        <v>0</v>
      </c>
      <c r="AZ50" s="76">
        <v>0</v>
      </c>
      <c r="BA50" s="76">
        <v>0</v>
      </c>
      <c r="BB50" s="76">
        <v>0</v>
      </c>
      <c r="BC50" s="76">
        <v>0</v>
      </c>
      <c r="BD50" s="76">
        <v>0</v>
      </c>
      <c r="BE50" s="76">
        <v>284033</v>
      </c>
      <c r="BF50" s="76">
        <v>1047</v>
      </c>
      <c r="BG50" s="76">
        <v>1462</v>
      </c>
      <c r="BH50" s="76">
        <v>19546</v>
      </c>
      <c r="BI50" s="76">
        <v>0</v>
      </c>
      <c r="BJ50" s="76">
        <v>152</v>
      </c>
      <c r="BK50" s="76">
        <v>22207</v>
      </c>
      <c r="BL50" s="76">
        <v>0</v>
      </c>
      <c r="BM50" s="76">
        <v>0</v>
      </c>
      <c r="BN50" s="76">
        <v>0</v>
      </c>
      <c r="BO50" s="76">
        <v>5588</v>
      </c>
      <c r="BP50" s="76">
        <v>5588</v>
      </c>
      <c r="BQ50" s="76">
        <v>16619</v>
      </c>
      <c r="BR50" s="76">
        <v>300652</v>
      </c>
      <c r="BS50" s="76">
        <v>179857</v>
      </c>
      <c r="BT50" s="76">
        <v>0</v>
      </c>
      <c r="BU50" s="76">
        <v>0</v>
      </c>
      <c r="BV50" s="76">
        <v>877</v>
      </c>
      <c r="BW50" s="76">
        <v>0</v>
      </c>
      <c r="BX50" s="76">
        <v>0</v>
      </c>
      <c r="BY50" s="76">
        <v>243</v>
      </c>
      <c r="BZ50" s="76">
        <v>180977</v>
      </c>
      <c r="CA50" s="76">
        <v>4737</v>
      </c>
      <c r="CB50" s="76">
        <v>271</v>
      </c>
      <c r="CC50" s="76">
        <v>114667</v>
      </c>
      <c r="CD50" s="76">
        <v>42688</v>
      </c>
      <c r="CE50" s="76">
        <v>69796</v>
      </c>
      <c r="CF50" s="76">
        <v>2183</v>
      </c>
      <c r="CG50" s="76">
        <v>0</v>
      </c>
      <c r="CH50" s="76">
        <v>0</v>
      </c>
      <c r="CI50" s="76">
        <v>114667</v>
      </c>
      <c r="CJ50" s="76">
        <v>2464</v>
      </c>
      <c r="CK50" s="76">
        <v>1764</v>
      </c>
      <c r="CL50" s="76">
        <v>0</v>
      </c>
      <c r="CM50" s="76">
        <v>700</v>
      </c>
      <c r="CN50" s="76">
        <v>0</v>
      </c>
      <c r="CO50" s="76">
        <v>0</v>
      </c>
      <c r="CP50" s="76">
        <v>0</v>
      </c>
      <c r="CQ50" s="76">
        <v>0</v>
      </c>
      <c r="CR50" s="76">
        <v>0</v>
      </c>
      <c r="CS50" s="76">
        <v>0</v>
      </c>
      <c r="CT50" s="76">
        <v>0</v>
      </c>
      <c r="CU50" s="76">
        <v>0</v>
      </c>
      <c r="CV50" s="76">
        <v>0</v>
      </c>
      <c r="CW50" s="76">
        <v>0</v>
      </c>
      <c r="CX50" s="76">
        <v>0</v>
      </c>
      <c r="CY50" s="76">
        <v>0</v>
      </c>
      <c r="CZ50" s="76">
        <v>1252</v>
      </c>
      <c r="DA50" s="76">
        <v>0</v>
      </c>
      <c r="DB50" s="76">
        <v>690</v>
      </c>
      <c r="DC50" s="76">
        <v>562</v>
      </c>
      <c r="DD50" s="76">
        <v>3716</v>
      </c>
      <c r="DE50" s="76">
        <v>1764</v>
      </c>
      <c r="DF50" s="76">
        <v>690</v>
      </c>
      <c r="DG50" s="76">
        <v>1262</v>
      </c>
      <c r="DH50" s="76">
        <v>0</v>
      </c>
      <c r="DI50" s="76">
        <v>0</v>
      </c>
      <c r="DJ50" s="76">
        <v>0</v>
      </c>
      <c r="DK50" s="76">
        <v>0</v>
      </c>
      <c r="DL50" s="76">
        <v>0</v>
      </c>
      <c r="DM50" s="76">
        <v>0</v>
      </c>
      <c r="DN50" s="76">
        <v>0</v>
      </c>
      <c r="DO50" s="76">
        <v>0</v>
      </c>
      <c r="DP50" s="76">
        <v>0</v>
      </c>
      <c r="DQ50" s="76">
        <v>0</v>
      </c>
      <c r="DR50" s="76">
        <v>0</v>
      </c>
      <c r="DS50" s="76">
        <v>0</v>
      </c>
      <c r="DT50" s="76">
        <v>0</v>
      </c>
      <c r="DU50" s="76">
        <v>0</v>
      </c>
      <c r="DV50" s="76">
        <v>0</v>
      </c>
      <c r="DW50" s="76">
        <v>0</v>
      </c>
      <c r="DX50" s="76">
        <v>0</v>
      </c>
      <c r="DY50" s="76">
        <v>0</v>
      </c>
      <c r="DZ50" s="76">
        <v>0</v>
      </c>
      <c r="EA50" s="76">
        <v>0</v>
      </c>
      <c r="EB50" s="76">
        <v>0</v>
      </c>
      <c r="EC50" s="76">
        <v>0</v>
      </c>
      <c r="ED50" s="76">
        <v>0</v>
      </c>
      <c r="EE50" s="76">
        <v>0</v>
      </c>
      <c r="EF50" s="76">
        <v>0</v>
      </c>
      <c r="EG50" s="76">
        <v>0</v>
      </c>
      <c r="EH50" s="76">
        <v>0</v>
      </c>
      <c r="EI50" s="76">
        <v>0</v>
      </c>
      <c r="EJ50" s="76">
        <v>3716</v>
      </c>
      <c r="EK50" s="76">
        <v>1764</v>
      </c>
      <c r="EL50" s="76">
        <v>690</v>
      </c>
      <c r="EM50" s="76">
        <v>1262</v>
      </c>
      <c r="EN50" s="76">
        <v>895</v>
      </c>
      <c r="EO50" s="76">
        <v>562</v>
      </c>
      <c r="EP50" s="76">
        <v>246</v>
      </c>
      <c r="EQ50" s="76">
        <v>562</v>
      </c>
      <c r="ER50" s="76">
        <v>280654</v>
      </c>
      <c r="ES50" s="76">
        <v>0</v>
      </c>
      <c r="ET50" s="76">
        <v>280654</v>
      </c>
      <c r="EU50" s="76">
        <v>16345</v>
      </c>
      <c r="EV50" s="76">
        <v>-2212</v>
      </c>
      <c r="EW50" s="76">
        <v>0</v>
      </c>
      <c r="EX50" s="76">
        <v>0</v>
      </c>
      <c r="EY50" s="76">
        <v>0</v>
      </c>
      <c r="EZ50" s="76">
        <v>294787</v>
      </c>
      <c r="FA50" s="76">
        <v>9343</v>
      </c>
      <c r="FB50" s="76">
        <v>4862</v>
      </c>
      <c r="FC50" s="76">
        <v>0</v>
      </c>
      <c r="FD50" s="76">
        <v>0</v>
      </c>
      <c r="FE50" s="76">
        <v>-66</v>
      </c>
      <c r="FF50" s="76">
        <v>0</v>
      </c>
      <c r="FG50" s="76">
        <v>0</v>
      </c>
      <c r="FH50" s="76">
        <v>14139</v>
      </c>
      <c r="FI50" s="76">
        <v>280648</v>
      </c>
      <c r="FJ50" s="76">
        <v>271311</v>
      </c>
      <c r="FK50" s="76">
        <v>609</v>
      </c>
      <c r="FL50" s="76">
        <v>263</v>
      </c>
      <c r="FM50" s="76">
        <v>346</v>
      </c>
      <c r="FN50" s="76">
        <v>346</v>
      </c>
      <c r="FO50" s="76">
        <v>506</v>
      </c>
      <c r="FP50" s="76">
        <v>-160</v>
      </c>
      <c r="FQ50" s="76">
        <v>0</v>
      </c>
      <c r="FR50" s="76">
        <v>0</v>
      </c>
      <c r="FS50" s="76">
        <v>0</v>
      </c>
      <c r="FT50" s="76">
        <v>1058</v>
      </c>
      <c r="FU50" s="76">
        <v>226</v>
      </c>
      <c r="FV50" s="76">
        <v>832</v>
      </c>
      <c r="FW50" s="76">
        <v>2017</v>
      </c>
      <c r="FX50" s="76">
        <v>1524</v>
      </c>
      <c r="FY50" s="76">
        <v>493</v>
      </c>
      <c r="FZ50" s="76">
        <v>0</v>
      </c>
      <c r="GA50" s="76">
        <v>2</v>
      </c>
      <c r="GB50" s="76">
        <v>-2</v>
      </c>
      <c r="GC50" s="76">
        <v>4030</v>
      </c>
      <c r="GD50" s="76">
        <v>2521</v>
      </c>
      <c r="GE50" s="76">
        <v>1509</v>
      </c>
      <c r="GF50" s="76">
        <v>0</v>
      </c>
      <c r="GG50" s="76">
        <v>0</v>
      </c>
      <c r="GH50" s="76">
        <v>0</v>
      </c>
      <c r="GI50" s="76">
        <v>0</v>
      </c>
      <c r="GJ50" s="76">
        <v>0</v>
      </c>
      <c r="GK50" s="76">
        <v>152</v>
      </c>
      <c r="GL50" s="76">
        <v>152</v>
      </c>
      <c r="GM50" s="76">
        <v>1183</v>
      </c>
      <c r="GN50" s="76">
        <v>420</v>
      </c>
      <c r="GO50" s="76">
        <v>0</v>
      </c>
      <c r="GP50" s="76">
        <v>0</v>
      </c>
      <c r="GQ50" s="76">
        <v>0</v>
      </c>
      <c r="GR50" s="76">
        <v>3079</v>
      </c>
      <c r="GS50" s="76">
        <v>0</v>
      </c>
      <c r="GT50" s="76">
        <v>0</v>
      </c>
      <c r="GU50" s="76">
        <v>35</v>
      </c>
      <c r="GV50" s="76">
        <v>0</v>
      </c>
      <c r="GW50" s="76">
        <v>871</v>
      </c>
      <c r="GX50" s="76">
        <v>5588</v>
      </c>
      <c r="GY50" s="76">
        <v>40</v>
      </c>
      <c r="GZ50" s="76">
        <v>0</v>
      </c>
      <c r="HA50" s="76">
        <v>203</v>
      </c>
      <c r="HB50" s="76">
        <v>0</v>
      </c>
      <c r="HC50" s="76">
        <v>243</v>
      </c>
      <c r="HD50" s="76">
        <v>0</v>
      </c>
      <c r="HE50" s="76">
        <v>271</v>
      </c>
      <c r="HF50" s="76">
        <v>271</v>
      </c>
      <c r="HG50" s="76">
        <v>9055</v>
      </c>
      <c r="HH50" s="76">
        <v>281</v>
      </c>
      <c r="HI50" s="76">
        <v>149</v>
      </c>
      <c r="HJ50" s="76">
        <v>0</v>
      </c>
      <c r="HK50" s="76">
        <v>0</v>
      </c>
      <c r="HL50" s="76">
        <v>-829</v>
      </c>
      <c r="HM50" s="76">
        <v>8656</v>
      </c>
      <c r="HN50" s="76">
        <v>2390</v>
      </c>
      <c r="HO50" s="76">
        <v>5113</v>
      </c>
      <c r="HP50" s="76">
        <v>0</v>
      </c>
      <c r="HQ50" s="76">
        <v>64</v>
      </c>
      <c r="HR50" s="76">
        <v>-17</v>
      </c>
      <c r="HS50" s="76">
        <v>-23</v>
      </c>
      <c r="HT50" s="76">
        <v>4621</v>
      </c>
      <c r="HU50" s="76">
        <v>0</v>
      </c>
      <c r="HV50" s="76">
        <v>0</v>
      </c>
      <c r="HW50" s="76">
        <v>0</v>
      </c>
      <c r="HX50" s="76">
        <v>0</v>
      </c>
    </row>
    <row r="51" spans="1:232" x14ac:dyDescent="0.2">
      <c r="A51" s="74" t="s">
        <v>316</v>
      </c>
      <c r="B51" s="74" t="s">
        <v>317</v>
      </c>
      <c r="C51" s="75" t="s">
        <v>200</v>
      </c>
      <c r="D51" s="75">
        <v>12</v>
      </c>
      <c r="E51" s="76">
        <v>68338</v>
      </c>
      <c r="F51" s="76">
        <v>0</v>
      </c>
      <c r="G51" s="76">
        <v>-44630</v>
      </c>
      <c r="H51" s="76">
        <v>23708</v>
      </c>
      <c r="I51" s="76">
        <v>2519</v>
      </c>
      <c r="J51" s="76">
        <v>0</v>
      </c>
      <c r="K51" s="76">
        <v>0</v>
      </c>
      <c r="L51" s="76">
        <v>0</v>
      </c>
      <c r="M51" s="76">
        <v>70</v>
      </c>
      <c r="N51" s="76">
        <v>-5944</v>
      </c>
      <c r="O51" s="76">
        <v>0</v>
      </c>
      <c r="P51" s="76">
        <v>0</v>
      </c>
      <c r="Q51" s="76">
        <v>0</v>
      </c>
      <c r="R51" s="76">
        <v>0</v>
      </c>
      <c r="S51" s="76">
        <v>20353</v>
      </c>
      <c r="T51" s="76">
        <v>0</v>
      </c>
      <c r="U51" s="76">
        <v>20353</v>
      </c>
      <c r="V51" s="76">
        <v>0</v>
      </c>
      <c r="W51" s="76">
        <v>-8729</v>
      </c>
      <c r="X51" s="76">
        <v>0</v>
      </c>
      <c r="Y51" s="76">
        <v>0</v>
      </c>
      <c r="Z51" s="76">
        <v>11624</v>
      </c>
      <c r="AA51" s="76">
        <v>66048</v>
      </c>
      <c r="AB51" s="76">
        <v>1289</v>
      </c>
      <c r="AC51" s="76">
        <v>67337</v>
      </c>
      <c r="AD51" s="76">
        <v>0</v>
      </c>
      <c r="AE51" s="76">
        <v>0</v>
      </c>
      <c r="AF51" s="76">
        <v>0</v>
      </c>
      <c r="AG51" s="76">
        <v>0</v>
      </c>
      <c r="AH51" s="76">
        <v>67337</v>
      </c>
      <c r="AI51" s="76">
        <v>18494</v>
      </c>
      <c r="AJ51" s="76">
        <v>1055</v>
      </c>
      <c r="AK51" s="76">
        <v>17555</v>
      </c>
      <c r="AL51" s="76">
        <v>2674</v>
      </c>
      <c r="AM51" s="76">
        <v>791</v>
      </c>
      <c r="AN51" s="76">
        <v>590</v>
      </c>
      <c r="AO51" s="76">
        <v>3120</v>
      </c>
      <c r="AP51" s="76">
        <v>0</v>
      </c>
      <c r="AQ51" s="76">
        <v>0</v>
      </c>
      <c r="AR51" s="76">
        <v>44279</v>
      </c>
      <c r="AS51" s="76">
        <v>23058</v>
      </c>
      <c r="AT51" s="76">
        <v>1004</v>
      </c>
      <c r="AU51" s="76">
        <v>145838</v>
      </c>
      <c r="AV51" s="76">
        <v>0</v>
      </c>
      <c r="AW51" s="76">
        <v>554</v>
      </c>
      <c r="AX51" s="76">
        <v>541</v>
      </c>
      <c r="AY51" s="76">
        <v>0</v>
      </c>
      <c r="AZ51" s="76">
        <v>0</v>
      </c>
      <c r="BA51" s="76">
        <v>0</v>
      </c>
      <c r="BB51" s="76">
        <v>0</v>
      </c>
      <c r="BC51" s="76">
        <v>0</v>
      </c>
      <c r="BD51" s="76">
        <v>0</v>
      </c>
      <c r="BE51" s="76">
        <v>146933</v>
      </c>
      <c r="BF51" s="76">
        <v>0</v>
      </c>
      <c r="BG51" s="76">
        <v>5082</v>
      </c>
      <c r="BH51" s="76">
        <v>14866</v>
      </c>
      <c r="BI51" s="76">
        <v>0</v>
      </c>
      <c r="BJ51" s="76">
        <v>24</v>
      </c>
      <c r="BK51" s="76">
        <v>19972</v>
      </c>
      <c r="BL51" s="76">
        <v>0</v>
      </c>
      <c r="BM51" s="76">
        <v>0</v>
      </c>
      <c r="BN51" s="76">
        <v>0</v>
      </c>
      <c r="BO51" s="76">
        <v>8052</v>
      </c>
      <c r="BP51" s="76">
        <v>8052</v>
      </c>
      <c r="BQ51" s="76">
        <v>11920</v>
      </c>
      <c r="BR51" s="76">
        <v>158853</v>
      </c>
      <c r="BS51" s="76">
        <v>113659</v>
      </c>
      <c r="BT51" s="76">
        <v>0</v>
      </c>
      <c r="BU51" s="76">
        <v>0</v>
      </c>
      <c r="BV51" s="76">
        <v>0</v>
      </c>
      <c r="BW51" s="76">
        <v>0</v>
      </c>
      <c r="BX51" s="76">
        <v>0</v>
      </c>
      <c r="BY51" s="76">
        <v>0</v>
      </c>
      <c r="BZ51" s="76">
        <v>113659</v>
      </c>
      <c r="CA51" s="76">
        <v>41520</v>
      </c>
      <c r="CB51" s="76">
        <v>1270</v>
      </c>
      <c r="CC51" s="76">
        <v>2404</v>
      </c>
      <c r="CD51" s="76">
        <v>2404</v>
      </c>
      <c r="CE51" s="76">
        <v>0</v>
      </c>
      <c r="CF51" s="76">
        <v>0</v>
      </c>
      <c r="CG51" s="76">
        <v>0</v>
      </c>
      <c r="CH51" s="76">
        <v>0</v>
      </c>
      <c r="CI51" s="76">
        <v>2404</v>
      </c>
      <c r="CJ51" s="76">
        <v>0</v>
      </c>
      <c r="CK51" s="76">
        <v>0</v>
      </c>
      <c r="CL51" s="76">
        <v>0</v>
      </c>
      <c r="CM51" s="76">
        <v>0</v>
      </c>
      <c r="CN51" s="76">
        <v>0</v>
      </c>
      <c r="CO51" s="76">
        <v>0</v>
      </c>
      <c r="CP51" s="76">
        <v>0</v>
      </c>
      <c r="CQ51" s="76">
        <v>0</v>
      </c>
      <c r="CR51" s="76">
        <v>0</v>
      </c>
      <c r="CS51" s="76">
        <v>0</v>
      </c>
      <c r="CT51" s="76">
        <v>0</v>
      </c>
      <c r="CU51" s="76">
        <v>0</v>
      </c>
      <c r="CV51" s="76">
        <v>0</v>
      </c>
      <c r="CW51" s="76">
        <v>0</v>
      </c>
      <c r="CX51" s="76">
        <v>0</v>
      </c>
      <c r="CY51" s="76">
        <v>0</v>
      </c>
      <c r="CZ51" s="76">
        <v>0</v>
      </c>
      <c r="DA51" s="76">
        <v>0</v>
      </c>
      <c r="DB51" s="76">
        <v>0</v>
      </c>
      <c r="DC51" s="76">
        <v>0</v>
      </c>
      <c r="DD51" s="76">
        <v>0</v>
      </c>
      <c r="DE51" s="76">
        <v>0</v>
      </c>
      <c r="DF51" s="76">
        <v>0</v>
      </c>
      <c r="DG51" s="76">
        <v>0</v>
      </c>
      <c r="DH51" s="76">
        <v>0</v>
      </c>
      <c r="DI51" s="76">
        <v>0</v>
      </c>
      <c r="DJ51" s="76">
        <v>0</v>
      </c>
      <c r="DK51" s="76">
        <v>0</v>
      </c>
      <c r="DL51" s="76">
        <v>0</v>
      </c>
      <c r="DM51" s="76">
        <v>0</v>
      </c>
      <c r="DN51" s="76">
        <v>0</v>
      </c>
      <c r="DO51" s="76">
        <v>0</v>
      </c>
      <c r="DP51" s="76">
        <v>0</v>
      </c>
      <c r="DQ51" s="76">
        <v>0</v>
      </c>
      <c r="DR51" s="76">
        <v>0</v>
      </c>
      <c r="DS51" s="76">
        <v>0</v>
      </c>
      <c r="DT51" s="76">
        <v>0</v>
      </c>
      <c r="DU51" s="76">
        <v>0</v>
      </c>
      <c r="DV51" s="76">
        <v>0</v>
      </c>
      <c r="DW51" s="76">
        <v>0</v>
      </c>
      <c r="DX51" s="76">
        <v>0</v>
      </c>
      <c r="DY51" s="76">
        <v>0</v>
      </c>
      <c r="DZ51" s="76">
        <v>0</v>
      </c>
      <c r="EA51" s="76">
        <v>0</v>
      </c>
      <c r="EB51" s="76">
        <v>1001</v>
      </c>
      <c r="EC51" s="76">
        <v>0</v>
      </c>
      <c r="ED51" s="76">
        <v>351</v>
      </c>
      <c r="EE51" s="76">
        <v>650</v>
      </c>
      <c r="EF51" s="76">
        <v>1001</v>
      </c>
      <c r="EG51" s="76">
        <v>0</v>
      </c>
      <c r="EH51" s="76">
        <v>351</v>
      </c>
      <c r="EI51" s="76">
        <v>650</v>
      </c>
      <c r="EJ51" s="76">
        <v>1001</v>
      </c>
      <c r="EK51" s="76">
        <v>0</v>
      </c>
      <c r="EL51" s="76">
        <v>351</v>
      </c>
      <c r="EM51" s="76">
        <v>650</v>
      </c>
      <c r="EN51" s="76">
        <v>4956</v>
      </c>
      <c r="EO51" s="76">
        <v>1504</v>
      </c>
      <c r="EP51" s="76">
        <v>1080</v>
      </c>
      <c r="EQ51" s="76">
        <v>1504</v>
      </c>
      <c r="ER51" s="76">
        <v>135744</v>
      </c>
      <c r="ES51" s="76">
        <v>0</v>
      </c>
      <c r="ET51" s="76">
        <v>135744</v>
      </c>
      <c r="EU51" s="76">
        <v>17520</v>
      </c>
      <c r="EV51" s="76">
        <v>-1843</v>
      </c>
      <c r="EW51" s="76">
        <v>0</v>
      </c>
      <c r="EX51" s="76">
        <v>0</v>
      </c>
      <c r="EY51" s="76">
        <v>0</v>
      </c>
      <c r="EZ51" s="76">
        <v>151421</v>
      </c>
      <c r="FA51" s="76">
        <v>2515</v>
      </c>
      <c r="FB51" s="76">
        <v>3137</v>
      </c>
      <c r="FC51" s="76">
        <v>0</v>
      </c>
      <c r="FD51" s="76">
        <v>0</v>
      </c>
      <c r="FE51" s="76">
        <v>-69</v>
      </c>
      <c r="FF51" s="76">
        <v>0</v>
      </c>
      <c r="FG51" s="76">
        <v>0</v>
      </c>
      <c r="FH51" s="76">
        <v>5583</v>
      </c>
      <c r="FI51" s="76">
        <v>145838</v>
      </c>
      <c r="FJ51" s="76">
        <v>133229</v>
      </c>
      <c r="FK51" s="76">
        <v>0</v>
      </c>
      <c r="FL51" s="76">
        <v>0</v>
      </c>
      <c r="FM51" s="76">
        <v>0</v>
      </c>
      <c r="FN51" s="76">
        <v>4219</v>
      </c>
      <c r="FO51" s="76">
        <v>1759</v>
      </c>
      <c r="FP51" s="76">
        <v>2460</v>
      </c>
      <c r="FQ51" s="76">
        <v>0</v>
      </c>
      <c r="FR51" s="76">
        <v>0</v>
      </c>
      <c r="FS51" s="76">
        <v>0</v>
      </c>
      <c r="FT51" s="76">
        <v>75</v>
      </c>
      <c r="FU51" s="76">
        <v>16</v>
      </c>
      <c r="FV51" s="76">
        <v>59</v>
      </c>
      <c r="FW51" s="76">
        <v>0</v>
      </c>
      <c r="FX51" s="76">
        <v>0</v>
      </c>
      <c r="FY51" s="76">
        <v>0</v>
      </c>
      <c r="FZ51" s="76">
        <v>0</v>
      </c>
      <c r="GA51" s="76">
        <v>0</v>
      </c>
      <c r="GB51" s="76">
        <v>0</v>
      </c>
      <c r="GC51" s="76">
        <v>4294</v>
      </c>
      <c r="GD51" s="76">
        <v>1775</v>
      </c>
      <c r="GE51" s="76">
        <v>2519</v>
      </c>
      <c r="GF51" s="76">
        <v>0</v>
      </c>
      <c r="GG51" s="76">
        <v>0</v>
      </c>
      <c r="GH51" s="76">
        <v>0</v>
      </c>
      <c r="GI51" s="76">
        <v>0</v>
      </c>
      <c r="GJ51" s="76">
        <v>0</v>
      </c>
      <c r="GK51" s="76">
        <v>24</v>
      </c>
      <c r="GL51" s="76">
        <v>24</v>
      </c>
      <c r="GM51" s="76">
        <v>853</v>
      </c>
      <c r="GN51" s="76">
        <v>320</v>
      </c>
      <c r="GO51" s="76">
        <v>0</v>
      </c>
      <c r="GP51" s="76">
        <v>0</v>
      </c>
      <c r="GQ51" s="76">
        <v>0</v>
      </c>
      <c r="GR51" s="76">
        <v>6123</v>
      </c>
      <c r="GS51" s="76">
        <v>0</v>
      </c>
      <c r="GT51" s="76">
        <v>0</v>
      </c>
      <c r="GU51" s="76">
        <v>0</v>
      </c>
      <c r="GV51" s="76">
        <v>0</v>
      </c>
      <c r="GW51" s="76">
        <v>756</v>
      </c>
      <c r="GX51" s="76">
        <v>8052</v>
      </c>
      <c r="GY51" s="76">
        <v>0</v>
      </c>
      <c r="GZ51" s="76">
        <v>0</v>
      </c>
      <c r="HA51" s="76">
        <v>0</v>
      </c>
      <c r="HB51" s="76">
        <v>0</v>
      </c>
      <c r="HC51" s="76">
        <v>0</v>
      </c>
      <c r="HD51" s="76">
        <v>0</v>
      </c>
      <c r="HE51" s="76">
        <v>1270</v>
      </c>
      <c r="HF51" s="76">
        <v>1270</v>
      </c>
      <c r="HG51" s="76">
        <v>4478</v>
      </c>
      <c r="HH51" s="76">
        <v>0</v>
      </c>
      <c r="HI51" s="76">
        <v>1050</v>
      </c>
      <c r="HJ51" s="76">
        <v>0</v>
      </c>
      <c r="HK51" s="76">
        <v>416</v>
      </c>
      <c r="HL51" s="76">
        <v>0</v>
      </c>
      <c r="HM51" s="76">
        <v>5944</v>
      </c>
      <c r="HN51" s="76">
        <v>16149</v>
      </c>
      <c r="HO51" s="76">
        <v>3333</v>
      </c>
      <c r="HP51" s="76">
        <v>0</v>
      </c>
      <c r="HQ51" s="76">
        <v>18</v>
      </c>
      <c r="HR51" s="76">
        <v>-122</v>
      </c>
      <c r="HS51" s="76">
        <v>5</v>
      </c>
      <c r="HT51" s="76">
        <v>18172</v>
      </c>
      <c r="HU51" s="76">
        <v>0</v>
      </c>
      <c r="HV51" s="76">
        <v>0</v>
      </c>
      <c r="HW51" s="76">
        <v>-6</v>
      </c>
      <c r="HX51" s="76">
        <v>340</v>
      </c>
    </row>
    <row r="52" spans="1:232" x14ac:dyDescent="0.2">
      <c r="A52" s="74" t="s">
        <v>318</v>
      </c>
      <c r="B52" s="74" t="s">
        <v>52</v>
      </c>
      <c r="C52" s="75" t="s">
        <v>200</v>
      </c>
      <c r="D52" s="75">
        <v>12</v>
      </c>
      <c r="E52" s="76">
        <v>65167</v>
      </c>
      <c r="F52" s="76">
        <v>-7923</v>
      </c>
      <c r="G52" s="76">
        <v>-35755</v>
      </c>
      <c r="H52" s="76">
        <v>21489</v>
      </c>
      <c r="I52" s="76">
        <v>-551</v>
      </c>
      <c r="J52" s="76">
        <v>0</v>
      </c>
      <c r="K52" s="76">
        <v>0</v>
      </c>
      <c r="L52" s="76">
        <v>0</v>
      </c>
      <c r="M52" s="76">
        <v>267</v>
      </c>
      <c r="N52" s="76">
        <v>-11215</v>
      </c>
      <c r="O52" s="76">
        <v>1839</v>
      </c>
      <c r="P52" s="76">
        <v>0</v>
      </c>
      <c r="Q52" s="76">
        <v>0</v>
      </c>
      <c r="R52" s="76">
        <v>0</v>
      </c>
      <c r="S52" s="76">
        <v>11829</v>
      </c>
      <c r="T52" s="76">
        <v>-63</v>
      </c>
      <c r="U52" s="76">
        <v>11766</v>
      </c>
      <c r="V52" s="76">
        <v>0</v>
      </c>
      <c r="W52" s="76">
        <v>1200</v>
      </c>
      <c r="X52" s="76">
        <v>0</v>
      </c>
      <c r="Y52" s="76">
        <v>0</v>
      </c>
      <c r="Z52" s="76">
        <v>12966</v>
      </c>
      <c r="AA52" s="76">
        <v>47487</v>
      </c>
      <c r="AB52" s="76">
        <v>2997</v>
      </c>
      <c r="AC52" s="76">
        <v>50484</v>
      </c>
      <c r="AD52" s="76">
        <v>422</v>
      </c>
      <c r="AE52" s="76">
        <v>0</v>
      </c>
      <c r="AF52" s="76">
        <v>0</v>
      </c>
      <c r="AG52" s="76">
        <v>0</v>
      </c>
      <c r="AH52" s="76">
        <v>50906</v>
      </c>
      <c r="AI52" s="76">
        <v>9274</v>
      </c>
      <c r="AJ52" s="76">
        <v>3631</v>
      </c>
      <c r="AK52" s="76">
        <v>6105</v>
      </c>
      <c r="AL52" s="76">
        <v>3608</v>
      </c>
      <c r="AM52" s="76">
        <v>0</v>
      </c>
      <c r="AN52" s="76">
        <v>403</v>
      </c>
      <c r="AO52" s="76">
        <v>10106</v>
      </c>
      <c r="AP52" s="76">
        <v>0</v>
      </c>
      <c r="AQ52" s="76">
        <v>0</v>
      </c>
      <c r="AR52" s="76">
        <v>33127</v>
      </c>
      <c r="AS52" s="76">
        <v>17779</v>
      </c>
      <c r="AT52" s="76">
        <v>275</v>
      </c>
      <c r="AU52" s="76">
        <v>478721</v>
      </c>
      <c r="AV52" s="76">
        <v>0</v>
      </c>
      <c r="AW52" s="76">
        <v>4088</v>
      </c>
      <c r="AX52" s="76">
        <v>78</v>
      </c>
      <c r="AY52" s="76">
        <v>0</v>
      </c>
      <c r="AZ52" s="76">
        <v>17334</v>
      </c>
      <c r="BA52" s="76">
        <v>0</v>
      </c>
      <c r="BB52" s="76">
        <v>914</v>
      </c>
      <c r="BC52" s="76">
        <v>0</v>
      </c>
      <c r="BD52" s="76">
        <v>0</v>
      </c>
      <c r="BE52" s="76">
        <v>501135</v>
      </c>
      <c r="BF52" s="76">
        <v>676</v>
      </c>
      <c r="BG52" s="76">
        <v>4375</v>
      </c>
      <c r="BH52" s="76">
        <v>59529</v>
      </c>
      <c r="BI52" s="76">
        <v>0</v>
      </c>
      <c r="BJ52" s="76">
        <v>0</v>
      </c>
      <c r="BK52" s="76">
        <v>64580</v>
      </c>
      <c r="BL52" s="76">
        <v>0</v>
      </c>
      <c r="BM52" s="76">
        <v>72</v>
      </c>
      <c r="BN52" s="76">
        <v>403</v>
      </c>
      <c r="BO52" s="76">
        <v>15418</v>
      </c>
      <c r="BP52" s="76">
        <v>15893</v>
      </c>
      <c r="BQ52" s="76">
        <v>48687</v>
      </c>
      <c r="BR52" s="76">
        <v>549822</v>
      </c>
      <c r="BS52" s="76">
        <v>291499</v>
      </c>
      <c r="BT52" s="76">
        <v>0</v>
      </c>
      <c r="BU52" s="76">
        <v>0</v>
      </c>
      <c r="BV52" s="76">
        <v>40856</v>
      </c>
      <c r="BW52" s="76">
        <v>0</v>
      </c>
      <c r="BX52" s="76">
        <v>0</v>
      </c>
      <c r="BY52" s="76">
        <v>473</v>
      </c>
      <c r="BZ52" s="76">
        <v>332828</v>
      </c>
      <c r="CA52" s="76">
        <v>6664</v>
      </c>
      <c r="CB52" s="76">
        <v>34</v>
      </c>
      <c r="CC52" s="76">
        <v>210296</v>
      </c>
      <c r="CD52" s="76">
        <v>68623</v>
      </c>
      <c r="CE52" s="76">
        <v>141673</v>
      </c>
      <c r="CF52" s="76">
        <v>0</v>
      </c>
      <c r="CG52" s="76">
        <v>0</v>
      </c>
      <c r="CH52" s="76">
        <v>0</v>
      </c>
      <c r="CI52" s="76">
        <v>210296</v>
      </c>
      <c r="CJ52" s="76">
        <v>10521</v>
      </c>
      <c r="CK52" s="76">
        <v>7923</v>
      </c>
      <c r="CL52" s="76">
        <v>0</v>
      </c>
      <c r="CM52" s="76">
        <v>2598</v>
      </c>
      <c r="CN52" s="76">
        <v>99</v>
      </c>
      <c r="CO52" s="76">
        <v>0</v>
      </c>
      <c r="CP52" s="76">
        <v>115</v>
      </c>
      <c r="CQ52" s="76">
        <v>-16</v>
      </c>
      <c r="CR52" s="76">
        <v>0</v>
      </c>
      <c r="CS52" s="76">
        <v>0</v>
      </c>
      <c r="CT52" s="76">
        <v>262</v>
      </c>
      <c r="CU52" s="76">
        <v>-262</v>
      </c>
      <c r="CV52" s="76">
        <v>634</v>
      </c>
      <c r="CW52" s="76">
        <v>0</v>
      </c>
      <c r="CX52" s="76">
        <v>459</v>
      </c>
      <c r="CY52" s="76">
        <v>175</v>
      </c>
      <c r="CZ52" s="76">
        <v>0</v>
      </c>
      <c r="DA52" s="76">
        <v>0</v>
      </c>
      <c r="DB52" s="76">
        <v>0</v>
      </c>
      <c r="DC52" s="76">
        <v>0</v>
      </c>
      <c r="DD52" s="76">
        <v>11254</v>
      </c>
      <c r="DE52" s="76">
        <v>7923</v>
      </c>
      <c r="DF52" s="76">
        <v>836</v>
      </c>
      <c r="DG52" s="76">
        <v>2495</v>
      </c>
      <c r="DH52" s="76">
        <v>0</v>
      </c>
      <c r="DI52" s="76">
        <v>0</v>
      </c>
      <c r="DJ52" s="76">
        <v>0</v>
      </c>
      <c r="DK52" s="76">
        <v>0</v>
      </c>
      <c r="DL52" s="76">
        <v>0</v>
      </c>
      <c r="DM52" s="76">
        <v>0</v>
      </c>
      <c r="DN52" s="76">
        <v>0</v>
      </c>
      <c r="DO52" s="76">
        <v>0</v>
      </c>
      <c r="DP52" s="76">
        <v>0</v>
      </c>
      <c r="DQ52" s="76">
        <v>0</v>
      </c>
      <c r="DR52" s="76">
        <v>0</v>
      </c>
      <c r="DS52" s="76">
        <v>0</v>
      </c>
      <c r="DT52" s="76">
        <v>657</v>
      </c>
      <c r="DU52" s="76">
        <v>0</v>
      </c>
      <c r="DV52" s="76">
        <v>57</v>
      </c>
      <c r="DW52" s="76">
        <v>600</v>
      </c>
      <c r="DX52" s="76">
        <v>1343</v>
      </c>
      <c r="DY52" s="76">
        <v>0</v>
      </c>
      <c r="DZ52" s="76">
        <v>1243</v>
      </c>
      <c r="EA52" s="76">
        <v>100</v>
      </c>
      <c r="EB52" s="76">
        <v>1007</v>
      </c>
      <c r="EC52" s="76">
        <v>0</v>
      </c>
      <c r="ED52" s="76">
        <v>492</v>
      </c>
      <c r="EE52" s="76">
        <v>515</v>
      </c>
      <c r="EF52" s="76">
        <v>3007</v>
      </c>
      <c r="EG52" s="76">
        <v>0</v>
      </c>
      <c r="EH52" s="76">
        <v>1792</v>
      </c>
      <c r="EI52" s="76">
        <v>1215</v>
      </c>
      <c r="EJ52" s="76">
        <v>14261</v>
      </c>
      <c r="EK52" s="76">
        <v>7923</v>
      </c>
      <c r="EL52" s="76">
        <v>2628</v>
      </c>
      <c r="EM52" s="76">
        <v>3710</v>
      </c>
      <c r="EN52" s="76">
        <v>1383</v>
      </c>
      <c r="EO52" s="76">
        <v>828</v>
      </c>
      <c r="EP52" s="76">
        <v>270</v>
      </c>
      <c r="EQ52" s="76">
        <v>771</v>
      </c>
      <c r="ER52" s="76">
        <v>506467</v>
      </c>
      <c r="ES52" s="76">
        <v>0</v>
      </c>
      <c r="ET52" s="76">
        <v>506467</v>
      </c>
      <c r="EU52" s="76">
        <v>44267</v>
      </c>
      <c r="EV52" s="76">
        <v>-2505</v>
      </c>
      <c r="EW52" s="76">
        <v>0</v>
      </c>
      <c r="EX52" s="76">
        <v>0</v>
      </c>
      <c r="EY52" s="76">
        <v>0</v>
      </c>
      <c r="EZ52" s="76">
        <v>548229</v>
      </c>
      <c r="FA52" s="76">
        <v>59815</v>
      </c>
      <c r="FB52" s="76">
        <v>10150</v>
      </c>
      <c r="FC52" s="76">
        <v>0</v>
      </c>
      <c r="FD52" s="76">
        <v>0</v>
      </c>
      <c r="FE52" s="76">
        <v>-457</v>
      </c>
      <c r="FF52" s="76">
        <v>0</v>
      </c>
      <c r="FG52" s="76">
        <v>0</v>
      </c>
      <c r="FH52" s="76">
        <v>69508</v>
      </c>
      <c r="FI52" s="76">
        <v>478721</v>
      </c>
      <c r="FJ52" s="76">
        <v>446652</v>
      </c>
      <c r="FK52" s="76">
        <v>408</v>
      </c>
      <c r="FL52" s="76">
        <v>269</v>
      </c>
      <c r="FM52" s="76">
        <v>139</v>
      </c>
      <c r="FN52" s="76">
        <v>1990</v>
      </c>
      <c r="FO52" s="76">
        <v>2312</v>
      </c>
      <c r="FP52" s="76">
        <v>-322</v>
      </c>
      <c r="FQ52" s="76">
        <v>210</v>
      </c>
      <c r="FR52" s="76">
        <v>578</v>
      </c>
      <c r="FS52" s="76">
        <v>-368</v>
      </c>
      <c r="FT52" s="76">
        <v>0</v>
      </c>
      <c r="FU52" s="76">
        <v>0</v>
      </c>
      <c r="FV52" s="76">
        <v>0</v>
      </c>
      <c r="FW52" s="76">
        <v>0</v>
      </c>
      <c r="FX52" s="76">
        <v>0</v>
      </c>
      <c r="FY52" s="76">
        <v>0</v>
      </c>
      <c r="FZ52" s="76">
        <v>0</v>
      </c>
      <c r="GA52" s="76">
        <v>0</v>
      </c>
      <c r="GB52" s="76">
        <v>0</v>
      </c>
      <c r="GC52" s="76">
        <v>2608</v>
      </c>
      <c r="GD52" s="76">
        <v>3159</v>
      </c>
      <c r="GE52" s="76">
        <v>-551</v>
      </c>
      <c r="GF52" s="76">
        <v>0</v>
      </c>
      <c r="GG52" s="76">
        <v>0</v>
      </c>
      <c r="GH52" s="76">
        <v>0</v>
      </c>
      <c r="GI52" s="76">
        <v>0</v>
      </c>
      <c r="GJ52" s="76">
        <v>0</v>
      </c>
      <c r="GK52" s="76">
        <v>0</v>
      </c>
      <c r="GL52" s="76">
        <v>0</v>
      </c>
      <c r="GM52" s="76">
        <v>977</v>
      </c>
      <c r="GN52" s="76">
        <v>1280</v>
      </c>
      <c r="GO52" s="76">
        <v>0</v>
      </c>
      <c r="GP52" s="76">
        <v>89</v>
      </c>
      <c r="GQ52" s="76">
        <v>2248</v>
      </c>
      <c r="GR52" s="76">
        <v>8265</v>
      </c>
      <c r="GS52" s="76">
        <v>0</v>
      </c>
      <c r="GT52" s="76">
        <v>0</v>
      </c>
      <c r="GU52" s="76">
        <v>0</v>
      </c>
      <c r="GV52" s="76">
        <v>0</v>
      </c>
      <c r="GW52" s="76">
        <v>2559</v>
      </c>
      <c r="GX52" s="76">
        <v>15418</v>
      </c>
      <c r="GY52" s="76">
        <v>0</v>
      </c>
      <c r="GZ52" s="76">
        <v>0</v>
      </c>
      <c r="HA52" s="76">
        <v>473</v>
      </c>
      <c r="HB52" s="76">
        <v>0</v>
      </c>
      <c r="HC52" s="76">
        <v>473</v>
      </c>
      <c r="HD52" s="76">
        <v>0</v>
      </c>
      <c r="HE52" s="76">
        <v>34</v>
      </c>
      <c r="HF52" s="76">
        <v>34</v>
      </c>
      <c r="HG52" s="76">
        <v>11593</v>
      </c>
      <c r="HH52" s="76">
        <v>-62</v>
      </c>
      <c r="HI52" s="76">
        <v>269</v>
      </c>
      <c r="HJ52" s="76">
        <v>0</v>
      </c>
      <c r="HK52" s="76">
        <v>165</v>
      </c>
      <c r="HL52" s="76">
        <v>-750</v>
      </c>
      <c r="HM52" s="76">
        <v>11215</v>
      </c>
      <c r="HN52" s="76">
        <v>6865</v>
      </c>
      <c r="HO52" s="76">
        <v>10340</v>
      </c>
      <c r="HP52" s="76">
        <v>0</v>
      </c>
      <c r="HQ52" s="76">
        <v>297</v>
      </c>
      <c r="HR52" s="76">
        <v>-58</v>
      </c>
      <c r="HS52" s="76">
        <v>4</v>
      </c>
      <c r="HT52" s="76">
        <v>10672</v>
      </c>
      <c r="HU52" s="76">
        <v>0</v>
      </c>
      <c r="HV52" s="76">
        <v>0</v>
      </c>
      <c r="HW52" s="76">
        <v>0</v>
      </c>
      <c r="HX52" s="76">
        <v>168</v>
      </c>
    </row>
    <row r="53" spans="1:232" x14ac:dyDescent="0.2">
      <c r="A53" s="74" t="s">
        <v>55</v>
      </c>
      <c r="B53" s="74" t="s">
        <v>54</v>
      </c>
      <c r="C53" s="75" t="s">
        <v>200</v>
      </c>
      <c r="D53" s="75">
        <v>12</v>
      </c>
      <c r="E53" s="76">
        <v>11086</v>
      </c>
      <c r="F53" s="76">
        <v>0</v>
      </c>
      <c r="G53" s="76">
        <v>-8355</v>
      </c>
      <c r="H53" s="76">
        <v>2731</v>
      </c>
      <c r="I53" s="76">
        <v>505</v>
      </c>
      <c r="J53" s="76">
        <v>0</v>
      </c>
      <c r="K53" s="76">
        <v>97</v>
      </c>
      <c r="L53" s="76">
        <v>0</v>
      </c>
      <c r="M53" s="76">
        <v>30</v>
      </c>
      <c r="N53" s="76">
        <v>-1214</v>
      </c>
      <c r="O53" s="76">
        <v>0</v>
      </c>
      <c r="P53" s="76">
        <v>0</v>
      </c>
      <c r="Q53" s="76">
        <v>0</v>
      </c>
      <c r="R53" s="76">
        <v>0</v>
      </c>
      <c r="S53" s="76">
        <v>2149</v>
      </c>
      <c r="T53" s="76">
        <v>0</v>
      </c>
      <c r="U53" s="76">
        <v>2149</v>
      </c>
      <c r="V53" s="76">
        <v>0</v>
      </c>
      <c r="W53" s="76">
        <v>0</v>
      </c>
      <c r="X53" s="76">
        <v>0</v>
      </c>
      <c r="Y53" s="76">
        <v>0</v>
      </c>
      <c r="Z53" s="76">
        <v>2149</v>
      </c>
      <c r="AA53" s="76">
        <v>7310</v>
      </c>
      <c r="AB53" s="76">
        <v>834</v>
      </c>
      <c r="AC53" s="76">
        <v>8144</v>
      </c>
      <c r="AD53" s="76">
        <v>467</v>
      </c>
      <c r="AE53" s="76">
        <v>6</v>
      </c>
      <c r="AF53" s="76">
        <v>0</v>
      </c>
      <c r="AG53" s="76">
        <v>19</v>
      </c>
      <c r="AH53" s="76">
        <v>8636</v>
      </c>
      <c r="AI53" s="76">
        <v>2301</v>
      </c>
      <c r="AJ53" s="76">
        <v>691</v>
      </c>
      <c r="AK53" s="76">
        <v>1429</v>
      </c>
      <c r="AL53" s="76">
        <v>378</v>
      </c>
      <c r="AM53" s="76">
        <v>0</v>
      </c>
      <c r="AN53" s="76">
        <v>75</v>
      </c>
      <c r="AO53" s="76">
        <v>1135</v>
      </c>
      <c r="AP53" s="76">
        <v>0</v>
      </c>
      <c r="AQ53" s="76">
        <v>0</v>
      </c>
      <c r="AR53" s="76">
        <v>6009</v>
      </c>
      <c r="AS53" s="76">
        <v>2627</v>
      </c>
      <c r="AT53" s="76">
        <v>51</v>
      </c>
      <c r="AU53" s="76">
        <v>103782</v>
      </c>
      <c r="AV53" s="76">
        <v>0</v>
      </c>
      <c r="AW53" s="76">
        <v>243</v>
      </c>
      <c r="AX53" s="76">
        <v>0</v>
      </c>
      <c r="AY53" s="76">
        <v>0</v>
      </c>
      <c r="AZ53" s="76">
        <v>0</v>
      </c>
      <c r="BA53" s="76">
        <v>0</v>
      </c>
      <c r="BB53" s="76">
        <v>0</v>
      </c>
      <c r="BC53" s="76">
        <v>0</v>
      </c>
      <c r="BD53" s="76">
        <v>0</v>
      </c>
      <c r="BE53" s="76">
        <v>104025</v>
      </c>
      <c r="BF53" s="76">
        <v>338</v>
      </c>
      <c r="BG53" s="76">
        <v>2019</v>
      </c>
      <c r="BH53" s="76">
        <v>11516</v>
      </c>
      <c r="BI53" s="76">
        <v>0</v>
      </c>
      <c r="BJ53" s="76">
        <v>0</v>
      </c>
      <c r="BK53" s="76">
        <v>13873</v>
      </c>
      <c r="BL53" s="76">
        <v>548</v>
      </c>
      <c r="BM53" s="76">
        <v>0</v>
      </c>
      <c r="BN53" s="76">
        <v>567</v>
      </c>
      <c r="BO53" s="76">
        <v>1819</v>
      </c>
      <c r="BP53" s="76">
        <v>2934</v>
      </c>
      <c r="BQ53" s="76">
        <v>10939</v>
      </c>
      <c r="BR53" s="76">
        <v>114964</v>
      </c>
      <c r="BS53" s="76">
        <v>39232</v>
      </c>
      <c r="BT53" s="76">
        <v>0</v>
      </c>
      <c r="BU53" s="76">
        <v>0</v>
      </c>
      <c r="BV53" s="76">
        <v>57055</v>
      </c>
      <c r="BW53" s="76">
        <v>0</v>
      </c>
      <c r="BX53" s="76">
        <v>0</v>
      </c>
      <c r="BY53" s="76">
        <v>2099</v>
      </c>
      <c r="BZ53" s="76">
        <v>98386</v>
      </c>
      <c r="CA53" s="76">
        <v>0</v>
      </c>
      <c r="CB53" s="76">
        <v>0</v>
      </c>
      <c r="CC53" s="76">
        <v>16578</v>
      </c>
      <c r="CD53" s="76">
        <v>16540</v>
      </c>
      <c r="CE53" s="76">
        <v>0</v>
      </c>
      <c r="CF53" s="76">
        <v>38</v>
      </c>
      <c r="CG53" s="76">
        <v>0</v>
      </c>
      <c r="CH53" s="76">
        <v>0</v>
      </c>
      <c r="CI53" s="76">
        <v>16578</v>
      </c>
      <c r="CJ53" s="76">
        <v>0</v>
      </c>
      <c r="CK53" s="76">
        <v>0</v>
      </c>
      <c r="CL53" s="76">
        <v>0</v>
      </c>
      <c r="CM53" s="76">
        <v>0</v>
      </c>
      <c r="CN53" s="76">
        <v>2430</v>
      </c>
      <c r="CO53" s="76">
        <v>0</v>
      </c>
      <c r="CP53" s="76">
        <v>2336</v>
      </c>
      <c r="CQ53" s="76">
        <v>94</v>
      </c>
      <c r="CR53" s="76">
        <v>0</v>
      </c>
      <c r="CS53" s="76">
        <v>0</v>
      </c>
      <c r="CT53" s="76">
        <v>0</v>
      </c>
      <c r="CU53" s="76">
        <v>0</v>
      </c>
      <c r="CV53" s="76">
        <v>0</v>
      </c>
      <c r="CW53" s="76">
        <v>0</v>
      </c>
      <c r="CX53" s="76">
        <v>0</v>
      </c>
      <c r="CY53" s="76">
        <v>0</v>
      </c>
      <c r="CZ53" s="76">
        <v>20</v>
      </c>
      <c r="DA53" s="76">
        <v>0</v>
      </c>
      <c r="DB53" s="76">
        <v>10</v>
      </c>
      <c r="DC53" s="76">
        <v>10</v>
      </c>
      <c r="DD53" s="76">
        <v>2450</v>
      </c>
      <c r="DE53" s="76">
        <v>0</v>
      </c>
      <c r="DF53" s="76">
        <v>2346</v>
      </c>
      <c r="DG53" s="76">
        <v>104</v>
      </c>
      <c r="DH53" s="76">
        <v>0</v>
      </c>
      <c r="DI53" s="76">
        <v>0</v>
      </c>
      <c r="DJ53" s="76">
        <v>0</v>
      </c>
      <c r="DK53" s="76">
        <v>0</v>
      </c>
      <c r="DL53" s="76">
        <v>0</v>
      </c>
      <c r="DM53" s="76">
        <v>0</v>
      </c>
      <c r="DN53" s="76">
        <v>0</v>
      </c>
      <c r="DO53" s="76">
        <v>0</v>
      </c>
      <c r="DP53" s="76">
        <v>0</v>
      </c>
      <c r="DQ53" s="76">
        <v>0</v>
      </c>
      <c r="DR53" s="76">
        <v>0</v>
      </c>
      <c r="DS53" s="76">
        <v>0</v>
      </c>
      <c r="DT53" s="76">
        <v>0</v>
      </c>
      <c r="DU53" s="76">
        <v>0</v>
      </c>
      <c r="DV53" s="76">
        <v>0</v>
      </c>
      <c r="DW53" s="76">
        <v>0</v>
      </c>
      <c r="DX53" s="76">
        <v>0</v>
      </c>
      <c r="DY53" s="76">
        <v>0</v>
      </c>
      <c r="DZ53" s="76">
        <v>0</v>
      </c>
      <c r="EA53" s="76">
        <v>0</v>
      </c>
      <c r="EB53" s="76">
        <v>0</v>
      </c>
      <c r="EC53" s="76">
        <v>0</v>
      </c>
      <c r="ED53" s="76">
        <v>0</v>
      </c>
      <c r="EE53" s="76">
        <v>0</v>
      </c>
      <c r="EF53" s="76">
        <v>0</v>
      </c>
      <c r="EG53" s="76">
        <v>0</v>
      </c>
      <c r="EH53" s="76">
        <v>0</v>
      </c>
      <c r="EI53" s="76">
        <v>0</v>
      </c>
      <c r="EJ53" s="76">
        <v>2450</v>
      </c>
      <c r="EK53" s="76">
        <v>0</v>
      </c>
      <c r="EL53" s="76">
        <v>2346</v>
      </c>
      <c r="EM53" s="76">
        <v>104</v>
      </c>
      <c r="EN53" s="76">
        <v>328</v>
      </c>
      <c r="EO53" s="76">
        <v>297</v>
      </c>
      <c r="EP53" s="76">
        <v>50</v>
      </c>
      <c r="EQ53" s="76">
        <v>297</v>
      </c>
      <c r="ER53" s="76">
        <v>118713</v>
      </c>
      <c r="ES53" s="76">
        <v>0</v>
      </c>
      <c r="ET53" s="76">
        <v>118713</v>
      </c>
      <c r="EU53" s="76">
        <v>5490</v>
      </c>
      <c r="EV53" s="76">
        <v>-240</v>
      </c>
      <c r="EW53" s="76">
        <v>0</v>
      </c>
      <c r="EX53" s="76">
        <v>0</v>
      </c>
      <c r="EY53" s="76">
        <v>-506</v>
      </c>
      <c r="EZ53" s="76">
        <v>123457</v>
      </c>
      <c r="FA53" s="76">
        <v>19036</v>
      </c>
      <c r="FB53" s="76">
        <v>1081</v>
      </c>
      <c r="FC53" s="76">
        <v>0</v>
      </c>
      <c r="FD53" s="76">
        <v>0</v>
      </c>
      <c r="FE53" s="76">
        <v>-57</v>
      </c>
      <c r="FF53" s="76">
        <v>0</v>
      </c>
      <c r="FG53" s="76">
        <v>-385</v>
      </c>
      <c r="FH53" s="76">
        <v>19675</v>
      </c>
      <c r="FI53" s="76">
        <v>103782</v>
      </c>
      <c r="FJ53" s="76">
        <v>99677</v>
      </c>
      <c r="FK53" s="76">
        <v>0</v>
      </c>
      <c r="FL53" s="76">
        <v>0</v>
      </c>
      <c r="FM53" s="76">
        <v>0</v>
      </c>
      <c r="FN53" s="76">
        <v>0</v>
      </c>
      <c r="FO53" s="76">
        <v>0</v>
      </c>
      <c r="FP53" s="76">
        <v>0</v>
      </c>
      <c r="FQ53" s="76">
        <v>0</v>
      </c>
      <c r="FR53" s="76">
        <v>0</v>
      </c>
      <c r="FS53" s="76">
        <v>0</v>
      </c>
      <c r="FT53" s="76">
        <v>750</v>
      </c>
      <c r="FU53" s="76">
        <v>245</v>
      </c>
      <c r="FV53" s="76">
        <v>505</v>
      </c>
      <c r="FW53" s="76">
        <v>0</v>
      </c>
      <c r="FX53" s="76">
        <v>0</v>
      </c>
      <c r="FY53" s="76">
        <v>0</v>
      </c>
      <c r="FZ53" s="76">
        <v>0</v>
      </c>
      <c r="GA53" s="76">
        <v>0</v>
      </c>
      <c r="GB53" s="76">
        <v>0</v>
      </c>
      <c r="GC53" s="76">
        <v>750</v>
      </c>
      <c r="GD53" s="76">
        <v>245</v>
      </c>
      <c r="GE53" s="76">
        <v>505</v>
      </c>
      <c r="GF53" s="76">
        <v>0</v>
      </c>
      <c r="GG53" s="76">
        <v>0</v>
      </c>
      <c r="GH53" s="76">
        <v>0</v>
      </c>
      <c r="GI53" s="76">
        <v>0</v>
      </c>
      <c r="GJ53" s="76">
        <v>0</v>
      </c>
      <c r="GK53" s="76">
        <v>0</v>
      </c>
      <c r="GL53" s="76">
        <v>0</v>
      </c>
      <c r="GM53" s="76">
        <v>233</v>
      </c>
      <c r="GN53" s="76">
        <v>410</v>
      </c>
      <c r="GO53" s="76">
        <v>0</v>
      </c>
      <c r="GP53" s="76">
        <v>84</v>
      </c>
      <c r="GQ53" s="76">
        <v>0</v>
      </c>
      <c r="GR53" s="76">
        <v>500</v>
      </c>
      <c r="GS53" s="76">
        <v>0</v>
      </c>
      <c r="GT53" s="76">
        <v>0</v>
      </c>
      <c r="GU53" s="76">
        <v>262</v>
      </c>
      <c r="GV53" s="76">
        <v>0</v>
      </c>
      <c r="GW53" s="76">
        <v>330</v>
      </c>
      <c r="GX53" s="76">
        <v>1819</v>
      </c>
      <c r="GY53" s="76">
        <v>223</v>
      </c>
      <c r="GZ53" s="76">
        <v>0</v>
      </c>
      <c r="HA53" s="76">
        <v>1733</v>
      </c>
      <c r="HB53" s="76">
        <v>143</v>
      </c>
      <c r="HC53" s="76">
        <v>2099</v>
      </c>
      <c r="HD53" s="76">
        <v>0</v>
      </c>
      <c r="HE53" s="76">
        <v>0</v>
      </c>
      <c r="HF53" s="76">
        <v>0</v>
      </c>
      <c r="HG53" s="76">
        <v>1243</v>
      </c>
      <c r="HH53" s="76">
        <v>0</v>
      </c>
      <c r="HI53" s="76">
        <v>42</v>
      </c>
      <c r="HJ53" s="76">
        <v>0</v>
      </c>
      <c r="HK53" s="76">
        <v>0</v>
      </c>
      <c r="HL53" s="76">
        <v>-71</v>
      </c>
      <c r="HM53" s="76">
        <v>1214</v>
      </c>
      <c r="HN53" s="76">
        <v>617</v>
      </c>
      <c r="HO53" s="76">
        <v>1175</v>
      </c>
      <c r="HP53" s="76">
        <v>0</v>
      </c>
      <c r="HQ53" s="76">
        <v>6</v>
      </c>
      <c r="HR53" s="76">
        <v>-2</v>
      </c>
      <c r="HS53" s="76">
        <v>15</v>
      </c>
      <c r="HT53" s="76">
        <v>1506</v>
      </c>
      <c r="HU53" s="76">
        <v>0</v>
      </c>
      <c r="HV53" s="76">
        <v>0</v>
      </c>
      <c r="HW53" s="76">
        <v>0</v>
      </c>
      <c r="HX53" s="76">
        <v>0</v>
      </c>
    </row>
    <row r="54" spans="1:232" x14ac:dyDescent="0.2">
      <c r="A54" s="74" t="s">
        <v>57</v>
      </c>
      <c r="B54" s="74" t="s">
        <v>56</v>
      </c>
      <c r="C54" s="75" t="s">
        <v>200</v>
      </c>
      <c r="D54" s="75">
        <v>12</v>
      </c>
      <c r="E54" s="76">
        <v>97903</v>
      </c>
      <c r="F54" s="76">
        <v>0</v>
      </c>
      <c r="G54" s="76">
        <v>-75724</v>
      </c>
      <c r="H54" s="76">
        <v>22179</v>
      </c>
      <c r="I54" s="76">
        <v>2458</v>
      </c>
      <c r="J54" s="76">
        <v>0</v>
      </c>
      <c r="K54" s="76">
        <v>0</v>
      </c>
      <c r="L54" s="76">
        <v>0</v>
      </c>
      <c r="M54" s="76">
        <v>34</v>
      </c>
      <c r="N54" s="76">
        <v>-8827</v>
      </c>
      <c r="O54" s="76">
        <v>201</v>
      </c>
      <c r="P54" s="76">
        <v>0</v>
      </c>
      <c r="Q54" s="76">
        <v>0</v>
      </c>
      <c r="R54" s="76">
        <v>0</v>
      </c>
      <c r="S54" s="76">
        <v>16045</v>
      </c>
      <c r="T54" s="76">
        <v>225</v>
      </c>
      <c r="U54" s="76">
        <v>16270</v>
      </c>
      <c r="V54" s="76">
        <v>0</v>
      </c>
      <c r="W54" s="76">
        <v>-24</v>
      </c>
      <c r="X54" s="76">
        <v>-292</v>
      </c>
      <c r="Y54" s="76">
        <v>0</v>
      </c>
      <c r="Z54" s="76">
        <v>15954</v>
      </c>
      <c r="AA54" s="76">
        <v>59911</v>
      </c>
      <c r="AB54" s="76">
        <v>2374</v>
      </c>
      <c r="AC54" s="76">
        <v>62285</v>
      </c>
      <c r="AD54" s="76">
        <v>1315</v>
      </c>
      <c r="AE54" s="76">
        <v>0</v>
      </c>
      <c r="AF54" s="76">
        <v>0</v>
      </c>
      <c r="AG54" s="76">
        <v>235</v>
      </c>
      <c r="AH54" s="76">
        <v>63835</v>
      </c>
      <c r="AI54" s="76">
        <v>8857</v>
      </c>
      <c r="AJ54" s="76">
        <v>2562</v>
      </c>
      <c r="AK54" s="76">
        <v>9218</v>
      </c>
      <c r="AL54" s="76">
        <v>0</v>
      </c>
      <c r="AM54" s="76">
        <v>9542</v>
      </c>
      <c r="AN54" s="76">
        <v>744</v>
      </c>
      <c r="AO54" s="76">
        <v>9140</v>
      </c>
      <c r="AP54" s="76">
        <v>369</v>
      </c>
      <c r="AQ54" s="76">
        <v>2567</v>
      </c>
      <c r="AR54" s="76">
        <v>42999</v>
      </c>
      <c r="AS54" s="76">
        <v>20836</v>
      </c>
      <c r="AT54" s="76">
        <v>503</v>
      </c>
      <c r="AU54" s="76">
        <v>470910</v>
      </c>
      <c r="AV54" s="76">
        <v>0</v>
      </c>
      <c r="AW54" s="76">
        <v>5083</v>
      </c>
      <c r="AX54" s="76">
        <v>0</v>
      </c>
      <c r="AY54" s="76">
        <v>0</v>
      </c>
      <c r="AZ54" s="76">
        <v>6693</v>
      </c>
      <c r="BA54" s="76">
        <v>0</v>
      </c>
      <c r="BB54" s="76">
        <v>0</v>
      </c>
      <c r="BC54" s="76">
        <v>0</v>
      </c>
      <c r="BD54" s="76">
        <v>0</v>
      </c>
      <c r="BE54" s="76">
        <v>482686</v>
      </c>
      <c r="BF54" s="76">
        <v>55325</v>
      </c>
      <c r="BG54" s="76">
        <v>1737</v>
      </c>
      <c r="BH54" s="76">
        <v>8893</v>
      </c>
      <c r="BI54" s="76">
        <v>0</v>
      </c>
      <c r="BJ54" s="76">
        <v>2147</v>
      </c>
      <c r="BK54" s="76">
        <v>68102</v>
      </c>
      <c r="BL54" s="76">
        <v>2706</v>
      </c>
      <c r="BM54" s="76">
        <v>0</v>
      </c>
      <c r="BN54" s="76">
        <v>0</v>
      </c>
      <c r="BO54" s="76">
        <v>24068</v>
      </c>
      <c r="BP54" s="76">
        <v>26774</v>
      </c>
      <c r="BQ54" s="76">
        <v>41328</v>
      </c>
      <c r="BR54" s="76">
        <v>524014</v>
      </c>
      <c r="BS54" s="76">
        <v>262097</v>
      </c>
      <c r="BT54" s="76">
        <v>0</v>
      </c>
      <c r="BU54" s="76">
        <v>0</v>
      </c>
      <c r="BV54" s="76">
        <v>117528</v>
      </c>
      <c r="BW54" s="76">
        <v>0</v>
      </c>
      <c r="BX54" s="76">
        <v>18898</v>
      </c>
      <c r="BY54" s="76">
        <v>4780</v>
      </c>
      <c r="BZ54" s="76">
        <v>403303</v>
      </c>
      <c r="CA54" s="76">
        <v>0</v>
      </c>
      <c r="CB54" s="76">
        <v>3184</v>
      </c>
      <c r="CC54" s="76">
        <v>117527</v>
      </c>
      <c r="CD54" s="76">
        <v>135842</v>
      </c>
      <c r="CE54" s="76">
        <v>0</v>
      </c>
      <c r="CF54" s="76">
        <v>0</v>
      </c>
      <c r="CG54" s="76">
        <v>-18315</v>
      </c>
      <c r="CH54" s="76">
        <v>0</v>
      </c>
      <c r="CI54" s="76">
        <v>117527</v>
      </c>
      <c r="CJ54" s="76">
        <v>3205</v>
      </c>
      <c r="CK54" s="76">
        <v>0</v>
      </c>
      <c r="CL54" s="76">
        <v>2011</v>
      </c>
      <c r="CM54" s="76">
        <v>1194</v>
      </c>
      <c r="CN54" s="76">
        <v>2673</v>
      </c>
      <c r="CO54" s="76">
        <v>0</v>
      </c>
      <c r="CP54" s="76">
        <v>2233</v>
      </c>
      <c r="CQ54" s="76">
        <v>440</v>
      </c>
      <c r="CR54" s="76">
        <v>0</v>
      </c>
      <c r="CS54" s="76">
        <v>0</v>
      </c>
      <c r="CT54" s="76">
        <v>493</v>
      </c>
      <c r="CU54" s="76">
        <v>-493</v>
      </c>
      <c r="CV54" s="76">
        <v>0</v>
      </c>
      <c r="CW54" s="76">
        <v>0</v>
      </c>
      <c r="CX54" s="76">
        <v>0</v>
      </c>
      <c r="CY54" s="76">
        <v>0</v>
      </c>
      <c r="CZ54" s="76">
        <v>0</v>
      </c>
      <c r="DA54" s="76">
        <v>0</v>
      </c>
      <c r="DB54" s="76">
        <v>0</v>
      </c>
      <c r="DC54" s="76">
        <v>0</v>
      </c>
      <c r="DD54" s="76">
        <v>5878</v>
      </c>
      <c r="DE54" s="76">
        <v>0</v>
      </c>
      <c r="DF54" s="76">
        <v>4737</v>
      </c>
      <c r="DG54" s="76">
        <v>1141</v>
      </c>
      <c r="DH54" s="76">
        <v>23597</v>
      </c>
      <c r="DI54" s="76">
        <v>0</v>
      </c>
      <c r="DJ54" s="76">
        <v>25274</v>
      </c>
      <c r="DK54" s="76">
        <v>-1677</v>
      </c>
      <c r="DL54" s="76">
        <v>0</v>
      </c>
      <c r="DM54" s="76">
        <v>0</v>
      </c>
      <c r="DN54" s="76">
        <v>0</v>
      </c>
      <c r="DO54" s="76">
        <v>0</v>
      </c>
      <c r="DP54" s="76">
        <v>0</v>
      </c>
      <c r="DQ54" s="76">
        <v>0</v>
      </c>
      <c r="DR54" s="76">
        <v>0</v>
      </c>
      <c r="DS54" s="76">
        <v>0</v>
      </c>
      <c r="DT54" s="76">
        <v>1720</v>
      </c>
      <c r="DU54" s="76">
        <v>0</v>
      </c>
      <c r="DV54" s="76">
        <v>1016</v>
      </c>
      <c r="DW54" s="76">
        <v>704</v>
      </c>
      <c r="DX54" s="76">
        <v>0</v>
      </c>
      <c r="DY54" s="76">
        <v>0</v>
      </c>
      <c r="DZ54" s="76">
        <v>0</v>
      </c>
      <c r="EA54" s="76">
        <v>0</v>
      </c>
      <c r="EB54" s="76">
        <v>2873</v>
      </c>
      <c r="EC54" s="76">
        <v>0</v>
      </c>
      <c r="ED54" s="76">
        <v>1698</v>
      </c>
      <c r="EE54" s="76">
        <v>1175</v>
      </c>
      <c r="EF54" s="76">
        <v>28190</v>
      </c>
      <c r="EG54" s="76">
        <v>0</v>
      </c>
      <c r="EH54" s="76">
        <v>27988</v>
      </c>
      <c r="EI54" s="76">
        <v>202</v>
      </c>
      <c r="EJ54" s="76">
        <v>34068</v>
      </c>
      <c r="EK54" s="76">
        <v>0</v>
      </c>
      <c r="EL54" s="76">
        <v>32725</v>
      </c>
      <c r="EM54" s="76">
        <v>1343</v>
      </c>
      <c r="EN54" s="76">
        <v>1956</v>
      </c>
      <c r="EO54" s="76">
        <v>337</v>
      </c>
      <c r="EP54" s="76">
        <v>1429</v>
      </c>
      <c r="EQ54" s="76">
        <v>337</v>
      </c>
      <c r="ER54" s="76">
        <v>545171</v>
      </c>
      <c r="ES54" s="76">
        <v>0</v>
      </c>
      <c r="ET54" s="76">
        <v>545171</v>
      </c>
      <c r="EU54" s="76">
        <v>24767</v>
      </c>
      <c r="EV54" s="76">
        <v>-6860</v>
      </c>
      <c r="EW54" s="76">
        <v>0</v>
      </c>
      <c r="EX54" s="76">
        <v>0</v>
      </c>
      <c r="EY54" s="76">
        <v>0</v>
      </c>
      <c r="EZ54" s="76">
        <v>563078</v>
      </c>
      <c r="FA54" s="76">
        <v>83856</v>
      </c>
      <c r="FB54" s="76">
        <v>9140</v>
      </c>
      <c r="FC54" s="76">
        <v>369</v>
      </c>
      <c r="FD54" s="76">
        <v>0</v>
      </c>
      <c r="FE54" s="76">
        <v>-1197</v>
      </c>
      <c r="FF54" s="76">
        <v>0</v>
      </c>
      <c r="FG54" s="76">
        <v>0</v>
      </c>
      <c r="FH54" s="76">
        <v>92168</v>
      </c>
      <c r="FI54" s="76">
        <v>470910</v>
      </c>
      <c r="FJ54" s="76">
        <v>461315</v>
      </c>
      <c r="FK54" s="76">
        <v>2238</v>
      </c>
      <c r="FL54" s="76">
        <v>1255</v>
      </c>
      <c r="FM54" s="76">
        <v>983</v>
      </c>
      <c r="FN54" s="76">
        <v>2715</v>
      </c>
      <c r="FO54" s="76">
        <v>2516</v>
      </c>
      <c r="FP54" s="76">
        <v>199</v>
      </c>
      <c r="FQ54" s="76">
        <v>1028</v>
      </c>
      <c r="FR54" s="76">
        <v>1018</v>
      </c>
      <c r="FS54" s="76">
        <v>10</v>
      </c>
      <c r="FT54" s="76">
        <v>0</v>
      </c>
      <c r="FU54" s="76">
        <v>0</v>
      </c>
      <c r="FV54" s="76">
        <v>0</v>
      </c>
      <c r="FW54" s="76">
        <v>0</v>
      </c>
      <c r="FX54" s="76">
        <v>0</v>
      </c>
      <c r="FY54" s="76">
        <v>0</v>
      </c>
      <c r="FZ54" s="76">
        <v>1601</v>
      </c>
      <c r="GA54" s="76">
        <v>335</v>
      </c>
      <c r="GB54" s="76">
        <v>1266</v>
      </c>
      <c r="GC54" s="76">
        <v>7582</v>
      </c>
      <c r="GD54" s="76">
        <v>5124</v>
      </c>
      <c r="GE54" s="76">
        <v>2458</v>
      </c>
      <c r="GF54" s="76">
        <v>0</v>
      </c>
      <c r="GG54" s="76">
        <v>0</v>
      </c>
      <c r="GH54" s="76">
        <v>0</v>
      </c>
      <c r="GI54" s="76">
        <v>0</v>
      </c>
      <c r="GJ54" s="76">
        <v>0</v>
      </c>
      <c r="GK54" s="76">
        <v>2147</v>
      </c>
      <c r="GL54" s="76">
        <v>2147</v>
      </c>
      <c r="GM54" s="76">
        <v>7747</v>
      </c>
      <c r="GN54" s="76">
        <v>1605</v>
      </c>
      <c r="GO54" s="76">
        <v>0</v>
      </c>
      <c r="GP54" s="76">
        <v>266</v>
      </c>
      <c r="GQ54" s="76">
        <v>1069</v>
      </c>
      <c r="GR54" s="76">
        <v>7832</v>
      </c>
      <c r="GS54" s="76">
        <v>0</v>
      </c>
      <c r="GT54" s="76">
        <v>0</v>
      </c>
      <c r="GU54" s="76">
        <v>0</v>
      </c>
      <c r="GV54" s="76">
        <v>0</v>
      </c>
      <c r="GW54" s="76">
        <v>5549</v>
      </c>
      <c r="GX54" s="76">
        <v>24068</v>
      </c>
      <c r="GY54" s="76">
        <v>1536</v>
      </c>
      <c r="GZ54" s="76">
        <v>881</v>
      </c>
      <c r="HA54" s="76">
        <v>713</v>
      </c>
      <c r="HB54" s="76">
        <v>1650</v>
      </c>
      <c r="HC54" s="76">
        <v>4780</v>
      </c>
      <c r="HD54" s="76">
        <v>0</v>
      </c>
      <c r="HE54" s="76">
        <v>3184</v>
      </c>
      <c r="HF54" s="76">
        <v>3184</v>
      </c>
      <c r="HG54" s="76">
        <v>6875</v>
      </c>
      <c r="HH54" s="76">
        <v>0</v>
      </c>
      <c r="HI54" s="76">
        <v>17</v>
      </c>
      <c r="HJ54" s="76">
        <v>0</v>
      </c>
      <c r="HK54" s="76">
        <v>2326</v>
      </c>
      <c r="HL54" s="76">
        <v>-391</v>
      </c>
      <c r="HM54" s="76">
        <v>8827</v>
      </c>
      <c r="HN54" s="76">
        <v>6155</v>
      </c>
      <c r="HO54" s="76">
        <v>9949</v>
      </c>
      <c r="HP54" s="76">
        <v>369</v>
      </c>
      <c r="HQ54" s="76">
        <v>155</v>
      </c>
      <c r="HR54" s="76">
        <v>-71</v>
      </c>
      <c r="HS54" s="76">
        <v>-12</v>
      </c>
      <c r="HT54" s="76">
        <v>11883</v>
      </c>
      <c r="HU54" s="76">
        <v>54</v>
      </c>
      <c r="HV54" s="76">
        <v>-2</v>
      </c>
      <c r="HW54" s="76">
        <v>9</v>
      </c>
      <c r="HX54" s="76">
        <v>1242</v>
      </c>
    </row>
    <row r="55" spans="1:232" x14ac:dyDescent="0.2">
      <c r="A55" s="74" t="s">
        <v>329</v>
      </c>
      <c r="B55" s="74" t="s">
        <v>330</v>
      </c>
      <c r="C55" s="75" t="s">
        <v>200</v>
      </c>
      <c r="D55" s="75">
        <v>12</v>
      </c>
      <c r="E55" s="76">
        <v>33545</v>
      </c>
      <c r="F55" s="76">
        <v>0</v>
      </c>
      <c r="G55" s="76">
        <v>-22109</v>
      </c>
      <c r="H55" s="76">
        <v>11436</v>
      </c>
      <c r="I55" s="76">
        <v>-103</v>
      </c>
      <c r="J55" s="76">
        <v>0</v>
      </c>
      <c r="K55" s="76">
        <v>0</v>
      </c>
      <c r="L55" s="76">
        <v>0</v>
      </c>
      <c r="M55" s="76">
        <v>0</v>
      </c>
      <c r="N55" s="76">
        <v>-4700</v>
      </c>
      <c r="O55" s="76">
        <v>0</v>
      </c>
      <c r="P55" s="76">
        <v>0</v>
      </c>
      <c r="Q55" s="76">
        <v>0</v>
      </c>
      <c r="R55" s="76">
        <v>0</v>
      </c>
      <c r="S55" s="76">
        <v>6633</v>
      </c>
      <c r="T55" s="76">
        <v>0</v>
      </c>
      <c r="U55" s="76">
        <v>6633</v>
      </c>
      <c r="V55" s="76">
        <v>-1049</v>
      </c>
      <c r="W55" s="76">
        <v>-3470</v>
      </c>
      <c r="X55" s="76">
        <v>0</v>
      </c>
      <c r="Y55" s="76">
        <v>0</v>
      </c>
      <c r="Z55" s="76">
        <v>2114</v>
      </c>
      <c r="AA55" s="76">
        <v>25763</v>
      </c>
      <c r="AB55" s="76">
        <v>3647</v>
      </c>
      <c r="AC55" s="76">
        <v>29410</v>
      </c>
      <c r="AD55" s="76">
        <v>129</v>
      </c>
      <c r="AE55" s="76">
        <v>0</v>
      </c>
      <c r="AF55" s="76">
        <v>0</v>
      </c>
      <c r="AG55" s="76">
        <v>234</v>
      </c>
      <c r="AH55" s="76">
        <v>29773</v>
      </c>
      <c r="AI55" s="76">
        <v>818</v>
      </c>
      <c r="AJ55" s="76">
        <v>2458</v>
      </c>
      <c r="AK55" s="76">
        <v>2607</v>
      </c>
      <c r="AL55" s="76">
        <v>1170</v>
      </c>
      <c r="AM55" s="76">
        <v>0</v>
      </c>
      <c r="AN55" s="76">
        <v>238</v>
      </c>
      <c r="AO55" s="76">
        <v>4657</v>
      </c>
      <c r="AP55" s="76">
        <v>0</v>
      </c>
      <c r="AQ55" s="76">
        <v>8759</v>
      </c>
      <c r="AR55" s="76">
        <v>20707</v>
      </c>
      <c r="AS55" s="76">
        <v>9066</v>
      </c>
      <c r="AT55" s="76">
        <v>290</v>
      </c>
      <c r="AU55" s="76">
        <v>136523</v>
      </c>
      <c r="AV55" s="76">
        <v>41976</v>
      </c>
      <c r="AW55" s="76">
        <v>5359</v>
      </c>
      <c r="AX55" s="76">
        <v>-40</v>
      </c>
      <c r="AY55" s="76">
        <v>0</v>
      </c>
      <c r="AZ55" s="76">
        <v>0</v>
      </c>
      <c r="BA55" s="76">
        <v>0</v>
      </c>
      <c r="BB55" s="76">
        <v>0</v>
      </c>
      <c r="BC55" s="76">
        <v>0</v>
      </c>
      <c r="BD55" s="76">
        <v>0</v>
      </c>
      <c r="BE55" s="76">
        <v>183818</v>
      </c>
      <c r="BF55" s="76">
        <v>618</v>
      </c>
      <c r="BG55" s="76">
        <v>3795</v>
      </c>
      <c r="BH55" s="76">
        <v>5306</v>
      </c>
      <c r="BI55" s="76">
        <v>0</v>
      </c>
      <c r="BJ55" s="76">
        <v>891</v>
      </c>
      <c r="BK55" s="76">
        <v>10610</v>
      </c>
      <c r="BL55" s="76">
        <v>0</v>
      </c>
      <c r="BM55" s="76">
        <v>0</v>
      </c>
      <c r="BN55" s="76">
        <v>0</v>
      </c>
      <c r="BO55" s="76">
        <v>7901</v>
      </c>
      <c r="BP55" s="76">
        <v>7901</v>
      </c>
      <c r="BQ55" s="76">
        <v>2709</v>
      </c>
      <c r="BR55" s="76">
        <v>186527</v>
      </c>
      <c r="BS55" s="76">
        <v>90898</v>
      </c>
      <c r="BT55" s="76">
        <v>0</v>
      </c>
      <c r="BU55" s="76">
        <v>0</v>
      </c>
      <c r="BV55" s="76">
        <v>5492</v>
      </c>
      <c r="BW55" s="76">
        <v>0</v>
      </c>
      <c r="BX55" s="76">
        <v>0</v>
      </c>
      <c r="BY55" s="76">
        <v>0</v>
      </c>
      <c r="BZ55" s="76">
        <v>96390</v>
      </c>
      <c r="CA55" s="76">
        <v>9330</v>
      </c>
      <c r="CB55" s="76">
        <v>0</v>
      </c>
      <c r="CC55" s="76">
        <v>80807</v>
      </c>
      <c r="CD55" s="76">
        <v>80807</v>
      </c>
      <c r="CE55" s="76">
        <v>0</v>
      </c>
      <c r="CF55" s="76">
        <v>0</v>
      </c>
      <c r="CG55" s="76">
        <v>0</v>
      </c>
      <c r="CH55" s="76">
        <v>0</v>
      </c>
      <c r="CI55" s="76">
        <v>80807</v>
      </c>
      <c r="CJ55" s="76">
        <v>0</v>
      </c>
      <c r="CK55" s="76">
        <v>0</v>
      </c>
      <c r="CL55" s="76">
        <v>0</v>
      </c>
      <c r="CM55" s="76">
        <v>0</v>
      </c>
      <c r="CN55" s="76">
        <v>0</v>
      </c>
      <c r="CO55" s="76">
        <v>0</v>
      </c>
      <c r="CP55" s="76">
        <v>0</v>
      </c>
      <c r="CQ55" s="76">
        <v>0</v>
      </c>
      <c r="CR55" s="76">
        <v>0</v>
      </c>
      <c r="CS55" s="76">
        <v>0</v>
      </c>
      <c r="CT55" s="76">
        <v>0</v>
      </c>
      <c r="CU55" s="76">
        <v>0</v>
      </c>
      <c r="CV55" s="76">
        <v>0</v>
      </c>
      <c r="CW55" s="76">
        <v>0</v>
      </c>
      <c r="CX55" s="76">
        <v>0</v>
      </c>
      <c r="CY55" s="76">
        <v>0</v>
      </c>
      <c r="CZ55" s="76">
        <v>0</v>
      </c>
      <c r="DA55" s="76">
        <v>0</v>
      </c>
      <c r="DB55" s="76">
        <v>0</v>
      </c>
      <c r="DC55" s="76">
        <v>0</v>
      </c>
      <c r="DD55" s="76">
        <v>0</v>
      </c>
      <c r="DE55" s="76">
        <v>0</v>
      </c>
      <c r="DF55" s="76">
        <v>0</v>
      </c>
      <c r="DG55" s="76">
        <v>0</v>
      </c>
      <c r="DH55" s="76">
        <v>0</v>
      </c>
      <c r="DI55" s="76">
        <v>0</v>
      </c>
      <c r="DJ55" s="76">
        <v>0</v>
      </c>
      <c r="DK55" s="76">
        <v>0</v>
      </c>
      <c r="DL55" s="76">
        <v>0</v>
      </c>
      <c r="DM55" s="76">
        <v>0</v>
      </c>
      <c r="DN55" s="76">
        <v>0</v>
      </c>
      <c r="DO55" s="76">
        <v>0</v>
      </c>
      <c r="DP55" s="76">
        <v>0</v>
      </c>
      <c r="DQ55" s="76">
        <v>0</v>
      </c>
      <c r="DR55" s="76">
        <v>0</v>
      </c>
      <c r="DS55" s="76">
        <v>0</v>
      </c>
      <c r="DT55" s="76">
        <v>0</v>
      </c>
      <c r="DU55" s="76">
        <v>0</v>
      </c>
      <c r="DV55" s="76">
        <v>0</v>
      </c>
      <c r="DW55" s="76">
        <v>0</v>
      </c>
      <c r="DX55" s="76">
        <v>0</v>
      </c>
      <c r="DY55" s="76">
        <v>0</v>
      </c>
      <c r="DZ55" s="76">
        <v>0</v>
      </c>
      <c r="EA55" s="76">
        <v>0</v>
      </c>
      <c r="EB55" s="76">
        <v>3772</v>
      </c>
      <c r="EC55" s="76">
        <v>0</v>
      </c>
      <c r="ED55" s="76">
        <v>1402</v>
      </c>
      <c r="EE55" s="76">
        <v>2370</v>
      </c>
      <c r="EF55" s="76">
        <v>3772</v>
      </c>
      <c r="EG55" s="76">
        <v>0</v>
      </c>
      <c r="EH55" s="76">
        <v>1402</v>
      </c>
      <c r="EI55" s="76">
        <v>2370</v>
      </c>
      <c r="EJ55" s="76">
        <v>3772</v>
      </c>
      <c r="EK55" s="76">
        <v>0</v>
      </c>
      <c r="EL55" s="76">
        <v>1402</v>
      </c>
      <c r="EM55" s="76">
        <v>2370</v>
      </c>
      <c r="EN55" s="76">
        <v>668</v>
      </c>
      <c r="EO55" s="76">
        <v>0</v>
      </c>
      <c r="EP55" s="76">
        <v>599</v>
      </c>
      <c r="EQ55" s="76">
        <v>0</v>
      </c>
      <c r="ER55" s="76">
        <v>151502</v>
      </c>
      <c r="ES55" s="76">
        <v>38266</v>
      </c>
      <c r="ET55" s="76">
        <v>189768</v>
      </c>
      <c r="EU55" s="76">
        <v>23491</v>
      </c>
      <c r="EV55" s="76">
        <v>-6635</v>
      </c>
      <c r="EW55" s="76">
        <v>0</v>
      </c>
      <c r="EX55" s="76">
        <v>0</v>
      </c>
      <c r="EY55" s="76">
        <v>-1049</v>
      </c>
      <c r="EZ55" s="76">
        <v>205575</v>
      </c>
      <c r="FA55" s="76">
        <v>22611</v>
      </c>
      <c r="FB55" s="76">
        <v>4657</v>
      </c>
      <c r="FC55" s="76">
        <v>0</v>
      </c>
      <c r="FD55" s="76">
        <v>0</v>
      </c>
      <c r="FE55" s="76">
        <v>-192</v>
      </c>
      <c r="FF55" s="76">
        <v>0</v>
      </c>
      <c r="FG55" s="76">
        <v>0</v>
      </c>
      <c r="FH55" s="76">
        <v>27076</v>
      </c>
      <c r="FI55" s="76">
        <v>178499</v>
      </c>
      <c r="FJ55" s="76">
        <v>167157</v>
      </c>
      <c r="FK55" s="76">
        <v>0</v>
      </c>
      <c r="FL55" s="76">
        <v>0</v>
      </c>
      <c r="FM55" s="76">
        <v>0</v>
      </c>
      <c r="FN55" s="76">
        <v>1004</v>
      </c>
      <c r="FO55" s="76">
        <v>1094</v>
      </c>
      <c r="FP55" s="76">
        <v>-90</v>
      </c>
      <c r="FQ55" s="76">
        <v>768</v>
      </c>
      <c r="FR55" s="76">
        <v>813</v>
      </c>
      <c r="FS55" s="76">
        <v>-45</v>
      </c>
      <c r="FT55" s="76">
        <v>0</v>
      </c>
      <c r="FU55" s="76">
        <v>0</v>
      </c>
      <c r="FV55" s="76">
        <v>0</v>
      </c>
      <c r="FW55" s="76">
        <v>0</v>
      </c>
      <c r="FX55" s="76">
        <v>0</v>
      </c>
      <c r="FY55" s="76">
        <v>0</v>
      </c>
      <c r="FZ55" s="76">
        <v>249</v>
      </c>
      <c r="GA55" s="76">
        <v>217</v>
      </c>
      <c r="GB55" s="76">
        <v>32</v>
      </c>
      <c r="GC55" s="76">
        <v>2021</v>
      </c>
      <c r="GD55" s="76">
        <v>2124</v>
      </c>
      <c r="GE55" s="76">
        <v>-103</v>
      </c>
      <c r="GF55" s="76">
        <v>0</v>
      </c>
      <c r="GG55" s="76">
        <v>0</v>
      </c>
      <c r="GH55" s="76">
        <v>0</v>
      </c>
      <c r="GI55" s="76">
        <v>0</v>
      </c>
      <c r="GJ55" s="76">
        <v>0</v>
      </c>
      <c r="GK55" s="76">
        <v>891</v>
      </c>
      <c r="GL55" s="76">
        <v>891</v>
      </c>
      <c r="GM55" s="76">
        <v>2124</v>
      </c>
      <c r="GN55" s="76">
        <v>478</v>
      </c>
      <c r="GO55" s="76">
        <v>0</v>
      </c>
      <c r="GP55" s="76">
        <v>0</v>
      </c>
      <c r="GQ55" s="76">
        <v>0</v>
      </c>
      <c r="GR55" s="76">
        <v>2327</v>
      </c>
      <c r="GS55" s="76">
        <v>0</v>
      </c>
      <c r="GT55" s="76">
        <v>0</v>
      </c>
      <c r="GU55" s="76">
        <v>0</v>
      </c>
      <c r="GV55" s="76">
        <v>0</v>
      </c>
      <c r="GW55" s="76">
        <v>2972</v>
      </c>
      <c r="GX55" s="76">
        <v>7901</v>
      </c>
      <c r="GY55" s="76">
        <v>0</v>
      </c>
      <c r="GZ55" s="76">
        <v>0</v>
      </c>
      <c r="HA55" s="76">
        <v>0</v>
      </c>
      <c r="HB55" s="76">
        <v>0</v>
      </c>
      <c r="HC55" s="76">
        <v>0</v>
      </c>
      <c r="HD55" s="76">
        <v>0</v>
      </c>
      <c r="HE55" s="76">
        <v>0</v>
      </c>
      <c r="HF55" s="76">
        <v>0</v>
      </c>
      <c r="HG55" s="76">
        <v>4700</v>
      </c>
      <c r="HH55" s="76">
        <v>0</v>
      </c>
      <c r="HI55" s="76">
        <v>0</v>
      </c>
      <c r="HJ55" s="76">
        <v>0</v>
      </c>
      <c r="HK55" s="76">
        <v>0</v>
      </c>
      <c r="HL55" s="76">
        <v>0</v>
      </c>
      <c r="HM55" s="76">
        <v>4700</v>
      </c>
      <c r="HN55" s="76">
        <v>4947</v>
      </c>
      <c r="HO55" s="76">
        <v>4699</v>
      </c>
      <c r="HP55" s="76">
        <v>105</v>
      </c>
      <c r="HQ55" s="76">
        <v>54</v>
      </c>
      <c r="HR55" s="76">
        <v>-43</v>
      </c>
      <c r="HS55" s="76">
        <v>-2</v>
      </c>
      <c r="HT55" s="76">
        <v>6696</v>
      </c>
      <c r="HU55" s="76">
        <v>75</v>
      </c>
      <c r="HV55" s="76">
        <v>-2</v>
      </c>
      <c r="HW55" s="76">
        <v>0</v>
      </c>
      <c r="HX55" s="76">
        <v>450</v>
      </c>
    </row>
    <row r="56" spans="1:232" x14ac:dyDescent="0.2">
      <c r="A56" s="74" t="s">
        <v>61</v>
      </c>
      <c r="B56" s="74" t="s">
        <v>60</v>
      </c>
      <c r="C56" s="75" t="s">
        <v>200</v>
      </c>
      <c r="D56" s="75">
        <v>12</v>
      </c>
      <c r="E56" s="76">
        <v>140626</v>
      </c>
      <c r="F56" s="76">
        <v>-22190</v>
      </c>
      <c r="G56" s="76">
        <v>-73713</v>
      </c>
      <c r="H56" s="76">
        <v>44723</v>
      </c>
      <c r="I56" s="76">
        <v>3708</v>
      </c>
      <c r="J56" s="76">
        <v>0</v>
      </c>
      <c r="K56" s="76">
        <v>0</v>
      </c>
      <c r="L56" s="76">
        <v>9</v>
      </c>
      <c r="M56" s="76">
        <v>287</v>
      </c>
      <c r="N56" s="76">
        <v>-13847</v>
      </c>
      <c r="O56" s="76">
        <v>984</v>
      </c>
      <c r="P56" s="76">
        <v>450</v>
      </c>
      <c r="Q56" s="76">
        <v>0</v>
      </c>
      <c r="R56" s="76">
        <v>0</v>
      </c>
      <c r="S56" s="76">
        <v>36314</v>
      </c>
      <c r="T56" s="76">
        <v>0</v>
      </c>
      <c r="U56" s="76">
        <v>36314</v>
      </c>
      <c r="V56" s="76">
        <v>0</v>
      </c>
      <c r="W56" s="76">
        <v>-1192</v>
      </c>
      <c r="X56" s="76">
        <v>-5607</v>
      </c>
      <c r="Y56" s="76">
        <v>0</v>
      </c>
      <c r="Z56" s="76">
        <v>29515</v>
      </c>
      <c r="AA56" s="76">
        <v>94774</v>
      </c>
      <c r="AB56" s="76">
        <v>6352</v>
      </c>
      <c r="AC56" s="76">
        <v>101126</v>
      </c>
      <c r="AD56" s="76">
        <v>4578</v>
      </c>
      <c r="AE56" s="76">
        <v>0</v>
      </c>
      <c r="AF56" s="76">
        <v>0</v>
      </c>
      <c r="AG56" s="76">
        <v>0</v>
      </c>
      <c r="AH56" s="76">
        <v>105704</v>
      </c>
      <c r="AI56" s="76">
        <v>19676</v>
      </c>
      <c r="AJ56" s="76">
        <v>6307</v>
      </c>
      <c r="AK56" s="76">
        <v>14071</v>
      </c>
      <c r="AL56" s="76">
        <v>5795</v>
      </c>
      <c r="AM56" s="76">
        <v>4544</v>
      </c>
      <c r="AN56" s="76">
        <v>369</v>
      </c>
      <c r="AO56" s="76">
        <v>16610</v>
      </c>
      <c r="AP56" s="76">
        <v>0</v>
      </c>
      <c r="AQ56" s="76">
        <v>0</v>
      </c>
      <c r="AR56" s="76">
        <v>67372</v>
      </c>
      <c r="AS56" s="76">
        <v>38332</v>
      </c>
      <c r="AT56" s="76">
        <v>468</v>
      </c>
      <c r="AU56" s="76">
        <v>1151655</v>
      </c>
      <c r="AV56" s="76">
        <v>0</v>
      </c>
      <c r="AW56" s="76">
        <v>12676</v>
      </c>
      <c r="AX56" s="76">
        <v>0</v>
      </c>
      <c r="AY56" s="76">
        <v>5473</v>
      </c>
      <c r="AZ56" s="76">
        <v>14499</v>
      </c>
      <c r="BA56" s="76">
        <v>0</v>
      </c>
      <c r="BB56" s="76">
        <v>107</v>
      </c>
      <c r="BC56" s="76">
        <v>0</v>
      </c>
      <c r="BD56" s="76">
        <v>65</v>
      </c>
      <c r="BE56" s="76">
        <v>1184475</v>
      </c>
      <c r="BF56" s="76">
        <v>31301</v>
      </c>
      <c r="BG56" s="76">
        <v>6948</v>
      </c>
      <c r="BH56" s="76">
        <v>40548</v>
      </c>
      <c r="BI56" s="76">
        <v>0</v>
      </c>
      <c r="BJ56" s="76">
        <v>2651</v>
      </c>
      <c r="BK56" s="76">
        <v>81448</v>
      </c>
      <c r="BL56" s="76">
        <v>5821</v>
      </c>
      <c r="BM56" s="76">
        <v>3</v>
      </c>
      <c r="BN56" s="76">
        <v>0</v>
      </c>
      <c r="BO56" s="76">
        <v>40941</v>
      </c>
      <c r="BP56" s="76">
        <v>46765</v>
      </c>
      <c r="BQ56" s="76">
        <v>34683</v>
      </c>
      <c r="BR56" s="76">
        <v>1219158</v>
      </c>
      <c r="BS56" s="76">
        <v>457761</v>
      </c>
      <c r="BT56" s="76">
        <v>0</v>
      </c>
      <c r="BU56" s="76">
        <v>0</v>
      </c>
      <c r="BV56" s="76">
        <v>384399</v>
      </c>
      <c r="BW56" s="76">
        <v>5169</v>
      </c>
      <c r="BX56" s="76">
        <v>70355</v>
      </c>
      <c r="BY56" s="76">
        <v>16522</v>
      </c>
      <c r="BZ56" s="76">
        <v>934206</v>
      </c>
      <c r="CA56" s="76">
        <v>6930</v>
      </c>
      <c r="CB56" s="76">
        <v>0</v>
      </c>
      <c r="CC56" s="76">
        <v>278022</v>
      </c>
      <c r="CD56" s="76">
        <v>276809</v>
      </c>
      <c r="CE56" s="76">
        <v>0</v>
      </c>
      <c r="CF56" s="76">
        <v>0</v>
      </c>
      <c r="CG56" s="76">
        <v>-69781</v>
      </c>
      <c r="CH56" s="76">
        <v>70994</v>
      </c>
      <c r="CI56" s="76">
        <v>278022</v>
      </c>
      <c r="CJ56" s="76">
        <v>13751</v>
      </c>
      <c r="CK56" s="76">
        <v>10815</v>
      </c>
      <c r="CL56" s="76">
        <v>0</v>
      </c>
      <c r="CM56" s="76">
        <v>2936</v>
      </c>
      <c r="CN56" s="76">
        <v>3402</v>
      </c>
      <c r="CO56" s="76">
        <v>0</v>
      </c>
      <c r="CP56" s="76">
        <v>3391</v>
      </c>
      <c r="CQ56" s="76">
        <v>11</v>
      </c>
      <c r="CR56" s="76">
        <v>81</v>
      </c>
      <c r="CS56" s="76">
        <v>0</v>
      </c>
      <c r="CT56" s="76">
        <v>1361</v>
      </c>
      <c r="CU56" s="76">
        <v>-1280</v>
      </c>
      <c r="CV56" s="76">
        <v>0</v>
      </c>
      <c r="CW56" s="76">
        <v>0</v>
      </c>
      <c r="CX56" s="76">
        <v>0</v>
      </c>
      <c r="CY56" s="76">
        <v>0</v>
      </c>
      <c r="CZ56" s="76">
        <v>338</v>
      </c>
      <c r="DA56" s="76">
        <v>0</v>
      </c>
      <c r="DB56" s="76">
        <v>375</v>
      </c>
      <c r="DC56" s="76">
        <v>-37</v>
      </c>
      <c r="DD56" s="76">
        <v>17572</v>
      </c>
      <c r="DE56" s="76">
        <v>10815</v>
      </c>
      <c r="DF56" s="76">
        <v>5127</v>
      </c>
      <c r="DG56" s="76">
        <v>1630</v>
      </c>
      <c r="DH56" s="76">
        <v>15431</v>
      </c>
      <c r="DI56" s="76">
        <v>11375</v>
      </c>
      <c r="DJ56" s="76">
        <v>0</v>
      </c>
      <c r="DK56" s="76">
        <v>4056</v>
      </c>
      <c r="DL56" s="76">
        <v>0</v>
      </c>
      <c r="DM56" s="76">
        <v>0</v>
      </c>
      <c r="DN56" s="76">
        <v>0</v>
      </c>
      <c r="DO56" s="76">
        <v>0</v>
      </c>
      <c r="DP56" s="76">
        <v>0</v>
      </c>
      <c r="DQ56" s="76">
        <v>0</v>
      </c>
      <c r="DR56" s="76">
        <v>0</v>
      </c>
      <c r="DS56" s="76">
        <v>0</v>
      </c>
      <c r="DT56" s="76">
        <v>663</v>
      </c>
      <c r="DU56" s="76">
        <v>0</v>
      </c>
      <c r="DV56" s="76">
        <v>220</v>
      </c>
      <c r="DW56" s="76">
        <v>443</v>
      </c>
      <c r="DX56" s="76">
        <v>0</v>
      </c>
      <c r="DY56" s="76">
        <v>0</v>
      </c>
      <c r="DZ56" s="76">
        <v>0</v>
      </c>
      <c r="EA56" s="76">
        <v>0</v>
      </c>
      <c r="EB56" s="76">
        <v>1256</v>
      </c>
      <c r="EC56" s="76">
        <v>0</v>
      </c>
      <c r="ED56" s="76">
        <v>994</v>
      </c>
      <c r="EE56" s="76">
        <v>262</v>
      </c>
      <c r="EF56" s="76">
        <v>17350</v>
      </c>
      <c r="EG56" s="76">
        <v>11375</v>
      </c>
      <c r="EH56" s="76">
        <v>1214</v>
      </c>
      <c r="EI56" s="76">
        <v>4761</v>
      </c>
      <c r="EJ56" s="76">
        <v>34922</v>
      </c>
      <c r="EK56" s="76">
        <v>22190</v>
      </c>
      <c r="EL56" s="76">
        <v>6341</v>
      </c>
      <c r="EM56" s="76">
        <v>6391</v>
      </c>
      <c r="EN56" s="76">
        <v>4394</v>
      </c>
      <c r="EO56" s="76">
        <v>972</v>
      </c>
      <c r="EP56" s="76">
        <v>179</v>
      </c>
      <c r="EQ56" s="76">
        <v>972</v>
      </c>
      <c r="ER56" s="76">
        <v>1236606</v>
      </c>
      <c r="ES56" s="76">
        <v>0</v>
      </c>
      <c r="ET56" s="76">
        <v>1236606</v>
      </c>
      <c r="EU56" s="76">
        <v>98238</v>
      </c>
      <c r="EV56" s="76">
        <v>-6367</v>
      </c>
      <c r="EW56" s="76">
        <v>0</v>
      </c>
      <c r="EX56" s="76">
        <v>-139</v>
      </c>
      <c r="EY56" s="76">
        <v>0</v>
      </c>
      <c r="EZ56" s="76">
        <v>1328338</v>
      </c>
      <c r="FA56" s="76">
        <v>161497</v>
      </c>
      <c r="FB56" s="76">
        <v>16679</v>
      </c>
      <c r="FC56" s="76">
        <v>0</v>
      </c>
      <c r="FD56" s="76">
        <v>0</v>
      </c>
      <c r="FE56" s="76">
        <v>-1493</v>
      </c>
      <c r="FF56" s="76">
        <v>0</v>
      </c>
      <c r="FG56" s="76">
        <v>0</v>
      </c>
      <c r="FH56" s="76">
        <v>176683</v>
      </c>
      <c r="FI56" s="76">
        <v>1151655</v>
      </c>
      <c r="FJ56" s="76">
        <v>1075109</v>
      </c>
      <c r="FK56" s="76">
        <v>4308</v>
      </c>
      <c r="FL56" s="76">
        <v>2218</v>
      </c>
      <c r="FM56" s="76">
        <v>2090</v>
      </c>
      <c r="FN56" s="76">
        <v>1506</v>
      </c>
      <c r="FO56" s="76">
        <v>1325</v>
      </c>
      <c r="FP56" s="76">
        <v>181</v>
      </c>
      <c r="FQ56" s="76">
        <v>129</v>
      </c>
      <c r="FR56" s="76">
        <v>129</v>
      </c>
      <c r="FS56" s="76">
        <v>0</v>
      </c>
      <c r="FT56" s="76">
        <v>3559</v>
      </c>
      <c r="FU56" s="76">
        <v>2166</v>
      </c>
      <c r="FV56" s="76">
        <v>1393</v>
      </c>
      <c r="FW56" s="76">
        <v>0</v>
      </c>
      <c r="FX56" s="76">
        <v>0</v>
      </c>
      <c r="FY56" s="76">
        <v>0</v>
      </c>
      <c r="FZ56" s="76">
        <v>44</v>
      </c>
      <c r="GA56" s="76">
        <v>0</v>
      </c>
      <c r="GB56" s="76">
        <v>44</v>
      </c>
      <c r="GC56" s="76">
        <v>9546</v>
      </c>
      <c r="GD56" s="76">
        <v>5838</v>
      </c>
      <c r="GE56" s="76">
        <v>3708</v>
      </c>
      <c r="GF56" s="76">
        <v>0</v>
      </c>
      <c r="GG56" s="76">
        <v>17</v>
      </c>
      <c r="GH56" s="76">
        <v>978</v>
      </c>
      <c r="GI56" s="76">
        <v>0</v>
      </c>
      <c r="GJ56" s="76">
        <v>0</v>
      </c>
      <c r="GK56" s="76">
        <v>1656</v>
      </c>
      <c r="GL56" s="76">
        <v>2651</v>
      </c>
      <c r="GM56" s="76">
        <v>1804</v>
      </c>
      <c r="GN56" s="76">
        <v>8657</v>
      </c>
      <c r="GO56" s="76">
        <v>0</v>
      </c>
      <c r="GP56" s="76">
        <v>437</v>
      </c>
      <c r="GQ56" s="76">
        <v>248</v>
      </c>
      <c r="GR56" s="76">
        <v>18929</v>
      </c>
      <c r="GS56" s="76">
        <v>0</v>
      </c>
      <c r="GT56" s="76">
        <v>0</v>
      </c>
      <c r="GU56" s="76">
        <v>1841</v>
      </c>
      <c r="GV56" s="76">
        <v>0</v>
      </c>
      <c r="GW56" s="76">
        <v>9025</v>
      </c>
      <c r="GX56" s="76">
        <v>40941</v>
      </c>
      <c r="GY56" s="76">
        <v>4522</v>
      </c>
      <c r="GZ56" s="76">
        <v>193</v>
      </c>
      <c r="HA56" s="76">
        <v>11807</v>
      </c>
      <c r="HB56" s="76">
        <v>0</v>
      </c>
      <c r="HC56" s="76">
        <v>16522</v>
      </c>
      <c r="HD56" s="76">
        <v>0</v>
      </c>
      <c r="HE56" s="76">
        <v>0</v>
      </c>
      <c r="HF56" s="76">
        <v>0</v>
      </c>
      <c r="HG56" s="76">
        <v>14329</v>
      </c>
      <c r="HH56" s="76">
        <v>304</v>
      </c>
      <c r="HI56" s="76">
        <v>499</v>
      </c>
      <c r="HJ56" s="76">
        <v>18</v>
      </c>
      <c r="HK56" s="76">
        <v>11</v>
      </c>
      <c r="HL56" s="76">
        <v>-1314</v>
      </c>
      <c r="HM56" s="76">
        <v>13847</v>
      </c>
      <c r="HN56" s="76">
        <v>7593</v>
      </c>
      <c r="HO56" s="76">
        <v>18428</v>
      </c>
      <c r="HP56" s="76">
        <v>0</v>
      </c>
      <c r="HQ56" s="76">
        <v>608</v>
      </c>
      <c r="HR56" s="76">
        <v>-91</v>
      </c>
      <c r="HS56" s="76">
        <v>154</v>
      </c>
      <c r="HT56" s="76">
        <v>23445</v>
      </c>
      <c r="HU56" s="76">
        <v>26</v>
      </c>
      <c r="HV56" s="76">
        <v>-1</v>
      </c>
      <c r="HW56" s="76">
        <v>1</v>
      </c>
      <c r="HX56" s="76">
        <v>134</v>
      </c>
    </row>
    <row r="57" spans="1:232" x14ac:dyDescent="0.2">
      <c r="A57" s="74" t="s">
        <v>199</v>
      </c>
      <c r="B57" s="74" t="s">
        <v>63</v>
      </c>
      <c r="C57" s="75" t="s">
        <v>200</v>
      </c>
      <c r="D57" s="75">
        <v>12</v>
      </c>
      <c r="E57" s="76">
        <v>8670</v>
      </c>
      <c r="F57" s="76">
        <v>0</v>
      </c>
      <c r="G57" s="76">
        <v>-5577</v>
      </c>
      <c r="H57" s="76">
        <v>3093</v>
      </c>
      <c r="I57" s="76">
        <v>-253</v>
      </c>
      <c r="J57" s="76">
        <v>0</v>
      </c>
      <c r="K57" s="76">
        <v>542</v>
      </c>
      <c r="L57" s="76">
        <v>0</v>
      </c>
      <c r="M57" s="76">
        <v>21</v>
      </c>
      <c r="N57" s="76">
        <v>-853</v>
      </c>
      <c r="O57" s="76">
        <v>0</v>
      </c>
      <c r="P57" s="76">
        <v>67</v>
      </c>
      <c r="Q57" s="76">
        <v>0</v>
      </c>
      <c r="R57" s="76">
        <v>0</v>
      </c>
      <c r="S57" s="76">
        <v>2617</v>
      </c>
      <c r="T57" s="76">
        <v>0</v>
      </c>
      <c r="U57" s="76">
        <v>2617</v>
      </c>
      <c r="V57" s="76">
        <v>0</v>
      </c>
      <c r="W57" s="76">
        <v>-41</v>
      </c>
      <c r="X57" s="76">
        <v>0</v>
      </c>
      <c r="Y57" s="76">
        <v>0</v>
      </c>
      <c r="Z57" s="76">
        <v>2576</v>
      </c>
      <c r="AA57" s="76">
        <v>7803</v>
      </c>
      <c r="AB57" s="76">
        <v>363</v>
      </c>
      <c r="AC57" s="76">
        <v>8166</v>
      </c>
      <c r="AD57" s="76">
        <v>420</v>
      </c>
      <c r="AE57" s="76">
        <v>14</v>
      </c>
      <c r="AF57" s="76">
        <v>0</v>
      </c>
      <c r="AG57" s="76">
        <v>0</v>
      </c>
      <c r="AH57" s="76">
        <v>8600</v>
      </c>
      <c r="AI57" s="76">
        <v>849</v>
      </c>
      <c r="AJ57" s="76">
        <v>197</v>
      </c>
      <c r="AK57" s="76">
        <v>1977</v>
      </c>
      <c r="AL57" s="76">
        <v>5</v>
      </c>
      <c r="AM57" s="76">
        <v>0</v>
      </c>
      <c r="AN57" s="76">
        <v>4</v>
      </c>
      <c r="AO57" s="76">
        <v>1713</v>
      </c>
      <c r="AP57" s="76">
        <v>0</v>
      </c>
      <c r="AQ57" s="76">
        <v>803</v>
      </c>
      <c r="AR57" s="76">
        <v>5548</v>
      </c>
      <c r="AS57" s="76">
        <v>3052</v>
      </c>
      <c r="AT57" s="76">
        <v>111</v>
      </c>
      <c r="AU57" s="76">
        <v>73415</v>
      </c>
      <c r="AV57" s="76">
        <v>0</v>
      </c>
      <c r="AW57" s="76">
        <v>369</v>
      </c>
      <c r="AX57" s="76">
        <v>0</v>
      </c>
      <c r="AY57" s="76">
        <v>0</v>
      </c>
      <c r="AZ57" s="76">
        <v>0</v>
      </c>
      <c r="BA57" s="76">
        <v>0</v>
      </c>
      <c r="BB57" s="76">
        <v>0</v>
      </c>
      <c r="BC57" s="76">
        <v>0</v>
      </c>
      <c r="BD57" s="76">
        <v>672</v>
      </c>
      <c r="BE57" s="76">
        <v>74456</v>
      </c>
      <c r="BF57" s="76">
        <v>0</v>
      </c>
      <c r="BG57" s="76">
        <v>358</v>
      </c>
      <c r="BH57" s="76">
        <v>3407</v>
      </c>
      <c r="BI57" s="76">
        <v>0</v>
      </c>
      <c r="BJ57" s="76">
        <v>0</v>
      </c>
      <c r="BK57" s="76">
        <v>3765</v>
      </c>
      <c r="BL57" s="76">
        <v>966</v>
      </c>
      <c r="BM57" s="76">
        <v>0</v>
      </c>
      <c r="BN57" s="76">
        <v>434</v>
      </c>
      <c r="BO57" s="76">
        <v>1101</v>
      </c>
      <c r="BP57" s="76">
        <v>2501</v>
      </c>
      <c r="BQ57" s="76">
        <v>1264</v>
      </c>
      <c r="BR57" s="76">
        <v>75720</v>
      </c>
      <c r="BS57" s="76">
        <v>17543</v>
      </c>
      <c r="BT57" s="76">
        <v>0</v>
      </c>
      <c r="BU57" s="76">
        <v>0</v>
      </c>
      <c r="BV57" s="76">
        <v>37194</v>
      </c>
      <c r="BW57" s="76">
        <v>0</v>
      </c>
      <c r="BX57" s="76">
        <v>0</v>
      </c>
      <c r="BY57" s="76">
        <v>565</v>
      </c>
      <c r="BZ57" s="76">
        <v>55302</v>
      </c>
      <c r="CA57" s="76">
        <v>1182</v>
      </c>
      <c r="CB57" s="76">
        <v>0</v>
      </c>
      <c r="CC57" s="76">
        <v>19236</v>
      </c>
      <c r="CD57" s="76">
        <v>14286</v>
      </c>
      <c r="CE57" s="76">
        <v>0</v>
      </c>
      <c r="CF57" s="76">
        <v>1299</v>
      </c>
      <c r="CG57" s="76">
        <v>0</v>
      </c>
      <c r="CH57" s="76">
        <v>3651</v>
      </c>
      <c r="CI57" s="76">
        <v>19236</v>
      </c>
      <c r="CJ57" s="76">
        <v>0</v>
      </c>
      <c r="CK57" s="76">
        <v>0</v>
      </c>
      <c r="CL57" s="76">
        <v>0</v>
      </c>
      <c r="CM57" s="76">
        <v>0</v>
      </c>
      <c r="CN57" s="76">
        <v>0</v>
      </c>
      <c r="CO57" s="76">
        <v>0</v>
      </c>
      <c r="CP57" s="76">
        <v>0</v>
      </c>
      <c r="CQ57" s="76">
        <v>0</v>
      </c>
      <c r="CR57" s="76">
        <v>0</v>
      </c>
      <c r="CS57" s="76">
        <v>0</v>
      </c>
      <c r="CT57" s="76">
        <v>0</v>
      </c>
      <c r="CU57" s="76">
        <v>0</v>
      </c>
      <c r="CV57" s="76">
        <v>0</v>
      </c>
      <c r="CW57" s="76">
        <v>0</v>
      </c>
      <c r="CX57" s="76">
        <v>0</v>
      </c>
      <c r="CY57" s="76">
        <v>0</v>
      </c>
      <c r="CZ57" s="76">
        <v>0</v>
      </c>
      <c r="DA57" s="76">
        <v>0</v>
      </c>
      <c r="DB57" s="76">
        <v>0</v>
      </c>
      <c r="DC57" s="76">
        <v>0</v>
      </c>
      <c r="DD57" s="76">
        <v>0</v>
      </c>
      <c r="DE57" s="76">
        <v>0</v>
      </c>
      <c r="DF57" s="76">
        <v>0</v>
      </c>
      <c r="DG57" s="76">
        <v>0</v>
      </c>
      <c r="DH57" s="76">
        <v>0</v>
      </c>
      <c r="DI57" s="76">
        <v>0</v>
      </c>
      <c r="DJ57" s="76">
        <v>0</v>
      </c>
      <c r="DK57" s="76">
        <v>0</v>
      </c>
      <c r="DL57" s="76">
        <v>0</v>
      </c>
      <c r="DM57" s="76">
        <v>0</v>
      </c>
      <c r="DN57" s="76">
        <v>0</v>
      </c>
      <c r="DO57" s="76">
        <v>0</v>
      </c>
      <c r="DP57" s="76">
        <v>0</v>
      </c>
      <c r="DQ57" s="76">
        <v>0</v>
      </c>
      <c r="DR57" s="76">
        <v>0</v>
      </c>
      <c r="DS57" s="76">
        <v>0</v>
      </c>
      <c r="DT57" s="76">
        <v>0</v>
      </c>
      <c r="DU57" s="76">
        <v>0</v>
      </c>
      <c r="DV57" s="76">
        <v>0</v>
      </c>
      <c r="DW57" s="76">
        <v>0</v>
      </c>
      <c r="DX57" s="76">
        <v>0</v>
      </c>
      <c r="DY57" s="76">
        <v>0</v>
      </c>
      <c r="DZ57" s="76">
        <v>0</v>
      </c>
      <c r="EA57" s="76">
        <v>0</v>
      </c>
      <c r="EB57" s="76">
        <v>70</v>
      </c>
      <c r="EC57" s="76">
        <v>0</v>
      </c>
      <c r="ED57" s="76">
        <v>28</v>
      </c>
      <c r="EE57" s="76">
        <v>42</v>
      </c>
      <c r="EF57" s="76">
        <v>70</v>
      </c>
      <c r="EG57" s="76">
        <v>0</v>
      </c>
      <c r="EH57" s="76">
        <v>28</v>
      </c>
      <c r="EI57" s="76">
        <v>42</v>
      </c>
      <c r="EJ57" s="76">
        <v>70</v>
      </c>
      <c r="EK57" s="76">
        <v>0</v>
      </c>
      <c r="EL57" s="76">
        <v>28</v>
      </c>
      <c r="EM57" s="76">
        <v>42</v>
      </c>
      <c r="EN57" s="76">
        <v>215</v>
      </c>
      <c r="EO57" s="76">
        <v>9</v>
      </c>
      <c r="EP57" s="76">
        <v>16</v>
      </c>
      <c r="EQ57" s="76">
        <v>9</v>
      </c>
      <c r="ER57" s="76">
        <v>88406</v>
      </c>
      <c r="ES57" s="76">
        <v>0</v>
      </c>
      <c r="ET57" s="76">
        <v>88406</v>
      </c>
      <c r="EU57" s="76">
        <v>1819</v>
      </c>
      <c r="EV57" s="76">
        <v>-1034</v>
      </c>
      <c r="EW57" s="76">
        <v>0</v>
      </c>
      <c r="EX57" s="76">
        <v>0</v>
      </c>
      <c r="EY57" s="76">
        <v>1363</v>
      </c>
      <c r="EZ57" s="76">
        <v>90554</v>
      </c>
      <c r="FA57" s="76">
        <v>15931</v>
      </c>
      <c r="FB57" s="76">
        <v>1714</v>
      </c>
      <c r="FC57" s="76">
        <v>0</v>
      </c>
      <c r="FD57" s="76">
        <v>0</v>
      </c>
      <c r="FE57" s="76">
        <v>-506</v>
      </c>
      <c r="FF57" s="76">
        <v>0</v>
      </c>
      <c r="FG57" s="76">
        <v>0</v>
      </c>
      <c r="FH57" s="76">
        <v>17139</v>
      </c>
      <c r="FI57" s="76">
        <v>73415</v>
      </c>
      <c r="FJ57" s="76">
        <v>72475</v>
      </c>
      <c r="FK57" s="76">
        <v>0</v>
      </c>
      <c r="FL57" s="76">
        <v>0</v>
      </c>
      <c r="FM57" s="76">
        <v>0</v>
      </c>
      <c r="FN57" s="76">
        <v>0</v>
      </c>
      <c r="FO57" s="76">
        <v>0</v>
      </c>
      <c r="FP57" s="76">
        <v>0</v>
      </c>
      <c r="FQ57" s="76">
        <v>0</v>
      </c>
      <c r="FR57" s="76">
        <v>0</v>
      </c>
      <c r="FS57" s="76">
        <v>0</v>
      </c>
      <c r="FT57" s="76">
        <v>164</v>
      </c>
      <c r="FU57" s="76">
        <v>149</v>
      </c>
      <c r="FV57" s="76">
        <v>15</v>
      </c>
      <c r="FW57" s="76">
        <v>196</v>
      </c>
      <c r="FX57" s="76">
        <v>464</v>
      </c>
      <c r="FY57" s="76">
        <v>-268</v>
      </c>
      <c r="FZ57" s="76">
        <v>0</v>
      </c>
      <c r="GA57" s="76">
        <v>0</v>
      </c>
      <c r="GB57" s="76">
        <v>0</v>
      </c>
      <c r="GC57" s="76">
        <v>360</v>
      </c>
      <c r="GD57" s="76">
        <v>613</v>
      </c>
      <c r="GE57" s="76">
        <v>-253</v>
      </c>
      <c r="GF57" s="76">
        <v>0</v>
      </c>
      <c r="GG57" s="76">
        <v>0</v>
      </c>
      <c r="GH57" s="76">
        <v>0</v>
      </c>
      <c r="GI57" s="76">
        <v>0</v>
      </c>
      <c r="GJ57" s="76">
        <v>0</v>
      </c>
      <c r="GK57" s="76">
        <v>0</v>
      </c>
      <c r="GL57" s="76">
        <v>0</v>
      </c>
      <c r="GM57" s="76">
        <v>186</v>
      </c>
      <c r="GN57" s="76">
        <v>53</v>
      </c>
      <c r="GO57" s="76">
        <v>0</v>
      </c>
      <c r="GP57" s="76">
        <v>333</v>
      </c>
      <c r="GQ57" s="76">
        <v>0</v>
      </c>
      <c r="GR57" s="76">
        <v>301</v>
      </c>
      <c r="GS57" s="76">
        <v>0</v>
      </c>
      <c r="GT57" s="76">
        <v>0</v>
      </c>
      <c r="GU57" s="76">
        <v>0</v>
      </c>
      <c r="GV57" s="76">
        <v>0</v>
      </c>
      <c r="GW57" s="76">
        <v>228</v>
      </c>
      <c r="GX57" s="76">
        <v>1101</v>
      </c>
      <c r="GY57" s="76">
        <v>565</v>
      </c>
      <c r="GZ57" s="76">
        <v>0</v>
      </c>
      <c r="HA57" s="76">
        <v>0</v>
      </c>
      <c r="HB57" s="76">
        <v>0</v>
      </c>
      <c r="HC57" s="76">
        <v>565</v>
      </c>
      <c r="HD57" s="76">
        <v>0</v>
      </c>
      <c r="HE57" s="76">
        <v>0</v>
      </c>
      <c r="HF57" s="76">
        <v>0</v>
      </c>
      <c r="HG57" s="76">
        <v>825</v>
      </c>
      <c r="HH57" s="76">
        <v>0</v>
      </c>
      <c r="HI57" s="76">
        <v>28</v>
      </c>
      <c r="HJ57" s="76">
        <v>0</v>
      </c>
      <c r="HK57" s="76">
        <v>0</v>
      </c>
      <c r="HL57" s="76">
        <v>0</v>
      </c>
      <c r="HM57" s="76">
        <v>853</v>
      </c>
      <c r="HN57" s="76">
        <v>1211</v>
      </c>
      <c r="HO57" s="76">
        <v>1743</v>
      </c>
      <c r="HP57" s="76">
        <v>0</v>
      </c>
      <c r="HQ57" s="76">
        <v>0</v>
      </c>
      <c r="HR57" s="76">
        <v>-5</v>
      </c>
      <c r="HS57" s="76">
        <v>7</v>
      </c>
      <c r="HT57" s="76">
        <v>1770</v>
      </c>
      <c r="HU57" s="76">
        <v>0</v>
      </c>
      <c r="HV57" s="76">
        <v>0</v>
      </c>
      <c r="HW57" s="76">
        <v>0</v>
      </c>
      <c r="HX57" s="76">
        <v>0</v>
      </c>
    </row>
    <row r="58" spans="1:232" x14ac:dyDescent="0.2">
      <c r="A58" s="74" t="s">
        <v>340</v>
      </c>
      <c r="B58" s="74" t="s">
        <v>339</v>
      </c>
      <c r="C58" s="75" t="s">
        <v>200</v>
      </c>
      <c r="D58" s="75">
        <v>12</v>
      </c>
      <c r="E58" s="76">
        <v>22920</v>
      </c>
      <c r="F58" s="76">
        <v>0</v>
      </c>
      <c r="G58" s="76">
        <v>-14933</v>
      </c>
      <c r="H58" s="76">
        <v>7987</v>
      </c>
      <c r="I58" s="76">
        <v>1357</v>
      </c>
      <c r="J58" s="76">
        <v>0</v>
      </c>
      <c r="K58" s="76">
        <v>0</v>
      </c>
      <c r="L58" s="76">
        <v>0</v>
      </c>
      <c r="M58" s="76">
        <v>8</v>
      </c>
      <c r="N58" s="76">
        <v>-1928</v>
      </c>
      <c r="O58" s="76">
        <v>1782</v>
      </c>
      <c r="P58" s="76">
        <v>0</v>
      </c>
      <c r="Q58" s="76">
        <v>0</v>
      </c>
      <c r="R58" s="76">
        <v>0</v>
      </c>
      <c r="S58" s="76">
        <v>9206</v>
      </c>
      <c r="T58" s="76">
        <v>0</v>
      </c>
      <c r="U58" s="76">
        <v>9206</v>
      </c>
      <c r="V58" s="76">
        <v>0</v>
      </c>
      <c r="W58" s="76">
        <v>1487</v>
      </c>
      <c r="X58" s="76">
        <v>0</v>
      </c>
      <c r="Y58" s="76">
        <v>0</v>
      </c>
      <c r="Z58" s="76">
        <v>10693</v>
      </c>
      <c r="AA58" s="76">
        <v>14382</v>
      </c>
      <c r="AB58" s="76">
        <v>3920</v>
      </c>
      <c r="AC58" s="76">
        <v>18302</v>
      </c>
      <c r="AD58" s="76">
        <v>556</v>
      </c>
      <c r="AE58" s="76">
        <v>0</v>
      </c>
      <c r="AF58" s="76">
        <v>0</v>
      </c>
      <c r="AG58" s="76">
        <v>127</v>
      </c>
      <c r="AH58" s="76">
        <v>18985</v>
      </c>
      <c r="AI58" s="76">
        <v>3497</v>
      </c>
      <c r="AJ58" s="76">
        <v>4099</v>
      </c>
      <c r="AK58" s="76">
        <v>2888</v>
      </c>
      <c r="AL58" s="76">
        <v>385</v>
      </c>
      <c r="AM58" s="76">
        <v>302</v>
      </c>
      <c r="AN58" s="76">
        <v>64</v>
      </c>
      <c r="AO58" s="76">
        <v>2640</v>
      </c>
      <c r="AP58" s="76">
        <v>0</v>
      </c>
      <c r="AQ58" s="76">
        <v>0</v>
      </c>
      <c r="AR58" s="76">
        <v>13875</v>
      </c>
      <c r="AS58" s="76">
        <v>5110</v>
      </c>
      <c r="AT58" s="76">
        <v>87</v>
      </c>
      <c r="AU58" s="76">
        <v>135800</v>
      </c>
      <c r="AV58" s="76">
        <v>0</v>
      </c>
      <c r="AW58" s="76">
        <v>1467</v>
      </c>
      <c r="AX58" s="76">
        <v>0</v>
      </c>
      <c r="AY58" s="76">
        <v>0</v>
      </c>
      <c r="AZ58" s="76">
        <v>13347</v>
      </c>
      <c r="BA58" s="76">
        <v>0</v>
      </c>
      <c r="BB58" s="76">
        <v>0</v>
      </c>
      <c r="BC58" s="76">
        <v>0</v>
      </c>
      <c r="BD58" s="76">
        <v>0</v>
      </c>
      <c r="BE58" s="76">
        <v>150614</v>
      </c>
      <c r="BF58" s="76">
        <v>0</v>
      </c>
      <c r="BG58" s="76">
        <v>5075</v>
      </c>
      <c r="BH58" s="76">
        <v>7327</v>
      </c>
      <c r="BI58" s="76">
        <v>0</v>
      </c>
      <c r="BJ58" s="76">
        <v>2699</v>
      </c>
      <c r="BK58" s="76">
        <v>15101</v>
      </c>
      <c r="BL58" s="76">
        <v>0</v>
      </c>
      <c r="BM58" s="76">
        <v>0</v>
      </c>
      <c r="BN58" s="76">
        <v>556</v>
      </c>
      <c r="BO58" s="76">
        <v>6356</v>
      </c>
      <c r="BP58" s="76">
        <v>6912</v>
      </c>
      <c r="BQ58" s="76">
        <v>8189</v>
      </c>
      <c r="BR58" s="76">
        <v>158803</v>
      </c>
      <c r="BS58" s="76">
        <v>39500</v>
      </c>
      <c r="BT58" s="76">
        <v>0</v>
      </c>
      <c r="BU58" s="76">
        <v>0</v>
      </c>
      <c r="BV58" s="76">
        <v>53310</v>
      </c>
      <c r="BW58" s="76">
        <v>0</v>
      </c>
      <c r="BX58" s="76">
        <v>0</v>
      </c>
      <c r="BY58" s="76">
        <v>252</v>
      </c>
      <c r="BZ58" s="76">
        <v>93062</v>
      </c>
      <c r="CA58" s="76">
        <v>1031</v>
      </c>
      <c r="CB58" s="76">
        <v>0</v>
      </c>
      <c r="CC58" s="76">
        <v>64710</v>
      </c>
      <c r="CD58" s="76">
        <v>61472</v>
      </c>
      <c r="CE58" s="76">
        <v>3238</v>
      </c>
      <c r="CF58" s="76">
        <v>0</v>
      </c>
      <c r="CG58" s="76">
        <v>0</v>
      </c>
      <c r="CH58" s="76">
        <v>0</v>
      </c>
      <c r="CI58" s="76">
        <v>64710</v>
      </c>
      <c r="CJ58" s="76">
        <v>0</v>
      </c>
      <c r="CK58" s="76">
        <v>0</v>
      </c>
      <c r="CL58" s="76">
        <v>0</v>
      </c>
      <c r="CM58" s="76">
        <v>0</v>
      </c>
      <c r="CN58" s="76">
        <v>0</v>
      </c>
      <c r="CO58" s="76">
        <v>0</v>
      </c>
      <c r="CP58" s="76">
        <v>0</v>
      </c>
      <c r="CQ58" s="76">
        <v>0</v>
      </c>
      <c r="CR58" s="76">
        <v>0</v>
      </c>
      <c r="CS58" s="76">
        <v>0</v>
      </c>
      <c r="CT58" s="76">
        <v>0</v>
      </c>
      <c r="CU58" s="76">
        <v>0</v>
      </c>
      <c r="CV58" s="76">
        <v>0</v>
      </c>
      <c r="CW58" s="76">
        <v>0</v>
      </c>
      <c r="CX58" s="76">
        <v>0</v>
      </c>
      <c r="CY58" s="76">
        <v>0</v>
      </c>
      <c r="CZ58" s="76">
        <v>0</v>
      </c>
      <c r="DA58" s="76">
        <v>0</v>
      </c>
      <c r="DB58" s="76">
        <v>0</v>
      </c>
      <c r="DC58" s="76">
        <v>0</v>
      </c>
      <c r="DD58" s="76">
        <v>0</v>
      </c>
      <c r="DE58" s="76">
        <v>0</v>
      </c>
      <c r="DF58" s="76">
        <v>0</v>
      </c>
      <c r="DG58" s="76">
        <v>0</v>
      </c>
      <c r="DH58" s="76">
        <v>0</v>
      </c>
      <c r="DI58" s="76">
        <v>0</v>
      </c>
      <c r="DJ58" s="76">
        <v>0</v>
      </c>
      <c r="DK58" s="76">
        <v>0</v>
      </c>
      <c r="DL58" s="76">
        <v>0</v>
      </c>
      <c r="DM58" s="76">
        <v>0</v>
      </c>
      <c r="DN58" s="76">
        <v>0</v>
      </c>
      <c r="DO58" s="76">
        <v>0</v>
      </c>
      <c r="DP58" s="76">
        <v>0</v>
      </c>
      <c r="DQ58" s="76">
        <v>0</v>
      </c>
      <c r="DR58" s="76">
        <v>0</v>
      </c>
      <c r="DS58" s="76">
        <v>0</v>
      </c>
      <c r="DT58" s="76">
        <v>839</v>
      </c>
      <c r="DU58" s="76">
        <v>0</v>
      </c>
      <c r="DV58" s="76">
        <v>187</v>
      </c>
      <c r="DW58" s="76">
        <v>652</v>
      </c>
      <c r="DX58" s="76">
        <v>0</v>
      </c>
      <c r="DY58" s="76">
        <v>0</v>
      </c>
      <c r="DZ58" s="76">
        <v>0</v>
      </c>
      <c r="EA58" s="76">
        <v>0</v>
      </c>
      <c r="EB58" s="76">
        <v>3096</v>
      </c>
      <c r="EC58" s="76">
        <v>0</v>
      </c>
      <c r="ED58" s="76">
        <v>871</v>
      </c>
      <c r="EE58" s="76">
        <v>2225</v>
      </c>
      <c r="EF58" s="76">
        <v>3935</v>
      </c>
      <c r="EG58" s="76">
        <v>0</v>
      </c>
      <c r="EH58" s="76">
        <v>1058</v>
      </c>
      <c r="EI58" s="76">
        <v>2877</v>
      </c>
      <c r="EJ58" s="76">
        <v>3935</v>
      </c>
      <c r="EK58" s="76">
        <v>0</v>
      </c>
      <c r="EL58" s="76">
        <v>1058</v>
      </c>
      <c r="EM58" s="76">
        <v>2877</v>
      </c>
      <c r="EN58" s="76">
        <v>890</v>
      </c>
      <c r="EO58" s="76">
        <v>348</v>
      </c>
      <c r="EP58" s="76">
        <v>104</v>
      </c>
      <c r="EQ58" s="76">
        <v>348</v>
      </c>
      <c r="ER58" s="76">
        <v>146908</v>
      </c>
      <c r="ES58" s="76">
        <v>0</v>
      </c>
      <c r="ET58" s="76">
        <v>146908</v>
      </c>
      <c r="EU58" s="76">
        <v>8235</v>
      </c>
      <c r="EV58" s="76">
        <v>-2717</v>
      </c>
      <c r="EW58" s="76">
        <v>0</v>
      </c>
      <c r="EX58" s="76">
        <v>0</v>
      </c>
      <c r="EY58" s="76">
        <v>0</v>
      </c>
      <c r="EZ58" s="76">
        <v>152426</v>
      </c>
      <c r="FA58" s="76">
        <v>14077</v>
      </c>
      <c r="FB58" s="76">
        <v>2640</v>
      </c>
      <c r="FC58" s="76">
        <v>0</v>
      </c>
      <c r="FD58" s="76">
        <v>0</v>
      </c>
      <c r="FE58" s="76">
        <v>-91</v>
      </c>
      <c r="FF58" s="76">
        <v>0</v>
      </c>
      <c r="FG58" s="76">
        <v>0</v>
      </c>
      <c r="FH58" s="76">
        <v>16626</v>
      </c>
      <c r="FI58" s="76">
        <v>135800</v>
      </c>
      <c r="FJ58" s="76">
        <v>132831</v>
      </c>
      <c r="FK58" s="76">
        <v>0</v>
      </c>
      <c r="FL58" s="76">
        <v>0</v>
      </c>
      <c r="FM58" s="76">
        <v>0</v>
      </c>
      <c r="FN58" s="76">
        <v>2600</v>
      </c>
      <c r="FO58" s="76">
        <v>1444</v>
      </c>
      <c r="FP58" s="76">
        <v>1156</v>
      </c>
      <c r="FQ58" s="76">
        <v>209</v>
      </c>
      <c r="FR58" s="76">
        <v>18</v>
      </c>
      <c r="FS58" s="76">
        <v>191</v>
      </c>
      <c r="FT58" s="76">
        <v>0</v>
      </c>
      <c r="FU58" s="76">
        <v>0</v>
      </c>
      <c r="FV58" s="76">
        <v>0</v>
      </c>
      <c r="FW58" s="76">
        <v>0</v>
      </c>
      <c r="FX58" s="76">
        <v>0</v>
      </c>
      <c r="FY58" s="76">
        <v>0</v>
      </c>
      <c r="FZ58" s="76">
        <v>2165</v>
      </c>
      <c r="GA58" s="76">
        <v>2155</v>
      </c>
      <c r="GB58" s="76">
        <v>10</v>
      </c>
      <c r="GC58" s="76">
        <v>4974</v>
      </c>
      <c r="GD58" s="76">
        <v>3617</v>
      </c>
      <c r="GE58" s="76">
        <v>1357</v>
      </c>
      <c r="GF58" s="76">
        <v>0</v>
      </c>
      <c r="GG58" s="76">
        <v>32</v>
      </c>
      <c r="GH58" s="76">
        <v>0</v>
      </c>
      <c r="GI58" s="76">
        <v>0</v>
      </c>
      <c r="GJ58" s="76">
        <v>0</v>
      </c>
      <c r="GK58" s="76">
        <v>2667</v>
      </c>
      <c r="GL58" s="76">
        <v>2699</v>
      </c>
      <c r="GM58" s="76">
        <v>1297</v>
      </c>
      <c r="GN58" s="76">
        <v>658</v>
      </c>
      <c r="GO58" s="76">
        <v>0</v>
      </c>
      <c r="GP58" s="76">
        <v>0</v>
      </c>
      <c r="GQ58" s="76">
        <v>0</v>
      </c>
      <c r="GR58" s="76">
        <v>2450</v>
      </c>
      <c r="GS58" s="76">
        <v>0</v>
      </c>
      <c r="GT58" s="76">
        <v>0</v>
      </c>
      <c r="GU58" s="76">
        <v>47</v>
      </c>
      <c r="GV58" s="76">
        <v>0</v>
      </c>
      <c r="GW58" s="76">
        <v>1904</v>
      </c>
      <c r="GX58" s="76">
        <v>6356</v>
      </c>
      <c r="GY58" s="76">
        <v>0</v>
      </c>
      <c r="GZ58" s="76">
        <v>0</v>
      </c>
      <c r="HA58" s="76">
        <v>252</v>
      </c>
      <c r="HB58" s="76">
        <v>0</v>
      </c>
      <c r="HC58" s="76">
        <v>252</v>
      </c>
      <c r="HD58" s="76">
        <v>0</v>
      </c>
      <c r="HE58" s="76">
        <v>0</v>
      </c>
      <c r="HF58" s="76">
        <v>0</v>
      </c>
      <c r="HG58" s="76">
        <v>1912</v>
      </c>
      <c r="HH58" s="76">
        <v>17</v>
      </c>
      <c r="HI58" s="76">
        <v>0</v>
      </c>
      <c r="HJ58" s="76">
        <v>0</v>
      </c>
      <c r="HK58" s="76">
        <v>0</v>
      </c>
      <c r="HL58" s="76">
        <v>-1</v>
      </c>
      <c r="HM58" s="76">
        <v>1928</v>
      </c>
      <c r="HN58" s="76">
        <v>6321</v>
      </c>
      <c r="HO58" s="76">
        <v>2820</v>
      </c>
      <c r="HP58" s="76">
        <v>0</v>
      </c>
      <c r="HQ58" s="76">
        <v>12</v>
      </c>
      <c r="HR58" s="76">
        <v>-18</v>
      </c>
      <c r="HS58" s="76">
        <v>17</v>
      </c>
      <c r="HT58" s="76">
        <v>3731</v>
      </c>
      <c r="HU58" s="76">
        <v>1</v>
      </c>
      <c r="HV58" s="76">
        <v>0</v>
      </c>
      <c r="HW58" s="76">
        <v>0</v>
      </c>
      <c r="HX58" s="76">
        <v>50</v>
      </c>
    </row>
    <row r="59" spans="1:232" x14ac:dyDescent="0.2">
      <c r="A59" s="74" t="s">
        <v>341</v>
      </c>
      <c r="B59" s="74" t="s">
        <v>342</v>
      </c>
      <c r="C59" s="75" t="s">
        <v>200</v>
      </c>
      <c r="D59" s="75">
        <v>12</v>
      </c>
      <c r="E59" s="76">
        <v>101204</v>
      </c>
      <c r="F59" s="76">
        <v>-2854</v>
      </c>
      <c r="G59" s="76">
        <v>-66322</v>
      </c>
      <c r="H59" s="76">
        <v>32028</v>
      </c>
      <c r="I59" s="76">
        <v>2067</v>
      </c>
      <c r="J59" s="76">
        <v>0</v>
      </c>
      <c r="K59" s="76">
        <v>0</v>
      </c>
      <c r="L59" s="76">
        <v>0</v>
      </c>
      <c r="M59" s="76">
        <v>353</v>
      </c>
      <c r="N59" s="76">
        <v>-21014</v>
      </c>
      <c r="O59" s="76">
        <v>0</v>
      </c>
      <c r="P59" s="76">
        <v>0</v>
      </c>
      <c r="Q59" s="76">
        <v>0</v>
      </c>
      <c r="R59" s="76">
        <v>0</v>
      </c>
      <c r="S59" s="76">
        <v>13434</v>
      </c>
      <c r="T59" s="76">
        <v>-79</v>
      </c>
      <c r="U59" s="76">
        <v>13355</v>
      </c>
      <c r="V59" s="76">
        <v>0</v>
      </c>
      <c r="W59" s="76">
        <v>-484</v>
      </c>
      <c r="X59" s="76">
        <v>0</v>
      </c>
      <c r="Y59" s="76">
        <v>0</v>
      </c>
      <c r="Z59" s="76">
        <v>12871</v>
      </c>
      <c r="AA59" s="76">
        <v>70746</v>
      </c>
      <c r="AB59" s="76">
        <v>8034</v>
      </c>
      <c r="AC59" s="76">
        <v>78780</v>
      </c>
      <c r="AD59" s="76">
        <v>2219</v>
      </c>
      <c r="AE59" s="76">
        <v>0</v>
      </c>
      <c r="AF59" s="76">
        <v>0</v>
      </c>
      <c r="AG59" s="76">
        <v>37</v>
      </c>
      <c r="AH59" s="76">
        <v>81036</v>
      </c>
      <c r="AI59" s="76">
        <v>18154</v>
      </c>
      <c r="AJ59" s="76">
        <v>6680</v>
      </c>
      <c r="AK59" s="76">
        <v>10482</v>
      </c>
      <c r="AL59" s="76">
        <v>3148</v>
      </c>
      <c r="AM59" s="76">
        <v>154</v>
      </c>
      <c r="AN59" s="76">
        <v>150</v>
      </c>
      <c r="AO59" s="76">
        <v>13002</v>
      </c>
      <c r="AP59" s="76">
        <v>198</v>
      </c>
      <c r="AQ59" s="76">
        <v>104</v>
      </c>
      <c r="AR59" s="76">
        <v>52072</v>
      </c>
      <c r="AS59" s="76">
        <v>28964</v>
      </c>
      <c r="AT59" s="76">
        <v>1067</v>
      </c>
      <c r="AU59" s="76">
        <v>722864</v>
      </c>
      <c r="AV59" s="76">
        <v>0</v>
      </c>
      <c r="AW59" s="76">
        <v>10482</v>
      </c>
      <c r="AX59" s="76">
        <v>0</v>
      </c>
      <c r="AY59" s="76">
        <v>6711</v>
      </c>
      <c r="AZ59" s="76">
        <v>0</v>
      </c>
      <c r="BA59" s="76">
        <v>0</v>
      </c>
      <c r="BB59" s="76">
        <v>0</v>
      </c>
      <c r="BC59" s="76">
        <v>0</v>
      </c>
      <c r="BD59" s="76">
        <v>1450</v>
      </c>
      <c r="BE59" s="76">
        <v>741507</v>
      </c>
      <c r="BF59" s="76">
        <v>2149</v>
      </c>
      <c r="BG59" s="76">
        <v>5778</v>
      </c>
      <c r="BH59" s="76">
        <v>13309</v>
      </c>
      <c r="BI59" s="76">
        <v>26873</v>
      </c>
      <c r="BJ59" s="76">
        <v>0</v>
      </c>
      <c r="BK59" s="76">
        <v>48109</v>
      </c>
      <c r="BL59" s="76">
        <v>10176</v>
      </c>
      <c r="BM59" s="76">
        <v>0</v>
      </c>
      <c r="BN59" s="76">
        <v>0</v>
      </c>
      <c r="BO59" s="76">
        <v>16283</v>
      </c>
      <c r="BP59" s="76">
        <v>26459</v>
      </c>
      <c r="BQ59" s="76">
        <v>21650</v>
      </c>
      <c r="BR59" s="76">
        <v>763157</v>
      </c>
      <c r="BS59" s="76">
        <v>387947</v>
      </c>
      <c r="BT59" s="76">
        <v>0</v>
      </c>
      <c r="BU59" s="76">
        <v>0</v>
      </c>
      <c r="BV59" s="76">
        <v>202280</v>
      </c>
      <c r="BW59" s="76">
        <v>6711</v>
      </c>
      <c r="BX59" s="76">
        <v>0</v>
      </c>
      <c r="BY59" s="76">
        <v>6055</v>
      </c>
      <c r="BZ59" s="76">
        <v>602993</v>
      </c>
      <c r="CA59" s="76">
        <v>6461</v>
      </c>
      <c r="CB59" s="76">
        <v>568</v>
      </c>
      <c r="CC59" s="76">
        <v>153135</v>
      </c>
      <c r="CD59" s="76">
        <v>150828</v>
      </c>
      <c r="CE59" s="76">
        <v>0</v>
      </c>
      <c r="CF59" s="76">
        <v>979</v>
      </c>
      <c r="CG59" s="76">
        <v>0</v>
      </c>
      <c r="CH59" s="76">
        <v>1328</v>
      </c>
      <c r="CI59" s="76">
        <v>153135</v>
      </c>
      <c r="CJ59" s="76">
        <v>3857</v>
      </c>
      <c r="CK59" s="76">
        <v>2854</v>
      </c>
      <c r="CL59" s="76">
        <v>0</v>
      </c>
      <c r="CM59" s="76">
        <v>1003</v>
      </c>
      <c r="CN59" s="76">
        <v>14373</v>
      </c>
      <c r="CO59" s="76">
        <v>0</v>
      </c>
      <c r="CP59" s="76">
        <v>14090</v>
      </c>
      <c r="CQ59" s="76">
        <v>283</v>
      </c>
      <c r="CR59" s="76">
        <v>0</v>
      </c>
      <c r="CS59" s="76">
        <v>0</v>
      </c>
      <c r="CT59" s="76">
        <v>0</v>
      </c>
      <c r="CU59" s="76">
        <v>0</v>
      </c>
      <c r="CV59" s="76">
        <v>0</v>
      </c>
      <c r="CW59" s="76">
        <v>0</v>
      </c>
      <c r="CX59" s="76">
        <v>0</v>
      </c>
      <c r="CY59" s="76">
        <v>0</v>
      </c>
      <c r="CZ59" s="76">
        <v>1938</v>
      </c>
      <c r="DA59" s="76">
        <v>0</v>
      </c>
      <c r="DB59" s="76">
        <v>160</v>
      </c>
      <c r="DC59" s="76">
        <v>1778</v>
      </c>
      <c r="DD59" s="76">
        <v>20168</v>
      </c>
      <c r="DE59" s="76">
        <v>2854</v>
      </c>
      <c r="DF59" s="76">
        <v>14250</v>
      </c>
      <c r="DG59" s="76">
        <v>3064</v>
      </c>
      <c r="DH59" s="76">
        <v>0</v>
      </c>
      <c r="DI59" s="76">
        <v>0</v>
      </c>
      <c r="DJ59" s="76">
        <v>0</v>
      </c>
      <c r="DK59" s="76">
        <v>0</v>
      </c>
      <c r="DL59" s="76">
        <v>0</v>
      </c>
      <c r="DM59" s="76">
        <v>0</v>
      </c>
      <c r="DN59" s="76">
        <v>0</v>
      </c>
      <c r="DO59" s="76">
        <v>0</v>
      </c>
      <c r="DP59" s="76">
        <v>0</v>
      </c>
      <c r="DQ59" s="76">
        <v>0</v>
      </c>
      <c r="DR59" s="76">
        <v>0</v>
      </c>
      <c r="DS59" s="76">
        <v>0</v>
      </c>
      <c r="DT59" s="76">
        <v>0</v>
      </c>
      <c r="DU59" s="76">
        <v>0</v>
      </c>
      <c r="DV59" s="76">
        <v>0</v>
      </c>
      <c r="DW59" s="76">
        <v>0</v>
      </c>
      <c r="DX59" s="76">
        <v>0</v>
      </c>
      <c r="DY59" s="76">
        <v>0</v>
      </c>
      <c r="DZ59" s="76">
        <v>0</v>
      </c>
      <c r="EA59" s="76">
        <v>0</v>
      </c>
      <c r="EB59" s="76">
        <v>0</v>
      </c>
      <c r="EC59" s="76">
        <v>0</v>
      </c>
      <c r="ED59" s="76">
        <v>0</v>
      </c>
      <c r="EE59" s="76">
        <v>0</v>
      </c>
      <c r="EF59" s="76">
        <v>0</v>
      </c>
      <c r="EG59" s="76">
        <v>0</v>
      </c>
      <c r="EH59" s="76">
        <v>0</v>
      </c>
      <c r="EI59" s="76">
        <v>0</v>
      </c>
      <c r="EJ59" s="76">
        <v>20168</v>
      </c>
      <c r="EK59" s="76">
        <v>2854</v>
      </c>
      <c r="EL59" s="76">
        <v>14250</v>
      </c>
      <c r="EM59" s="76">
        <v>3064</v>
      </c>
      <c r="EN59" s="76">
        <v>2746</v>
      </c>
      <c r="EO59" s="76">
        <v>1588</v>
      </c>
      <c r="EP59" s="76">
        <v>1372</v>
      </c>
      <c r="EQ59" s="76">
        <v>1588</v>
      </c>
      <c r="ER59" s="76">
        <v>784871</v>
      </c>
      <c r="ES59" s="76">
        <v>0</v>
      </c>
      <c r="ET59" s="76">
        <v>784871</v>
      </c>
      <c r="EU59" s="76">
        <v>50955</v>
      </c>
      <c r="EV59" s="76">
        <v>-7971</v>
      </c>
      <c r="EW59" s="76">
        <v>0</v>
      </c>
      <c r="EX59" s="76">
        <v>0</v>
      </c>
      <c r="EY59" s="76">
        <v>-1</v>
      </c>
      <c r="EZ59" s="76">
        <v>827854</v>
      </c>
      <c r="FA59" s="76">
        <v>92897</v>
      </c>
      <c r="FB59" s="76">
        <v>13265</v>
      </c>
      <c r="FC59" s="76">
        <v>0</v>
      </c>
      <c r="FD59" s="76">
        <v>0</v>
      </c>
      <c r="FE59" s="76">
        <v>-1171</v>
      </c>
      <c r="FF59" s="76">
        <v>0</v>
      </c>
      <c r="FG59" s="76">
        <v>-1</v>
      </c>
      <c r="FH59" s="76">
        <v>104990</v>
      </c>
      <c r="FI59" s="76">
        <v>722864</v>
      </c>
      <c r="FJ59" s="76">
        <v>691974</v>
      </c>
      <c r="FK59" s="76">
        <v>2476</v>
      </c>
      <c r="FL59" s="76">
        <v>1570</v>
      </c>
      <c r="FM59" s="76">
        <v>906</v>
      </c>
      <c r="FN59" s="76">
        <v>1323</v>
      </c>
      <c r="FO59" s="76">
        <v>644</v>
      </c>
      <c r="FP59" s="76">
        <v>679</v>
      </c>
      <c r="FQ59" s="76">
        <v>126</v>
      </c>
      <c r="FR59" s="76">
        <v>124</v>
      </c>
      <c r="FS59" s="76">
        <v>2</v>
      </c>
      <c r="FT59" s="76">
        <v>1189</v>
      </c>
      <c r="FU59" s="76">
        <v>548</v>
      </c>
      <c r="FV59" s="76">
        <v>641</v>
      </c>
      <c r="FW59" s="76">
        <v>1331</v>
      </c>
      <c r="FX59" s="76">
        <v>1340</v>
      </c>
      <c r="FY59" s="76">
        <v>-9</v>
      </c>
      <c r="FZ59" s="76">
        <v>372</v>
      </c>
      <c r="GA59" s="76">
        <v>524</v>
      </c>
      <c r="GB59" s="76">
        <v>-152</v>
      </c>
      <c r="GC59" s="76">
        <v>6817</v>
      </c>
      <c r="GD59" s="76">
        <v>4750</v>
      </c>
      <c r="GE59" s="76">
        <v>2067</v>
      </c>
      <c r="GF59" s="76">
        <v>0</v>
      </c>
      <c r="GG59" s="76">
        <v>0</v>
      </c>
      <c r="GH59" s="76">
        <v>0</v>
      </c>
      <c r="GI59" s="76">
        <v>0</v>
      </c>
      <c r="GJ59" s="76">
        <v>0</v>
      </c>
      <c r="GK59" s="76">
        <v>0</v>
      </c>
      <c r="GL59" s="76">
        <v>0</v>
      </c>
      <c r="GM59" s="76">
        <v>4659</v>
      </c>
      <c r="GN59" s="76">
        <v>2680</v>
      </c>
      <c r="GO59" s="76">
        <v>0</v>
      </c>
      <c r="GP59" s="76">
        <v>0</v>
      </c>
      <c r="GQ59" s="76">
        <v>396</v>
      </c>
      <c r="GR59" s="76">
        <v>6993</v>
      </c>
      <c r="GS59" s="76">
        <v>0</v>
      </c>
      <c r="GT59" s="76">
        <v>0</v>
      </c>
      <c r="GU59" s="76">
        <v>671</v>
      </c>
      <c r="GV59" s="76">
        <v>0</v>
      </c>
      <c r="GW59" s="76">
        <v>884</v>
      </c>
      <c r="GX59" s="76">
        <v>16283</v>
      </c>
      <c r="GY59" s="76">
        <v>1406</v>
      </c>
      <c r="GZ59" s="76">
        <v>0</v>
      </c>
      <c r="HA59" s="76">
        <v>4649</v>
      </c>
      <c r="HB59" s="76">
        <v>0</v>
      </c>
      <c r="HC59" s="76">
        <v>6055</v>
      </c>
      <c r="HD59" s="76">
        <v>0</v>
      </c>
      <c r="HE59" s="76">
        <v>568</v>
      </c>
      <c r="HF59" s="76">
        <v>568</v>
      </c>
      <c r="HG59" s="76">
        <v>21180</v>
      </c>
      <c r="HH59" s="76">
        <v>428</v>
      </c>
      <c r="HI59" s="76">
        <v>466</v>
      </c>
      <c r="HJ59" s="76">
        <v>4</v>
      </c>
      <c r="HK59" s="76">
        <v>0</v>
      </c>
      <c r="HL59" s="76">
        <v>-1064</v>
      </c>
      <c r="HM59" s="76">
        <v>21014</v>
      </c>
      <c r="HN59" s="76">
        <v>8322</v>
      </c>
      <c r="HO59" s="76">
        <v>14484</v>
      </c>
      <c r="HP59" s="76">
        <v>198</v>
      </c>
      <c r="HQ59" s="76">
        <v>427</v>
      </c>
      <c r="HR59" s="76">
        <v>-81</v>
      </c>
      <c r="HS59" s="76">
        <v>-49</v>
      </c>
      <c r="HT59" s="76">
        <v>18913</v>
      </c>
      <c r="HU59" s="76">
        <v>43</v>
      </c>
      <c r="HV59" s="76">
        <v>-2</v>
      </c>
      <c r="HW59" s="76">
        <v>0</v>
      </c>
      <c r="HX59" s="76">
        <v>931</v>
      </c>
    </row>
    <row r="60" spans="1:232" x14ac:dyDescent="0.2">
      <c r="A60" s="74" t="s">
        <v>347</v>
      </c>
      <c r="B60" s="74" t="s">
        <v>348</v>
      </c>
      <c r="C60" s="75" t="s">
        <v>200</v>
      </c>
      <c r="D60" s="75">
        <v>12</v>
      </c>
      <c r="E60" s="76">
        <v>10214</v>
      </c>
      <c r="F60" s="76">
        <v>0</v>
      </c>
      <c r="G60" s="76">
        <v>-7132</v>
      </c>
      <c r="H60" s="76">
        <v>3082</v>
      </c>
      <c r="I60" s="76">
        <v>446</v>
      </c>
      <c r="J60" s="76">
        <v>0</v>
      </c>
      <c r="K60" s="76">
        <v>0</v>
      </c>
      <c r="L60" s="76">
        <v>0</v>
      </c>
      <c r="M60" s="76">
        <v>0</v>
      </c>
      <c r="N60" s="76">
        <v>-2169</v>
      </c>
      <c r="O60" s="76">
        <v>30</v>
      </c>
      <c r="P60" s="76">
        <v>0</v>
      </c>
      <c r="Q60" s="76">
        <v>0</v>
      </c>
      <c r="R60" s="76">
        <v>1895</v>
      </c>
      <c r="S60" s="76">
        <v>3284</v>
      </c>
      <c r="T60" s="76">
        <v>0</v>
      </c>
      <c r="U60" s="76">
        <v>3284</v>
      </c>
      <c r="V60" s="76">
        <v>0</v>
      </c>
      <c r="W60" s="76">
        <v>-1211</v>
      </c>
      <c r="X60" s="76">
        <v>0</v>
      </c>
      <c r="Y60" s="76">
        <v>0</v>
      </c>
      <c r="Z60" s="76">
        <v>2073</v>
      </c>
      <c r="AA60" s="76">
        <v>8777</v>
      </c>
      <c r="AB60" s="76">
        <v>337</v>
      </c>
      <c r="AC60" s="76">
        <v>9114</v>
      </c>
      <c r="AD60" s="76">
        <v>0</v>
      </c>
      <c r="AE60" s="76">
        <v>0</v>
      </c>
      <c r="AF60" s="76">
        <v>0</v>
      </c>
      <c r="AG60" s="76">
        <v>0</v>
      </c>
      <c r="AH60" s="76">
        <v>9114</v>
      </c>
      <c r="AI60" s="76">
        <v>2476</v>
      </c>
      <c r="AJ60" s="76">
        <v>92</v>
      </c>
      <c r="AK60" s="76">
        <v>1600</v>
      </c>
      <c r="AL60" s="76">
        <v>218</v>
      </c>
      <c r="AM60" s="76">
        <v>0</v>
      </c>
      <c r="AN60" s="76">
        <v>50</v>
      </c>
      <c r="AO60" s="76">
        <v>1371</v>
      </c>
      <c r="AP60" s="76">
        <v>0</v>
      </c>
      <c r="AQ60" s="76">
        <v>269</v>
      </c>
      <c r="AR60" s="76">
        <v>6076</v>
      </c>
      <c r="AS60" s="76">
        <v>3038</v>
      </c>
      <c r="AT60" s="76">
        <v>117</v>
      </c>
      <c r="AU60" s="76">
        <v>0</v>
      </c>
      <c r="AV60" s="76">
        <v>63516</v>
      </c>
      <c r="AW60" s="76">
        <v>959</v>
      </c>
      <c r="AX60" s="76">
        <v>0</v>
      </c>
      <c r="AY60" s="76">
        <v>0</v>
      </c>
      <c r="AZ60" s="76">
        <v>580</v>
      </c>
      <c r="BA60" s="76">
        <v>0</v>
      </c>
      <c r="BB60" s="76">
        <v>0</v>
      </c>
      <c r="BC60" s="76">
        <v>0</v>
      </c>
      <c r="BD60" s="76">
        <v>0</v>
      </c>
      <c r="BE60" s="76">
        <v>65055</v>
      </c>
      <c r="BF60" s="76">
        <v>0</v>
      </c>
      <c r="BG60" s="76">
        <v>694</v>
      </c>
      <c r="BH60" s="76">
        <v>307</v>
      </c>
      <c r="BI60" s="76">
        <v>0</v>
      </c>
      <c r="BJ60" s="76">
        <v>0</v>
      </c>
      <c r="BK60" s="76">
        <v>1001</v>
      </c>
      <c r="BL60" s="76">
        <v>0</v>
      </c>
      <c r="BM60" s="76">
        <v>0</v>
      </c>
      <c r="BN60" s="76">
        <v>0</v>
      </c>
      <c r="BO60" s="76">
        <v>1355</v>
      </c>
      <c r="BP60" s="76">
        <v>1355</v>
      </c>
      <c r="BQ60" s="76">
        <v>-354</v>
      </c>
      <c r="BR60" s="76">
        <v>64701</v>
      </c>
      <c r="BS60" s="76">
        <v>42343</v>
      </c>
      <c r="BT60" s="76">
        <v>0</v>
      </c>
      <c r="BU60" s="76">
        <v>0</v>
      </c>
      <c r="BV60" s="76">
        <v>0</v>
      </c>
      <c r="BW60" s="76">
        <v>0</v>
      </c>
      <c r="BX60" s="76">
        <v>0</v>
      </c>
      <c r="BY60" s="76">
        <v>1097</v>
      </c>
      <c r="BZ60" s="76">
        <v>43440</v>
      </c>
      <c r="CA60" s="76">
        <v>2919</v>
      </c>
      <c r="CB60" s="76">
        <v>0</v>
      </c>
      <c r="CC60" s="76">
        <v>18342</v>
      </c>
      <c r="CD60" s="76">
        <v>18342</v>
      </c>
      <c r="CE60" s="76">
        <v>0</v>
      </c>
      <c r="CF60" s="76">
        <v>0</v>
      </c>
      <c r="CG60" s="76">
        <v>0</v>
      </c>
      <c r="CH60" s="76">
        <v>0</v>
      </c>
      <c r="CI60" s="76">
        <v>18342</v>
      </c>
      <c r="CJ60" s="76">
        <v>0</v>
      </c>
      <c r="CK60" s="76">
        <v>0</v>
      </c>
      <c r="CL60" s="76">
        <v>0</v>
      </c>
      <c r="CM60" s="76">
        <v>0</v>
      </c>
      <c r="CN60" s="76">
        <v>130</v>
      </c>
      <c r="CO60" s="76">
        <v>0</v>
      </c>
      <c r="CP60" s="76">
        <v>130</v>
      </c>
      <c r="CQ60" s="76">
        <v>0</v>
      </c>
      <c r="CR60" s="76">
        <v>0</v>
      </c>
      <c r="CS60" s="76">
        <v>0</v>
      </c>
      <c r="CT60" s="76">
        <v>0</v>
      </c>
      <c r="CU60" s="76">
        <v>0</v>
      </c>
      <c r="CV60" s="76">
        <v>0</v>
      </c>
      <c r="CW60" s="76">
        <v>0</v>
      </c>
      <c r="CX60" s="76">
        <v>0</v>
      </c>
      <c r="CY60" s="76">
        <v>0</v>
      </c>
      <c r="CZ60" s="76">
        <v>449</v>
      </c>
      <c r="DA60" s="76">
        <v>0</v>
      </c>
      <c r="DB60" s="76">
        <v>449</v>
      </c>
      <c r="DC60" s="76">
        <v>0</v>
      </c>
      <c r="DD60" s="76">
        <v>579</v>
      </c>
      <c r="DE60" s="76">
        <v>0</v>
      </c>
      <c r="DF60" s="76">
        <v>579</v>
      </c>
      <c r="DG60" s="76">
        <v>0</v>
      </c>
      <c r="DH60" s="76">
        <v>0</v>
      </c>
      <c r="DI60" s="76">
        <v>0</v>
      </c>
      <c r="DJ60" s="76">
        <v>0</v>
      </c>
      <c r="DK60" s="76">
        <v>0</v>
      </c>
      <c r="DL60" s="76">
        <v>0</v>
      </c>
      <c r="DM60" s="76">
        <v>0</v>
      </c>
      <c r="DN60" s="76">
        <v>0</v>
      </c>
      <c r="DO60" s="76">
        <v>0</v>
      </c>
      <c r="DP60" s="76">
        <v>0</v>
      </c>
      <c r="DQ60" s="76">
        <v>0</v>
      </c>
      <c r="DR60" s="76">
        <v>0</v>
      </c>
      <c r="DS60" s="76">
        <v>0</v>
      </c>
      <c r="DT60" s="76">
        <v>41</v>
      </c>
      <c r="DU60" s="76">
        <v>0</v>
      </c>
      <c r="DV60" s="76">
        <v>41</v>
      </c>
      <c r="DW60" s="76">
        <v>0</v>
      </c>
      <c r="DX60" s="76">
        <v>398</v>
      </c>
      <c r="DY60" s="76">
        <v>0</v>
      </c>
      <c r="DZ60" s="76">
        <v>436</v>
      </c>
      <c r="EA60" s="76">
        <v>-38</v>
      </c>
      <c r="EB60" s="76">
        <v>82</v>
      </c>
      <c r="EC60" s="76">
        <v>0</v>
      </c>
      <c r="ED60" s="76">
        <v>0</v>
      </c>
      <c r="EE60" s="76">
        <v>82</v>
      </c>
      <c r="EF60" s="76">
        <v>521</v>
      </c>
      <c r="EG60" s="76">
        <v>0</v>
      </c>
      <c r="EH60" s="76">
        <v>477</v>
      </c>
      <c r="EI60" s="76">
        <v>44</v>
      </c>
      <c r="EJ60" s="76">
        <v>1100</v>
      </c>
      <c r="EK60" s="76">
        <v>0</v>
      </c>
      <c r="EL60" s="76">
        <v>1056</v>
      </c>
      <c r="EM60" s="76">
        <v>44</v>
      </c>
      <c r="EN60" s="76">
        <v>155</v>
      </c>
      <c r="EO60" s="76">
        <v>86</v>
      </c>
      <c r="EP60" s="76">
        <v>21</v>
      </c>
      <c r="EQ60" s="76">
        <v>86</v>
      </c>
      <c r="ER60" s="76">
        <v>0</v>
      </c>
      <c r="ES60" s="76">
        <v>75869</v>
      </c>
      <c r="ET60" s="76">
        <v>75869</v>
      </c>
      <c r="EU60" s="76">
        <v>2422</v>
      </c>
      <c r="EV60" s="76">
        <v>-1201</v>
      </c>
      <c r="EW60" s="76">
        <v>0</v>
      </c>
      <c r="EX60" s="76">
        <v>0</v>
      </c>
      <c r="EY60" s="76">
        <v>1896</v>
      </c>
      <c r="EZ60" s="76">
        <v>78986</v>
      </c>
      <c r="FA60" s="76">
        <v>14525</v>
      </c>
      <c r="FB60" s="76">
        <v>1371</v>
      </c>
      <c r="FC60" s="76">
        <v>0</v>
      </c>
      <c r="FD60" s="76">
        <v>0</v>
      </c>
      <c r="FE60" s="76">
        <v>-426</v>
      </c>
      <c r="FF60" s="76">
        <v>0</v>
      </c>
      <c r="FG60" s="76">
        <v>0</v>
      </c>
      <c r="FH60" s="76">
        <v>15470</v>
      </c>
      <c r="FI60" s="76">
        <v>63516</v>
      </c>
      <c r="FJ60" s="76">
        <v>61344</v>
      </c>
      <c r="FK60" s="76">
        <v>88</v>
      </c>
      <c r="FL60" s="76">
        <v>81</v>
      </c>
      <c r="FM60" s="76">
        <v>7</v>
      </c>
      <c r="FN60" s="76">
        <v>273</v>
      </c>
      <c r="FO60" s="76">
        <v>232</v>
      </c>
      <c r="FP60" s="76">
        <v>41</v>
      </c>
      <c r="FQ60" s="76">
        <v>151</v>
      </c>
      <c r="FR60" s="76">
        <v>238</v>
      </c>
      <c r="FS60" s="76">
        <v>-87</v>
      </c>
      <c r="FT60" s="76">
        <v>747</v>
      </c>
      <c r="FU60" s="76">
        <v>262</v>
      </c>
      <c r="FV60" s="76">
        <v>485</v>
      </c>
      <c r="FW60" s="76">
        <v>0</v>
      </c>
      <c r="FX60" s="76">
        <v>0</v>
      </c>
      <c r="FY60" s="76">
        <v>0</v>
      </c>
      <c r="FZ60" s="76">
        <v>0</v>
      </c>
      <c r="GA60" s="76">
        <v>0</v>
      </c>
      <c r="GB60" s="76">
        <v>0</v>
      </c>
      <c r="GC60" s="76">
        <v>1259</v>
      </c>
      <c r="GD60" s="76">
        <v>813</v>
      </c>
      <c r="GE60" s="76">
        <v>446</v>
      </c>
      <c r="GF60" s="76">
        <v>0</v>
      </c>
      <c r="GG60" s="76">
        <v>0</v>
      </c>
      <c r="GH60" s="76">
        <v>0</v>
      </c>
      <c r="GI60" s="76">
        <v>0</v>
      </c>
      <c r="GJ60" s="76">
        <v>0</v>
      </c>
      <c r="GK60" s="76">
        <v>0</v>
      </c>
      <c r="GL60" s="76">
        <v>0</v>
      </c>
      <c r="GM60" s="76">
        <v>299</v>
      </c>
      <c r="GN60" s="76">
        <v>70</v>
      </c>
      <c r="GO60" s="76">
        <v>0</v>
      </c>
      <c r="GP60" s="76">
        <v>241</v>
      </c>
      <c r="GQ60" s="76">
        <v>79</v>
      </c>
      <c r="GR60" s="76">
        <v>548</v>
      </c>
      <c r="GS60" s="76">
        <v>0</v>
      </c>
      <c r="GT60" s="76">
        <v>0</v>
      </c>
      <c r="GU60" s="76">
        <v>0</v>
      </c>
      <c r="GV60" s="76">
        <v>0</v>
      </c>
      <c r="GW60" s="76">
        <v>118</v>
      </c>
      <c r="GX60" s="76">
        <v>1355</v>
      </c>
      <c r="GY60" s="76">
        <v>104</v>
      </c>
      <c r="GZ60" s="76">
        <v>316</v>
      </c>
      <c r="HA60" s="76">
        <v>86</v>
      </c>
      <c r="HB60" s="76">
        <v>591</v>
      </c>
      <c r="HC60" s="76">
        <v>1097</v>
      </c>
      <c r="HD60" s="76">
        <v>0</v>
      </c>
      <c r="HE60" s="76">
        <v>0</v>
      </c>
      <c r="HF60" s="76">
        <v>0</v>
      </c>
      <c r="HG60" s="76">
        <v>0</v>
      </c>
      <c r="HH60" s="76">
        <v>0</v>
      </c>
      <c r="HI60" s="76">
        <v>60</v>
      </c>
      <c r="HJ60" s="76">
        <v>0</v>
      </c>
      <c r="HK60" s="76">
        <v>2168</v>
      </c>
      <c r="HL60" s="76">
        <v>-59</v>
      </c>
      <c r="HM60" s="76">
        <v>2169</v>
      </c>
      <c r="HN60" s="76">
        <v>1083</v>
      </c>
      <c r="HO60" s="76">
        <v>1444</v>
      </c>
      <c r="HP60" s="76">
        <v>0</v>
      </c>
      <c r="HQ60" s="76">
        <v>17</v>
      </c>
      <c r="HR60" s="76">
        <v>-16</v>
      </c>
      <c r="HS60" s="76">
        <v>2</v>
      </c>
      <c r="HT60" s="76">
        <v>1812</v>
      </c>
      <c r="HU60" s="76">
        <v>0</v>
      </c>
      <c r="HV60" s="76">
        <v>0</v>
      </c>
      <c r="HW60" s="76">
        <v>0</v>
      </c>
      <c r="HX60" s="76">
        <v>9</v>
      </c>
    </row>
    <row r="61" spans="1:232" x14ac:dyDescent="0.2">
      <c r="A61" s="74" t="s">
        <v>352</v>
      </c>
      <c r="B61" s="74" t="s">
        <v>353</v>
      </c>
      <c r="C61" s="75" t="s">
        <v>200</v>
      </c>
      <c r="D61" s="75">
        <v>12</v>
      </c>
      <c r="E61" s="76">
        <v>3917</v>
      </c>
      <c r="F61" s="76">
        <v>0</v>
      </c>
      <c r="G61" s="76">
        <v>-2214</v>
      </c>
      <c r="H61" s="76">
        <v>1703</v>
      </c>
      <c r="I61" s="76">
        <v>4</v>
      </c>
      <c r="J61" s="76">
        <v>0</v>
      </c>
      <c r="K61" s="76">
        <v>0</v>
      </c>
      <c r="L61" s="76">
        <v>0</v>
      </c>
      <c r="M61" s="76">
        <v>6</v>
      </c>
      <c r="N61" s="76">
        <v>-16</v>
      </c>
      <c r="O61" s="76">
        <v>0</v>
      </c>
      <c r="P61" s="76">
        <v>0</v>
      </c>
      <c r="Q61" s="76">
        <v>0</v>
      </c>
      <c r="R61" s="76">
        <v>0</v>
      </c>
      <c r="S61" s="76">
        <v>1697</v>
      </c>
      <c r="T61" s="76">
        <v>0</v>
      </c>
      <c r="U61" s="76">
        <v>1697</v>
      </c>
      <c r="V61" s="76">
        <v>0</v>
      </c>
      <c r="W61" s="76">
        <v>0</v>
      </c>
      <c r="X61" s="76">
        <v>0</v>
      </c>
      <c r="Y61" s="76">
        <v>0</v>
      </c>
      <c r="Z61" s="76">
        <v>1697</v>
      </c>
      <c r="AA61" s="76">
        <v>3781</v>
      </c>
      <c r="AB61" s="76">
        <v>115</v>
      </c>
      <c r="AC61" s="76">
        <v>3896</v>
      </c>
      <c r="AD61" s="76">
        <v>21</v>
      </c>
      <c r="AE61" s="76">
        <v>0</v>
      </c>
      <c r="AF61" s="76">
        <v>0</v>
      </c>
      <c r="AG61" s="76">
        <v>0</v>
      </c>
      <c r="AH61" s="76">
        <v>3917</v>
      </c>
      <c r="AI61" s="76">
        <v>1056</v>
      </c>
      <c r="AJ61" s="76">
        <v>113</v>
      </c>
      <c r="AK61" s="76">
        <v>380</v>
      </c>
      <c r="AL61" s="76">
        <v>0</v>
      </c>
      <c r="AM61" s="76">
        <v>149</v>
      </c>
      <c r="AN61" s="76">
        <v>13</v>
      </c>
      <c r="AO61" s="76">
        <v>503</v>
      </c>
      <c r="AP61" s="76">
        <v>0</v>
      </c>
      <c r="AQ61" s="76">
        <v>0</v>
      </c>
      <c r="AR61" s="76">
        <v>2214</v>
      </c>
      <c r="AS61" s="76">
        <v>1703</v>
      </c>
      <c r="AT61" s="76">
        <v>24</v>
      </c>
      <c r="AU61" s="76">
        <v>23538</v>
      </c>
      <c r="AV61" s="76">
        <v>0</v>
      </c>
      <c r="AW61" s="76">
        <v>128</v>
      </c>
      <c r="AX61" s="76">
        <v>0</v>
      </c>
      <c r="AY61" s="76">
        <v>0</v>
      </c>
      <c r="AZ61" s="76">
        <v>0</v>
      </c>
      <c r="BA61" s="76">
        <v>0</v>
      </c>
      <c r="BB61" s="76">
        <v>0</v>
      </c>
      <c r="BC61" s="76">
        <v>0</v>
      </c>
      <c r="BD61" s="76">
        <v>0</v>
      </c>
      <c r="BE61" s="76">
        <v>23666</v>
      </c>
      <c r="BF61" s="76">
        <v>0</v>
      </c>
      <c r="BG61" s="76">
        <v>204</v>
      </c>
      <c r="BH61" s="76">
        <v>1258</v>
      </c>
      <c r="BI61" s="76">
        <v>513</v>
      </c>
      <c r="BJ61" s="76">
        <v>0</v>
      </c>
      <c r="BK61" s="76">
        <v>1975</v>
      </c>
      <c r="BL61" s="76">
        <v>0</v>
      </c>
      <c r="BM61" s="76">
        <v>0</v>
      </c>
      <c r="BN61" s="76">
        <v>21</v>
      </c>
      <c r="BO61" s="76">
        <v>497</v>
      </c>
      <c r="BP61" s="76">
        <v>518</v>
      </c>
      <c r="BQ61" s="76">
        <v>1457</v>
      </c>
      <c r="BR61" s="76">
        <v>25123</v>
      </c>
      <c r="BS61" s="76">
        <v>0</v>
      </c>
      <c r="BT61" s="76">
        <v>0</v>
      </c>
      <c r="BU61" s="76">
        <v>0</v>
      </c>
      <c r="BV61" s="76">
        <v>2054</v>
      </c>
      <c r="BW61" s="76">
        <v>0</v>
      </c>
      <c r="BX61" s="76">
        <v>0</v>
      </c>
      <c r="BY61" s="76">
        <v>0</v>
      </c>
      <c r="BZ61" s="76">
        <v>2054</v>
      </c>
      <c r="CA61" s="76">
        <v>470</v>
      </c>
      <c r="CB61" s="76">
        <v>0</v>
      </c>
      <c r="CC61" s="76">
        <v>22599</v>
      </c>
      <c r="CD61" s="76">
        <v>12074</v>
      </c>
      <c r="CE61" s="76">
        <v>10525</v>
      </c>
      <c r="CF61" s="76">
        <v>0</v>
      </c>
      <c r="CG61" s="76">
        <v>0</v>
      </c>
      <c r="CH61" s="76">
        <v>0</v>
      </c>
      <c r="CI61" s="76">
        <v>22599</v>
      </c>
      <c r="CJ61" s="76">
        <v>0</v>
      </c>
      <c r="CK61" s="76">
        <v>0</v>
      </c>
      <c r="CL61" s="76">
        <v>0</v>
      </c>
      <c r="CM61" s="76">
        <v>0</v>
      </c>
      <c r="CN61" s="76">
        <v>0</v>
      </c>
      <c r="CO61" s="76">
        <v>0</v>
      </c>
      <c r="CP61" s="76">
        <v>0</v>
      </c>
      <c r="CQ61" s="76">
        <v>0</v>
      </c>
      <c r="CR61" s="76">
        <v>0</v>
      </c>
      <c r="CS61" s="76">
        <v>0</v>
      </c>
      <c r="CT61" s="76">
        <v>0</v>
      </c>
      <c r="CU61" s="76">
        <v>0</v>
      </c>
      <c r="CV61" s="76">
        <v>0</v>
      </c>
      <c r="CW61" s="76">
        <v>0</v>
      </c>
      <c r="CX61" s="76">
        <v>0</v>
      </c>
      <c r="CY61" s="76">
        <v>0</v>
      </c>
      <c r="CZ61" s="76">
        <v>0</v>
      </c>
      <c r="DA61" s="76">
        <v>0</v>
      </c>
      <c r="DB61" s="76">
        <v>0</v>
      </c>
      <c r="DC61" s="76">
        <v>0</v>
      </c>
      <c r="DD61" s="76">
        <v>0</v>
      </c>
      <c r="DE61" s="76">
        <v>0</v>
      </c>
      <c r="DF61" s="76">
        <v>0</v>
      </c>
      <c r="DG61" s="76">
        <v>0</v>
      </c>
      <c r="DH61" s="76">
        <v>0</v>
      </c>
      <c r="DI61" s="76">
        <v>0</v>
      </c>
      <c r="DJ61" s="76">
        <v>0</v>
      </c>
      <c r="DK61" s="76">
        <v>0</v>
      </c>
      <c r="DL61" s="76">
        <v>0</v>
      </c>
      <c r="DM61" s="76">
        <v>0</v>
      </c>
      <c r="DN61" s="76">
        <v>0</v>
      </c>
      <c r="DO61" s="76">
        <v>0</v>
      </c>
      <c r="DP61" s="76">
        <v>0</v>
      </c>
      <c r="DQ61" s="76">
        <v>0</v>
      </c>
      <c r="DR61" s="76">
        <v>0</v>
      </c>
      <c r="DS61" s="76">
        <v>0</v>
      </c>
      <c r="DT61" s="76">
        <v>0</v>
      </c>
      <c r="DU61" s="76">
        <v>0</v>
      </c>
      <c r="DV61" s="76">
        <v>0</v>
      </c>
      <c r="DW61" s="76">
        <v>0</v>
      </c>
      <c r="DX61" s="76">
        <v>0</v>
      </c>
      <c r="DY61" s="76">
        <v>0</v>
      </c>
      <c r="DZ61" s="76">
        <v>0</v>
      </c>
      <c r="EA61" s="76">
        <v>0</v>
      </c>
      <c r="EB61" s="76">
        <v>0</v>
      </c>
      <c r="EC61" s="76">
        <v>0</v>
      </c>
      <c r="ED61" s="76">
        <v>0</v>
      </c>
      <c r="EE61" s="76">
        <v>0</v>
      </c>
      <c r="EF61" s="76">
        <v>0</v>
      </c>
      <c r="EG61" s="76">
        <v>0</v>
      </c>
      <c r="EH61" s="76">
        <v>0</v>
      </c>
      <c r="EI61" s="76">
        <v>0</v>
      </c>
      <c r="EJ61" s="76">
        <v>0</v>
      </c>
      <c r="EK61" s="76">
        <v>0</v>
      </c>
      <c r="EL61" s="76">
        <v>0</v>
      </c>
      <c r="EM61" s="76">
        <v>0</v>
      </c>
      <c r="EN61" s="76">
        <v>66</v>
      </c>
      <c r="EO61" s="76">
        <v>32</v>
      </c>
      <c r="EP61" s="76">
        <v>21</v>
      </c>
      <c r="EQ61" s="76">
        <v>32</v>
      </c>
      <c r="ER61" s="76">
        <v>25979</v>
      </c>
      <c r="ES61" s="76">
        <v>0</v>
      </c>
      <c r="ET61" s="76">
        <v>25979</v>
      </c>
      <c r="EU61" s="76">
        <v>3132</v>
      </c>
      <c r="EV61" s="76">
        <v>-76</v>
      </c>
      <c r="EW61" s="76">
        <v>0</v>
      </c>
      <c r="EX61" s="76">
        <v>0</v>
      </c>
      <c r="EY61" s="76">
        <v>0</v>
      </c>
      <c r="EZ61" s="76">
        <v>29035</v>
      </c>
      <c r="FA61" s="76">
        <v>5131</v>
      </c>
      <c r="FB61" s="76">
        <v>384</v>
      </c>
      <c r="FC61" s="76">
        <v>0</v>
      </c>
      <c r="FD61" s="76">
        <v>0</v>
      </c>
      <c r="FE61" s="76">
        <v>-18</v>
      </c>
      <c r="FF61" s="76">
        <v>0</v>
      </c>
      <c r="FG61" s="76">
        <v>0</v>
      </c>
      <c r="FH61" s="76">
        <v>5497</v>
      </c>
      <c r="FI61" s="76">
        <v>23538</v>
      </c>
      <c r="FJ61" s="76">
        <v>20848</v>
      </c>
      <c r="FK61" s="76">
        <v>0</v>
      </c>
      <c r="FL61" s="76">
        <v>0</v>
      </c>
      <c r="FM61" s="76">
        <v>0</v>
      </c>
      <c r="FN61" s="76">
        <v>0</v>
      </c>
      <c r="FO61" s="76">
        <v>0</v>
      </c>
      <c r="FP61" s="76">
        <v>0</v>
      </c>
      <c r="FQ61" s="76">
        <v>152</v>
      </c>
      <c r="FR61" s="76">
        <v>148</v>
      </c>
      <c r="FS61" s="76">
        <v>4</v>
      </c>
      <c r="FT61" s="76">
        <v>0</v>
      </c>
      <c r="FU61" s="76">
        <v>0</v>
      </c>
      <c r="FV61" s="76">
        <v>0</v>
      </c>
      <c r="FW61" s="76">
        <v>0</v>
      </c>
      <c r="FX61" s="76">
        <v>0</v>
      </c>
      <c r="FY61" s="76">
        <v>0</v>
      </c>
      <c r="FZ61" s="76">
        <v>0</v>
      </c>
      <c r="GA61" s="76">
        <v>0</v>
      </c>
      <c r="GB61" s="76">
        <v>0</v>
      </c>
      <c r="GC61" s="76">
        <v>152</v>
      </c>
      <c r="GD61" s="76">
        <v>148</v>
      </c>
      <c r="GE61" s="76">
        <v>4</v>
      </c>
      <c r="GF61" s="76">
        <v>0</v>
      </c>
      <c r="GG61" s="76">
        <v>0</v>
      </c>
      <c r="GH61" s="76">
        <v>0</v>
      </c>
      <c r="GI61" s="76">
        <v>0</v>
      </c>
      <c r="GJ61" s="76">
        <v>0</v>
      </c>
      <c r="GK61" s="76">
        <v>0</v>
      </c>
      <c r="GL61" s="76">
        <v>0</v>
      </c>
      <c r="GM61" s="76">
        <v>116</v>
      </c>
      <c r="GN61" s="76">
        <v>94</v>
      </c>
      <c r="GO61" s="76">
        <v>0</v>
      </c>
      <c r="GP61" s="76">
        <v>0</v>
      </c>
      <c r="GQ61" s="76">
        <v>16</v>
      </c>
      <c r="GR61" s="76">
        <v>89</v>
      </c>
      <c r="GS61" s="76">
        <v>0</v>
      </c>
      <c r="GT61" s="76">
        <v>0</v>
      </c>
      <c r="GU61" s="76">
        <v>82</v>
      </c>
      <c r="GV61" s="76">
        <v>0</v>
      </c>
      <c r="GW61" s="76">
        <v>100</v>
      </c>
      <c r="GX61" s="76">
        <v>497</v>
      </c>
      <c r="GY61" s="76">
        <v>0</v>
      </c>
      <c r="GZ61" s="76">
        <v>0</v>
      </c>
      <c r="HA61" s="76">
        <v>0</v>
      </c>
      <c r="HB61" s="76">
        <v>0</v>
      </c>
      <c r="HC61" s="76">
        <v>0</v>
      </c>
      <c r="HD61" s="76">
        <v>0</v>
      </c>
      <c r="HE61" s="76">
        <v>0</v>
      </c>
      <c r="HF61" s="76">
        <v>0</v>
      </c>
      <c r="HG61" s="76">
        <v>0</v>
      </c>
      <c r="HH61" s="76">
        <v>0</v>
      </c>
      <c r="HI61" s="76">
        <v>11</v>
      </c>
      <c r="HJ61" s="76">
        <v>0</v>
      </c>
      <c r="HK61" s="76">
        <v>5</v>
      </c>
      <c r="HL61" s="76">
        <v>0</v>
      </c>
      <c r="HM61" s="76">
        <v>16</v>
      </c>
      <c r="HN61" s="76">
        <v>345</v>
      </c>
      <c r="HO61" s="76">
        <v>530</v>
      </c>
      <c r="HP61" s="76">
        <v>0</v>
      </c>
      <c r="HQ61" s="76">
        <v>32</v>
      </c>
      <c r="HR61" s="76">
        <v>-2</v>
      </c>
      <c r="HS61" s="76">
        <v>0</v>
      </c>
      <c r="HT61" s="76">
        <v>1096</v>
      </c>
      <c r="HU61" s="76">
        <v>0</v>
      </c>
      <c r="HV61" s="76">
        <v>0</v>
      </c>
      <c r="HW61" s="76">
        <v>0</v>
      </c>
      <c r="HX61" s="76">
        <v>0</v>
      </c>
    </row>
    <row r="62" spans="1:232" x14ac:dyDescent="0.2">
      <c r="A62" s="74" t="s">
        <v>356</v>
      </c>
      <c r="B62" s="74" t="s">
        <v>357</v>
      </c>
      <c r="C62" s="75" t="s">
        <v>200</v>
      </c>
      <c r="D62" s="75">
        <v>12</v>
      </c>
      <c r="E62" s="76">
        <v>5515</v>
      </c>
      <c r="F62" s="76">
        <v>0</v>
      </c>
      <c r="G62" s="76">
        <v>-4015</v>
      </c>
      <c r="H62" s="76">
        <v>1500</v>
      </c>
      <c r="I62" s="76">
        <v>26</v>
      </c>
      <c r="J62" s="76">
        <v>0</v>
      </c>
      <c r="K62" s="76">
        <v>-65</v>
      </c>
      <c r="L62" s="76">
        <v>0</v>
      </c>
      <c r="M62" s="76">
        <v>31</v>
      </c>
      <c r="N62" s="76">
        <v>-1288</v>
      </c>
      <c r="O62" s="76">
        <v>0</v>
      </c>
      <c r="P62" s="76">
        <v>0</v>
      </c>
      <c r="Q62" s="76">
        <v>0</v>
      </c>
      <c r="R62" s="76">
        <v>0</v>
      </c>
      <c r="S62" s="76">
        <v>204</v>
      </c>
      <c r="T62" s="76">
        <v>0</v>
      </c>
      <c r="U62" s="76">
        <v>204</v>
      </c>
      <c r="V62" s="76">
        <v>0</v>
      </c>
      <c r="W62" s="76">
        <v>0</v>
      </c>
      <c r="X62" s="76">
        <v>0</v>
      </c>
      <c r="Y62" s="76">
        <v>0</v>
      </c>
      <c r="Z62" s="76">
        <v>204</v>
      </c>
      <c r="AA62" s="76">
        <v>4782</v>
      </c>
      <c r="AB62" s="76">
        <v>206</v>
      </c>
      <c r="AC62" s="76">
        <v>4988</v>
      </c>
      <c r="AD62" s="76">
        <v>422</v>
      </c>
      <c r="AE62" s="76">
        <v>0</v>
      </c>
      <c r="AF62" s="76">
        <v>0</v>
      </c>
      <c r="AG62" s="76">
        <v>0</v>
      </c>
      <c r="AH62" s="76">
        <v>5410</v>
      </c>
      <c r="AI62" s="76">
        <v>901</v>
      </c>
      <c r="AJ62" s="76">
        <v>489</v>
      </c>
      <c r="AK62" s="76">
        <v>451</v>
      </c>
      <c r="AL62" s="76">
        <v>314</v>
      </c>
      <c r="AM62" s="76">
        <v>223</v>
      </c>
      <c r="AN62" s="76">
        <v>-22</v>
      </c>
      <c r="AO62" s="76">
        <v>1343</v>
      </c>
      <c r="AP62" s="76">
        <v>0</v>
      </c>
      <c r="AQ62" s="76">
        <v>0</v>
      </c>
      <c r="AR62" s="76">
        <v>3699</v>
      </c>
      <c r="AS62" s="76">
        <v>1711</v>
      </c>
      <c r="AT62" s="76">
        <v>15</v>
      </c>
      <c r="AU62" s="76">
        <v>77623</v>
      </c>
      <c r="AV62" s="76">
        <v>0</v>
      </c>
      <c r="AW62" s="76">
        <v>54</v>
      </c>
      <c r="AX62" s="76">
        <v>0</v>
      </c>
      <c r="AY62" s="76">
        <v>0</v>
      </c>
      <c r="AZ62" s="76">
        <v>0</v>
      </c>
      <c r="BA62" s="76">
        <v>0</v>
      </c>
      <c r="BB62" s="76">
        <v>0</v>
      </c>
      <c r="BC62" s="76">
        <v>0</v>
      </c>
      <c r="BD62" s="76">
        <v>0</v>
      </c>
      <c r="BE62" s="76">
        <v>77677</v>
      </c>
      <c r="BF62" s="76">
        <v>583</v>
      </c>
      <c r="BG62" s="76">
        <v>141</v>
      </c>
      <c r="BH62" s="76">
        <v>7652</v>
      </c>
      <c r="BI62" s="76">
        <v>0</v>
      </c>
      <c r="BJ62" s="76">
        <v>106</v>
      </c>
      <c r="BK62" s="76">
        <v>8482</v>
      </c>
      <c r="BL62" s="76">
        <v>1010</v>
      </c>
      <c r="BM62" s="76">
        <v>0</v>
      </c>
      <c r="BN62" s="76">
        <v>427</v>
      </c>
      <c r="BO62" s="76">
        <v>1314</v>
      </c>
      <c r="BP62" s="76">
        <v>2751</v>
      </c>
      <c r="BQ62" s="76">
        <v>5731</v>
      </c>
      <c r="BR62" s="76">
        <v>83408</v>
      </c>
      <c r="BS62" s="76">
        <v>33007</v>
      </c>
      <c r="BT62" s="76">
        <v>0</v>
      </c>
      <c r="BU62" s="76">
        <v>0</v>
      </c>
      <c r="BV62" s="76">
        <v>37492</v>
      </c>
      <c r="BW62" s="76">
        <v>0</v>
      </c>
      <c r="BX62" s="76">
        <v>0</v>
      </c>
      <c r="BY62" s="76">
        <v>0</v>
      </c>
      <c r="BZ62" s="76">
        <v>70499</v>
      </c>
      <c r="CA62" s="76">
        <v>117</v>
      </c>
      <c r="CB62" s="76">
        <v>0</v>
      </c>
      <c r="CC62" s="76">
        <v>12792</v>
      </c>
      <c r="CD62" s="76">
        <v>12792</v>
      </c>
      <c r="CE62" s="76">
        <v>0</v>
      </c>
      <c r="CF62" s="76">
        <v>0</v>
      </c>
      <c r="CG62" s="76">
        <v>0</v>
      </c>
      <c r="CH62" s="76">
        <v>0</v>
      </c>
      <c r="CI62" s="76">
        <v>12792</v>
      </c>
      <c r="CJ62" s="76">
        <v>0</v>
      </c>
      <c r="CK62" s="76">
        <v>0</v>
      </c>
      <c r="CL62" s="76">
        <v>0</v>
      </c>
      <c r="CM62" s="76">
        <v>0</v>
      </c>
      <c r="CN62" s="76">
        <v>0</v>
      </c>
      <c r="CO62" s="76">
        <v>0</v>
      </c>
      <c r="CP62" s="76">
        <v>0</v>
      </c>
      <c r="CQ62" s="76">
        <v>0</v>
      </c>
      <c r="CR62" s="76">
        <v>0</v>
      </c>
      <c r="CS62" s="76">
        <v>0</v>
      </c>
      <c r="CT62" s="76">
        <v>0</v>
      </c>
      <c r="CU62" s="76">
        <v>0</v>
      </c>
      <c r="CV62" s="76">
        <v>0</v>
      </c>
      <c r="CW62" s="76">
        <v>0</v>
      </c>
      <c r="CX62" s="76">
        <v>0</v>
      </c>
      <c r="CY62" s="76">
        <v>0</v>
      </c>
      <c r="CZ62" s="76">
        <v>105</v>
      </c>
      <c r="DA62" s="76">
        <v>0</v>
      </c>
      <c r="DB62" s="76">
        <v>317</v>
      </c>
      <c r="DC62" s="76">
        <v>-212</v>
      </c>
      <c r="DD62" s="76">
        <v>105</v>
      </c>
      <c r="DE62" s="76">
        <v>0</v>
      </c>
      <c r="DF62" s="76">
        <v>317</v>
      </c>
      <c r="DG62" s="76">
        <v>-212</v>
      </c>
      <c r="DH62" s="76">
        <v>0</v>
      </c>
      <c r="DI62" s="76">
        <v>0</v>
      </c>
      <c r="DJ62" s="76">
        <v>0</v>
      </c>
      <c r="DK62" s="76">
        <v>0</v>
      </c>
      <c r="DL62" s="76">
        <v>0</v>
      </c>
      <c r="DM62" s="76">
        <v>0</v>
      </c>
      <c r="DN62" s="76">
        <v>0</v>
      </c>
      <c r="DO62" s="76">
        <v>0</v>
      </c>
      <c r="DP62" s="76">
        <v>0</v>
      </c>
      <c r="DQ62" s="76">
        <v>0</v>
      </c>
      <c r="DR62" s="76">
        <v>0</v>
      </c>
      <c r="DS62" s="76">
        <v>0</v>
      </c>
      <c r="DT62" s="76">
        <v>0</v>
      </c>
      <c r="DU62" s="76">
        <v>0</v>
      </c>
      <c r="DV62" s="76">
        <v>0</v>
      </c>
      <c r="DW62" s="76">
        <v>0</v>
      </c>
      <c r="DX62" s="76">
        <v>0</v>
      </c>
      <c r="DY62" s="76">
        <v>0</v>
      </c>
      <c r="DZ62" s="76">
        <v>0</v>
      </c>
      <c r="EA62" s="76">
        <v>0</v>
      </c>
      <c r="EB62" s="76">
        <v>0</v>
      </c>
      <c r="EC62" s="76">
        <v>0</v>
      </c>
      <c r="ED62" s="76">
        <v>0</v>
      </c>
      <c r="EE62" s="76">
        <v>0</v>
      </c>
      <c r="EF62" s="76">
        <v>0</v>
      </c>
      <c r="EG62" s="76">
        <v>0</v>
      </c>
      <c r="EH62" s="76">
        <v>0</v>
      </c>
      <c r="EI62" s="76">
        <v>0</v>
      </c>
      <c r="EJ62" s="76">
        <v>105</v>
      </c>
      <c r="EK62" s="76">
        <v>0</v>
      </c>
      <c r="EL62" s="76">
        <v>317</v>
      </c>
      <c r="EM62" s="76">
        <v>-212</v>
      </c>
      <c r="EN62" s="76">
        <v>81</v>
      </c>
      <c r="EO62" s="76">
        <v>18</v>
      </c>
      <c r="EP62" s="76">
        <v>6</v>
      </c>
      <c r="EQ62" s="76">
        <v>18</v>
      </c>
      <c r="ER62" s="76">
        <v>86974</v>
      </c>
      <c r="ES62" s="76">
        <v>0</v>
      </c>
      <c r="ET62" s="76">
        <v>86974</v>
      </c>
      <c r="EU62" s="76">
        <v>2433</v>
      </c>
      <c r="EV62" s="76">
        <v>-214</v>
      </c>
      <c r="EW62" s="76">
        <v>0</v>
      </c>
      <c r="EX62" s="76">
        <v>0</v>
      </c>
      <c r="EY62" s="76">
        <v>0</v>
      </c>
      <c r="EZ62" s="76">
        <v>89193</v>
      </c>
      <c r="FA62" s="76">
        <v>10301</v>
      </c>
      <c r="FB62" s="76">
        <v>1343</v>
      </c>
      <c r="FC62" s="76">
        <v>0</v>
      </c>
      <c r="FD62" s="76">
        <v>0</v>
      </c>
      <c r="FE62" s="76">
        <v>-74</v>
      </c>
      <c r="FF62" s="76">
        <v>0</v>
      </c>
      <c r="FG62" s="76">
        <v>0</v>
      </c>
      <c r="FH62" s="76">
        <v>11570</v>
      </c>
      <c r="FI62" s="76">
        <v>77623</v>
      </c>
      <c r="FJ62" s="76">
        <v>76673</v>
      </c>
      <c r="FK62" s="76">
        <v>43</v>
      </c>
      <c r="FL62" s="76">
        <v>21</v>
      </c>
      <c r="FM62" s="76">
        <v>22</v>
      </c>
      <c r="FN62" s="76">
        <v>0</v>
      </c>
      <c r="FO62" s="76">
        <v>0</v>
      </c>
      <c r="FP62" s="76">
        <v>0</v>
      </c>
      <c r="FQ62" s="76">
        <v>0</v>
      </c>
      <c r="FR62" s="76">
        <v>0</v>
      </c>
      <c r="FS62" s="76">
        <v>0</v>
      </c>
      <c r="FT62" s="76">
        <v>4</v>
      </c>
      <c r="FU62" s="76">
        <v>1</v>
      </c>
      <c r="FV62" s="76">
        <v>3</v>
      </c>
      <c r="FW62" s="76">
        <v>0</v>
      </c>
      <c r="FX62" s="76">
        <v>0</v>
      </c>
      <c r="FY62" s="76">
        <v>0</v>
      </c>
      <c r="FZ62" s="76">
        <v>0</v>
      </c>
      <c r="GA62" s="76">
        <v>0</v>
      </c>
      <c r="GB62" s="76">
        <v>0</v>
      </c>
      <c r="GC62" s="76">
        <v>47</v>
      </c>
      <c r="GD62" s="76">
        <v>22</v>
      </c>
      <c r="GE62" s="76">
        <v>25</v>
      </c>
      <c r="GF62" s="76">
        <v>0</v>
      </c>
      <c r="GG62" s="76">
        <v>0</v>
      </c>
      <c r="GH62" s="76">
        <v>0</v>
      </c>
      <c r="GI62" s="76">
        <v>0</v>
      </c>
      <c r="GJ62" s="76">
        <v>0</v>
      </c>
      <c r="GK62" s="76">
        <v>106</v>
      </c>
      <c r="GL62" s="76">
        <v>106</v>
      </c>
      <c r="GM62" s="76">
        <v>115</v>
      </c>
      <c r="GN62" s="76">
        <v>0</v>
      </c>
      <c r="GO62" s="76">
        <v>0</v>
      </c>
      <c r="GP62" s="76">
        <v>33</v>
      </c>
      <c r="GQ62" s="76">
        <v>0</v>
      </c>
      <c r="GR62" s="76">
        <v>225</v>
      </c>
      <c r="GS62" s="76">
        <v>0</v>
      </c>
      <c r="GT62" s="76">
        <v>0</v>
      </c>
      <c r="GU62" s="76">
        <v>19</v>
      </c>
      <c r="GV62" s="76">
        <v>0</v>
      </c>
      <c r="GW62" s="76">
        <v>922</v>
      </c>
      <c r="GX62" s="76">
        <v>1314</v>
      </c>
      <c r="GY62" s="76">
        <v>0</v>
      </c>
      <c r="GZ62" s="76">
        <v>0</v>
      </c>
      <c r="HA62" s="76">
        <v>0</v>
      </c>
      <c r="HB62" s="76">
        <v>0</v>
      </c>
      <c r="HC62" s="76">
        <v>0</v>
      </c>
      <c r="HD62" s="76">
        <v>0</v>
      </c>
      <c r="HE62" s="76">
        <v>0</v>
      </c>
      <c r="HF62" s="76">
        <v>0</v>
      </c>
      <c r="HG62" s="76">
        <v>1294</v>
      </c>
      <c r="HH62" s="76">
        <v>-6</v>
      </c>
      <c r="HI62" s="76">
        <v>0</v>
      </c>
      <c r="HJ62" s="76">
        <v>0</v>
      </c>
      <c r="HK62" s="76">
        <v>0</v>
      </c>
      <c r="HL62" s="76">
        <v>0</v>
      </c>
      <c r="HM62" s="76">
        <v>1288</v>
      </c>
      <c r="HN62" s="76">
        <v>210</v>
      </c>
      <c r="HO62" s="76">
        <v>1352</v>
      </c>
      <c r="HP62" s="76">
        <v>0</v>
      </c>
      <c r="HQ62" s="76">
        <v>10</v>
      </c>
      <c r="HR62" s="76">
        <v>0</v>
      </c>
      <c r="HS62" s="76">
        <v>8</v>
      </c>
      <c r="HT62" s="76">
        <v>1187</v>
      </c>
      <c r="HU62" s="76">
        <v>0</v>
      </c>
      <c r="HV62" s="76">
        <v>0</v>
      </c>
      <c r="HW62" s="76">
        <v>0</v>
      </c>
      <c r="HX62" s="76">
        <v>0</v>
      </c>
    </row>
    <row r="63" spans="1:232" x14ac:dyDescent="0.2">
      <c r="A63" s="74" t="s">
        <v>358</v>
      </c>
      <c r="B63" s="74" t="s">
        <v>359</v>
      </c>
      <c r="C63" s="75" t="s">
        <v>200</v>
      </c>
      <c r="D63" s="75">
        <v>12</v>
      </c>
      <c r="E63" s="76">
        <v>24067</v>
      </c>
      <c r="F63" s="76">
        <v>-2688</v>
      </c>
      <c r="G63" s="76">
        <v>-16496</v>
      </c>
      <c r="H63" s="76">
        <v>4883</v>
      </c>
      <c r="I63" s="76">
        <v>628</v>
      </c>
      <c r="J63" s="76">
        <v>0</v>
      </c>
      <c r="K63" s="76">
        <v>0</v>
      </c>
      <c r="L63" s="76">
        <v>0</v>
      </c>
      <c r="M63" s="76">
        <v>22</v>
      </c>
      <c r="N63" s="76">
        <v>-2558</v>
      </c>
      <c r="O63" s="76">
        <v>0</v>
      </c>
      <c r="P63" s="76">
        <v>0</v>
      </c>
      <c r="Q63" s="76">
        <v>0</v>
      </c>
      <c r="R63" s="76">
        <v>0</v>
      </c>
      <c r="S63" s="76">
        <v>2975</v>
      </c>
      <c r="T63" s="76">
        <v>0</v>
      </c>
      <c r="U63" s="76">
        <v>2975</v>
      </c>
      <c r="V63" s="76">
        <v>0</v>
      </c>
      <c r="W63" s="76">
        <v>0</v>
      </c>
      <c r="X63" s="76">
        <v>0</v>
      </c>
      <c r="Y63" s="76">
        <v>0</v>
      </c>
      <c r="Z63" s="76">
        <v>2975</v>
      </c>
      <c r="AA63" s="76">
        <v>15034</v>
      </c>
      <c r="AB63" s="76">
        <v>2276</v>
      </c>
      <c r="AC63" s="76">
        <v>17310</v>
      </c>
      <c r="AD63" s="76">
        <v>922</v>
      </c>
      <c r="AE63" s="76">
        <v>0</v>
      </c>
      <c r="AF63" s="76">
        <v>0</v>
      </c>
      <c r="AG63" s="76">
        <v>0</v>
      </c>
      <c r="AH63" s="76">
        <v>18232</v>
      </c>
      <c r="AI63" s="76">
        <v>4834</v>
      </c>
      <c r="AJ63" s="76">
        <v>2898</v>
      </c>
      <c r="AK63" s="76">
        <v>1751</v>
      </c>
      <c r="AL63" s="76">
        <v>624</v>
      </c>
      <c r="AM63" s="76">
        <v>1605</v>
      </c>
      <c r="AN63" s="76">
        <v>93</v>
      </c>
      <c r="AO63" s="76">
        <v>3059</v>
      </c>
      <c r="AP63" s="76">
        <v>0</v>
      </c>
      <c r="AQ63" s="76">
        <v>472</v>
      </c>
      <c r="AR63" s="76">
        <v>15336</v>
      </c>
      <c r="AS63" s="76">
        <v>2896</v>
      </c>
      <c r="AT63" s="76">
        <v>221</v>
      </c>
      <c r="AU63" s="76">
        <v>183620</v>
      </c>
      <c r="AV63" s="76">
        <v>0</v>
      </c>
      <c r="AW63" s="76">
        <v>3376</v>
      </c>
      <c r="AX63" s="76">
        <v>0</v>
      </c>
      <c r="AY63" s="76">
        <v>0</v>
      </c>
      <c r="AZ63" s="76">
        <v>0</v>
      </c>
      <c r="BA63" s="76">
        <v>0</v>
      </c>
      <c r="BB63" s="76">
        <v>0</v>
      </c>
      <c r="BC63" s="76">
        <v>0</v>
      </c>
      <c r="BD63" s="76">
        <v>0</v>
      </c>
      <c r="BE63" s="76">
        <v>186996</v>
      </c>
      <c r="BF63" s="76">
        <v>1887</v>
      </c>
      <c r="BG63" s="76">
        <v>170</v>
      </c>
      <c r="BH63" s="76">
        <v>16135</v>
      </c>
      <c r="BI63" s="76">
        <v>795</v>
      </c>
      <c r="BJ63" s="76">
        <v>2428</v>
      </c>
      <c r="BK63" s="76">
        <v>21415</v>
      </c>
      <c r="BL63" s="76">
        <v>1206</v>
      </c>
      <c r="BM63" s="76">
        <v>0</v>
      </c>
      <c r="BN63" s="76">
        <v>922</v>
      </c>
      <c r="BO63" s="76">
        <v>5473</v>
      </c>
      <c r="BP63" s="76">
        <v>7601</v>
      </c>
      <c r="BQ63" s="76">
        <v>13814</v>
      </c>
      <c r="BR63" s="76">
        <v>200810</v>
      </c>
      <c r="BS63" s="76">
        <v>52109</v>
      </c>
      <c r="BT63" s="76">
        <v>0</v>
      </c>
      <c r="BU63" s="76">
        <v>0</v>
      </c>
      <c r="BV63" s="76">
        <v>82422</v>
      </c>
      <c r="BW63" s="76">
        <v>0</v>
      </c>
      <c r="BX63" s="76">
        <v>0</v>
      </c>
      <c r="BY63" s="76">
        <v>657</v>
      </c>
      <c r="BZ63" s="76">
        <v>135188</v>
      </c>
      <c r="CA63" s="76">
        <v>2718</v>
      </c>
      <c r="CB63" s="76">
        <v>2184</v>
      </c>
      <c r="CC63" s="76">
        <v>60720</v>
      </c>
      <c r="CD63" s="76">
        <v>60720</v>
      </c>
      <c r="CE63" s="76">
        <v>0</v>
      </c>
      <c r="CF63" s="76">
        <v>0</v>
      </c>
      <c r="CG63" s="76">
        <v>0</v>
      </c>
      <c r="CH63" s="76">
        <v>0</v>
      </c>
      <c r="CI63" s="76">
        <v>60720</v>
      </c>
      <c r="CJ63" s="76">
        <v>4059</v>
      </c>
      <c r="CK63" s="76">
        <v>2644</v>
      </c>
      <c r="CL63" s="76">
        <v>0</v>
      </c>
      <c r="CM63" s="76">
        <v>1415</v>
      </c>
      <c r="CN63" s="76">
        <v>0</v>
      </c>
      <c r="CO63" s="76">
        <v>0</v>
      </c>
      <c r="CP63" s="76">
        <v>0</v>
      </c>
      <c r="CQ63" s="76">
        <v>0</v>
      </c>
      <c r="CR63" s="76">
        <v>0</v>
      </c>
      <c r="CS63" s="76">
        <v>0</v>
      </c>
      <c r="CT63" s="76">
        <v>0</v>
      </c>
      <c r="CU63" s="76">
        <v>0</v>
      </c>
      <c r="CV63" s="76">
        <v>0</v>
      </c>
      <c r="CW63" s="76">
        <v>0</v>
      </c>
      <c r="CX63" s="76">
        <v>0</v>
      </c>
      <c r="CY63" s="76">
        <v>0</v>
      </c>
      <c r="CZ63" s="76">
        <v>206</v>
      </c>
      <c r="DA63" s="76">
        <v>0</v>
      </c>
      <c r="DB63" s="76">
        <v>168</v>
      </c>
      <c r="DC63" s="76">
        <v>38</v>
      </c>
      <c r="DD63" s="76">
        <v>4265</v>
      </c>
      <c r="DE63" s="76">
        <v>2644</v>
      </c>
      <c r="DF63" s="76">
        <v>168</v>
      </c>
      <c r="DG63" s="76">
        <v>1453</v>
      </c>
      <c r="DH63" s="76">
        <v>0</v>
      </c>
      <c r="DI63" s="76">
        <v>0</v>
      </c>
      <c r="DJ63" s="76">
        <v>0</v>
      </c>
      <c r="DK63" s="76">
        <v>0</v>
      </c>
      <c r="DL63" s="76">
        <v>0</v>
      </c>
      <c r="DM63" s="76">
        <v>0</v>
      </c>
      <c r="DN63" s="76">
        <v>0</v>
      </c>
      <c r="DO63" s="76">
        <v>0</v>
      </c>
      <c r="DP63" s="76">
        <v>0</v>
      </c>
      <c r="DQ63" s="76">
        <v>0</v>
      </c>
      <c r="DR63" s="76">
        <v>0</v>
      </c>
      <c r="DS63" s="76">
        <v>0</v>
      </c>
      <c r="DT63" s="76">
        <v>1268</v>
      </c>
      <c r="DU63" s="76">
        <v>0</v>
      </c>
      <c r="DV63" s="76">
        <v>778</v>
      </c>
      <c r="DW63" s="76">
        <v>490</v>
      </c>
      <c r="DX63" s="76">
        <v>0</v>
      </c>
      <c r="DY63" s="76">
        <v>0</v>
      </c>
      <c r="DZ63" s="76">
        <v>0</v>
      </c>
      <c r="EA63" s="76">
        <v>0</v>
      </c>
      <c r="EB63" s="76">
        <v>302</v>
      </c>
      <c r="EC63" s="76">
        <v>44</v>
      </c>
      <c r="ED63" s="76">
        <v>214</v>
      </c>
      <c r="EE63" s="76">
        <v>44</v>
      </c>
      <c r="EF63" s="76">
        <v>1570</v>
      </c>
      <c r="EG63" s="76">
        <v>44</v>
      </c>
      <c r="EH63" s="76">
        <v>992</v>
      </c>
      <c r="EI63" s="76">
        <v>534</v>
      </c>
      <c r="EJ63" s="76">
        <v>5835</v>
      </c>
      <c r="EK63" s="76">
        <v>2688</v>
      </c>
      <c r="EL63" s="76">
        <v>1160</v>
      </c>
      <c r="EM63" s="76">
        <v>1987</v>
      </c>
      <c r="EN63" s="76">
        <v>204</v>
      </c>
      <c r="EO63" s="76">
        <v>273</v>
      </c>
      <c r="EP63" s="76">
        <v>61</v>
      </c>
      <c r="EQ63" s="76">
        <v>246</v>
      </c>
      <c r="ER63" s="76">
        <v>202596</v>
      </c>
      <c r="ES63" s="76">
        <v>0</v>
      </c>
      <c r="ET63" s="76">
        <v>202596</v>
      </c>
      <c r="EU63" s="76">
        <v>11120</v>
      </c>
      <c r="EV63" s="76">
        <v>-782</v>
      </c>
      <c r="EW63" s="76">
        <v>0</v>
      </c>
      <c r="EX63" s="76">
        <v>0</v>
      </c>
      <c r="EY63" s="76">
        <v>1612</v>
      </c>
      <c r="EZ63" s="76">
        <v>214546</v>
      </c>
      <c r="FA63" s="76">
        <v>28469</v>
      </c>
      <c r="FB63" s="76">
        <v>3038</v>
      </c>
      <c r="FC63" s="76">
        <v>0</v>
      </c>
      <c r="FD63" s="76">
        <v>0</v>
      </c>
      <c r="FE63" s="76">
        <v>-69</v>
      </c>
      <c r="FF63" s="76">
        <v>0</v>
      </c>
      <c r="FG63" s="76">
        <v>-512</v>
      </c>
      <c r="FH63" s="76">
        <v>30926</v>
      </c>
      <c r="FI63" s="76">
        <v>183620</v>
      </c>
      <c r="FJ63" s="76">
        <v>174127</v>
      </c>
      <c r="FK63" s="76">
        <v>1397</v>
      </c>
      <c r="FL63" s="76">
        <v>766</v>
      </c>
      <c r="FM63" s="76">
        <v>631</v>
      </c>
      <c r="FN63" s="76">
        <v>0</v>
      </c>
      <c r="FO63" s="76">
        <v>0</v>
      </c>
      <c r="FP63" s="76">
        <v>0</v>
      </c>
      <c r="FQ63" s="76">
        <v>0</v>
      </c>
      <c r="FR63" s="76">
        <v>0</v>
      </c>
      <c r="FS63" s="76">
        <v>0</v>
      </c>
      <c r="FT63" s="76">
        <v>0</v>
      </c>
      <c r="FU63" s="76">
        <v>0</v>
      </c>
      <c r="FV63" s="76">
        <v>0</v>
      </c>
      <c r="FW63" s="76">
        <v>0</v>
      </c>
      <c r="FX63" s="76">
        <v>0</v>
      </c>
      <c r="FY63" s="76">
        <v>0</v>
      </c>
      <c r="FZ63" s="76">
        <v>38</v>
      </c>
      <c r="GA63" s="76">
        <v>41</v>
      </c>
      <c r="GB63" s="76">
        <v>-3</v>
      </c>
      <c r="GC63" s="76">
        <v>1435</v>
      </c>
      <c r="GD63" s="76">
        <v>807</v>
      </c>
      <c r="GE63" s="76">
        <v>628</v>
      </c>
      <c r="GF63" s="76">
        <v>0</v>
      </c>
      <c r="GG63" s="76">
        <v>6</v>
      </c>
      <c r="GH63" s="76">
        <v>0</v>
      </c>
      <c r="GI63" s="76">
        <v>0</v>
      </c>
      <c r="GJ63" s="76">
        <v>0</v>
      </c>
      <c r="GK63" s="76">
        <v>2422</v>
      </c>
      <c r="GL63" s="76">
        <v>2428</v>
      </c>
      <c r="GM63" s="76">
        <v>294</v>
      </c>
      <c r="GN63" s="76">
        <v>995</v>
      </c>
      <c r="GO63" s="76">
        <v>0</v>
      </c>
      <c r="GP63" s="76">
        <v>0</v>
      </c>
      <c r="GQ63" s="76">
        <v>0</v>
      </c>
      <c r="GR63" s="76">
        <v>1478</v>
      </c>
      <c r="GS63" s="76">
        <v>0</v>
      </c>
      <c r="GT63" s="76">
        <v>0</v>
      </c>
      <c r="GU63" s="76">
        <v>0</v>
      </c>
      <c r="GV63" s="76">
        <v>0</v>
      </c>
      <c r="GW63" s="76">
        <v>2706</v>
      </c>
      <c r="GX63" s="76">
        <v>5473</v>
      </c>
      <c r="GY63" s="76">
        <v>657</v>
      </c>
      <c r="GZ63" s="76">
        <v>0</v>
      </c>
      <c r="HA63" s="76">
        <v>0</v>
      </c>
      <c r="HB63" s="76">
        <v>0</v>
      </c>
      <c r="HC63" s="76">
        <v>657</v>
      </c>
      <c r="HD63" s="76">
        <v>0</v>
      </c>
      <c r="HE63" s="76">
        <v>2184</v>
      </c>
      <c r="HF63" s="76">
        <v>2184</v>
      </c>
      <c r="HG63" s="76">
        <v>2693</v>
      </c>
      <c r="HH63" s="76">
        <v>0</v>
      </c>
      <c r="HI63" s="76">
        <v>64</v>
      </c>
      <c r="HJ63" s="76">
        <v>0</v>
      </c>
      <c r="HK63" s="76">
        <v>0</v>
      </c>
      <c r="HL63" s="76">
        <v>-199</v>
      </c>
      <c r="HM63" s="76">
        <v>2558</v>
      </c>
      <c r="HN63" s="76">
        <v>2191</v>
      </c>
      <c r="HO63" s="76">
        <v>3454</v>
      </c>
      <c r="HP63" s="76">
        <v>0</v>
      </c>
      <c r="HQ63" s="76">
        <v>110</v>
      </c>
      <c r="HR63" s="76">
        <v>-14</v>
      </c>
      <c r="HS63" s="76">
        <v>-28</v>
      </c>
      <c r="HT63" s="76">
        <v>4456</v>
      </c>
      <c r="HU63" s="76">
        <v>0</v>
      </c>
      <c r="HV63" s="76">
        <v>0</v>
      </c>
      <c r="HW63" s="76">
        <v>-12</v>
      </c>
      <c r="HX63" s="76">
        <v>160</v>
      </c>
    </row>
    <row r="64" spans="1:232" x14ac:dyDescent="0.2">
      <c r="A64" s="74" t="s">
        <v>363</v>
      </c>
      <c r="B64" s="74" t="s">
        <v>364</v>
      </c>
      <c r="C64" s="75" t="s">
        <v>200</v>
      </c>
      <c r="D64" s="75">
        <v>12</v>
      </c>
      <c r="E64" s="76">
        <v>37461</v>
      </c>
      <c r="F64" s="76">
        <v>-2412</v>
      </c>
      <c r="G64" s="76">
        <v>-25110</v>
      </c>
      <c r="H64" s="76">
        <v>9939</v>
      </c>
      <c r="I64" s="76">
        <v>1759</v>
      </c>
      <c r="J64" s="76">
        <v>0</v>
      </c>
      <c r="K64" s="76">
        <v>0</v>
      </c>
      <c r="L64" s="76">
        <v>0</v>
      </c>
      <c r="M64" s="76">
        <v>213</v>
      </c>
      <c r="N64" s="76">
        <v>-6706</v>
      </c>
      <c r="O64" s="76">
        <v>0</v>
      </c>
      <c r="P64" s="76">
        <v>0</v>
      </c>
      <c r="Q64" s="76">
        <v>0</v>
      </c>
      <c r="R64" s="76">
        <v>0</v>
      </c>
      <c r="S64" s="76">
        <v>5205</v>
      </c>
      <c r="T64" s="76">
        <v>2</v>
      </c>
      <c r="U64" s="76">
        <v>5207</v>
      </c>
      <c r="V64" s="76">
        <v>6743</v>
      </c>
      <c r="W64" s="76">
        <v>0</v>
      </c>
      <c r="X64" s="76">
        <v>0</v>
      </c>
      <c r="Y64" s="76">
        <v>0</v>
      </c>
      <c r="Z64" s="76">
        <v>11950</v>
      </c>
      <c r="AA64" s="76">
        <v>21761</v>
      </c>
      <c r="AB64" s="76">
        <v>2286</v>
      </c>
      <c r="AC64" s="76">
        <v>24047</v>
      </c>
      <c r="AD64" s="76">
        <v>1944</v>
      </c>
      <c r="AE64" s="76">
        <v>0</v>
      </c>
      <c r="AF64" s="76">
        <v>0</v>
      </c>
      <c r="AG64" s="76">
        <v>3901</v>
      </c>
      <c r="AH64" s="76">
        <v>29892</v>
      </c>
      <c r="AI64" s="76">
        <v>3718</v>
      </c>
      <c r="AJ64" s="76">
        <v>2229</v>
      </c>
      <c r="AK64" s="76">
        <v>4636</v>
      </c>
      <c r="AL64" s="76">
        <v>1126</v>
      </c>
      <c r="AM64" s="76">
        <v>288</v>
      </c>
      <c r="AN64" s="76">
        <v>174</v>
      </c>
      <c r="AO64" s="76">
        <v>4874</v>
      </c>
      <c r="AP64" s="76">
        <v>0</v>
      </c>
      <c r="AQ64" s="76">
        <v>3456</v>
      </c>
      <c r="AR64" s="76">
        <v>20501</v>
      </c>
      <c r="AS64" s="76">
        <v>9391</v>
      </c>
      <c r="AT64" s="76">
        <v>201</v>
      </c>
      <c r="AU64" s="76">
        <v>330548</v>
      </c>
      <c r="AV64" s="76">
        <v>0</v>
      </c>
      <c r="AW64" s="76">
        <v>1468</v>
      </c>
      <c r="AX64" s="76">
        <v>0</v>
      </c>
      <c r="AY64" s="76">
        <v>1971</v>
      </c>
      <c r="AZ64" s="76">
        <v>47590</v>
      </c>
      <c r="BA64" s="76">
        <v>0</v>
      </c>
      <c r="BB64" s="76">
        <v>0</v>
      </c>
      <c r="BC64" s="76">
        <v>0</v>
      </c>
      <c r="BD64" s="76">
        <v>0</v>
      </c>
      <c r="BE64" s="76">
        <v>381577</v>
      </c>
      <c r="BF64" s="76">
        <v>3507</v>
      </c>
      <c r="BG64" s="76">
        <v>1110</v>
      </c>
      <c r="BH64" s="76">
        <v>2889</v>
      </c>
      <c r="BI64" s="76">
        <v>5360</v>
      </c>
      <c r="BJ64" s="76">
        <v>4943</v>
      </c>
      <c r="BK64" s="76">
        <v>17809</v>
      </c>
      <c r="BL64" s="76">
        <v>3673</v>
      </c>
      <c r="BM64" s="76">
        <v>0</v>
      </c>
      <c r="BN64" s="76">
        <v>1994</v>
      </c>
      <c r="BO64" s="76">
        <v>10835</v>
      </c>
      <c r="BP64" s="76">
        <v>16502</v>
      </c>
      <c r="BQ64" s="76">
        <v>1307</v>
      </c>
      <c r="BR64" s="76">
        <v>382884</v>
      </c>
      <c r="BS64" s="76">
        <v>176648</v>
      </c>
      <c r="BT64" s="76">
        <v>0</v>
      </c>
      <c r="BU64" s="76">
        <v>0</v>
      </c>
      <c r="BV64" s="76">
        <v>142958</v>
      </c>
      <c r="BW64" s="76">
        <v>1971</v>
      </c>
      <c r="BX64" s="76">
        <v>0</v>
      </c>
      <c r="BY64" s="76">
        <v>1012</v>
      </c>
      <c r="BZ64" s="76">
        <v>322589</v>
      </c>
      <c r="CA64" s="76">
        <v>2710</v>
      </c>
      <c r="CB64" s="76">
        <v>47</v>
      </c>
      <c r="CC64" s="76">
        <v>57538</v>
      </c>
      <c r="CD64" s="76">
        <v>39597</v>
      </c>
      <c r="CE64" s="76">
        <v>17941</v>
      </c>
      <c r="CF64" s="76">
        <v>0</v>
      </c>
      <c r="CG64" s="76">
        <v>0</v>
      </c>
      <c r="CH64" s="76">
        <v>0</v>
      </c>
      <c r="CI64" s="76">
        <v>57538</v>
      </c>
      <c r="CJ64" s="76">
        <v>2474</v>
      </c>
      <c r="CK64" s="76">
        <v>2412</v>
      </c>
      <c r="CL64" s="76">
        <v>0</v>
      </c>
      <c r="CM64" s="76">
        <v>62</v>
      </c>
      <c r="CN64" s="76">
        <v>526</v>
      </c>
      <c r="CO64" s="76">
        <v>0</v>
      </c>
      <c r="CP64" s="76">
        <v>602</v>
      </c>
      <c r="CQ64" s="76">
        <v>-76</v>
      </c>
      <c r="CR64" s="76">
        <v>0</v>
      </c>
      <c r="CS64" s="76">
        <v>0</v>
      </c>
      <c r="CT64" s="76">
        <v>375</v>
      </c>
      <c r="CU64" s="76">
        <v>-375</v>
      </c>
      <c r="CV64" s="76">
        <v>332</v>
      </c>
      <c r="CW64" s="76">
        <v>0</v>
      </c>
      <c r="CX64" s="76">
        <v>551</v>
      </c>
      <c r="CY64" s="76">
        <v>-219</v>
      </c>
      <c r="CZ64" s="76">
        <v>66</v>
      </c>
      <c r="DA64" s="76">
        <v>0</v>
      </c>
      <c r="DB64" s="76">
        <v>66</v>
      </c>
      <c r="DC64" s="76">
        <v>0</v>
      </c>
      <c r="DD64" s="76">
        <v>3398</v>
      </c>
      <c r="DE64" s="76">
        <v>2412</v>
      </c>
      <c r="DF64" s="76">
        <v>1594</v>
      </c>
      <c r="DG64" s="76">
        <v>-608</v>
      </c>
      <c r="DH64" s="76">
        <v>0</v>
      </c>
      <c r="DI64" s="76">
        <v>0</v>
      </c>
      <c r="DJ64" s="76">
        <v>0</v>
      </c>
      <c r="DK64" s="76">
        <v>0</v>
      </c>
      <c r="DL64" s="76">
        <v>0</v>
      </c>
      <c r="DM64" s="76">
        <v>0</v>
      </c>
      <c r="DN64" s="76">
        <v>0</v>
      </c>
      <c r="DO64" s="76">
        <v>0</v>
      </c>
      <c r="DP64" s="76">
        <v>2047</v>
      </c>
      <c r="DQ64" s="76">
        <v>0</v>
      </c>
      <c r="DR64" s="76">
        <v>2441</v>
      </c>
      <c r="DS64" s="76">
        <v>-394</v>
      </c>
      <c r="DT64" s="76">
        <v>1998</v>
      </c>
      <c r="DU64" s="76">
        <v>0</v>
      </c>
      <c r="DV64" s="76">
        <v>475</v>
      </c>
      <c r="DW64" s="76">
        <v>1523</v>
      </c>
      <c r="DX64" s="76">
        <v>0</v>
      </c>
      <c r="DY64" s="76">
        <v>0</v>
      </c>
      <c r="DZ64" s="76">
        <v>0</v>
      </c>
      <c r="EA64" s="76">
        <v>0</v>
      </c>
      <c r="EB64" s="76">
        <v>126</v>
      </c>
      <c r="EC64" s="76">
        <v>0</v>
      </c>
      <c r="ED64" s="76">
        <v>99</v>
      </c>
      <c r="EE64" s="76">
        <v>27</v>
      </c>
      <c r="EF64" s="76">
        <v>4171</v>
      </c>
      <c r="EG64" s="76">
        <v>0</v>
      </c>
      <c r="EH64" s="76">
        <v>3015</v>
      </c>
      <c r="EI64" s="76">
        <v>1156</v>
      </c>
      <c r="EJ64" s="76">
        <v>7569</v>
      </c>
      <c r="EK64" s="76">
        <v>2412</v>
      </c>
      <c r="EL64" s="76">
        <v>4609</v>
      </c>
      <c r="EM64" s="76">
        <v>548</v>
      </c>
      <c r="EN64" s="76">
        <v>1399</v>
      </c>
      <c r="EO64" s="76">
        <v>150</v>
      </c>
      <c r="EP64" s="76">
        <v>289</v>
      </c>
      <c r="EQ64" s="76">
        <v>150</v>
      </c>
      <c r="ER64" s="76">
        <v>380336</v>
      </c>
      <c r="ES64" s="76">
        <v>0</v>
      </c>
      <c r="ET64" s="76">
        <v>380336</v>
      </c>
      <c r="EU64" s="76">
        <v>9219</v>
      </c>
      <c r="EV64" s="76">
        <v>-3466</v>
      </c>
      <c r="EW64" s="76">
        <v>0</v>
      </c>
      <c r="EX64" s="76">
        <v>0</v>
      </c>
      <c r="EY64" s="76">
        <v>0</v>
      </c>
      <c r="EZ64" s="76">
        <v>386089</v>
      </c>
      <c r="FA64" s="76">
        <v>51873</v>
      </c>
      <c r="FB64" s="76">
        <v>4874</v>
      </c>
      <c r="FC64" s="76">
        <v>0</v>
      </c>
      <c r="FD64" s="76">
        <v>0</v>
      </c>
      <c r="FE64" s="76">
        <v>-1206</v>
      </c>
      <c r="FF64" s="76">
        <v>0</v>
      </c>
      <c r="FG64" s="76">
        <v>0</v>
      </c>
      <c r="FH64" s="76">
        <v>55541</v>
      </c>
      <c r="FI64" s="76">
        <v>330548</v>
      </c>
      <c r="FJ64" s="76">
        <v>328463</v>
      </c>
      <c r="FK64" s="76">
        <v>1739</v>
      </c>
      <c r="FL64" s="76">
        <v>1032</v>
      </c>
      <c r="FM64" s="76">
        <v>707</v>
      </c>
      <c r="FN64" s="76">
        <v>0</v>
      </c>
      <c r="FO64" s="76">
        <v>0</v>
      </c>
      <c r="FP64" s="76">
        <v>0</v>
      </c>
      <c r="FQ64" s="76">
        <v>0</v>
      </c>
      <c r="FR64" s="76">
        <v>0</v>
      </c>
      <c r="FS64" s="76">
        <v>0</v>
      </c>
      <c r="FT64" s="76">
        <v>2149</v>
      </c>
      <c r="FU64" s="76">
        <v>1097</v>
      </c>
      <c r="FV64" s="76">
        <v>1052</v>
      </c>
      <c r="FW64" s="76">
        <v>0</v>
      </c>
      <c r="FX64" s="76">
        <v>0</v>
      </c>
      <c r="FY64" s="76">
        <v>0</v>
      </c>
      <c r="FZ64" s="76">
        <v>0</v>
      </c>
      <c r="GA64" s="76">
        <v>0</v>
      </c>
      <c r="GB64" s="76">
        <v>0</v>
      </c>
      <c r="GC64" s="76">
        <v>3888</v>
      </c>
      <c r="GD64" s="76">
        <v>2129</v>
      </c>
      <c r="GE64" s="76">
        <v>1759</v>
      </c>
      <c r="GF64" s="76">
        <v>0</v>
      </c>
      <c r="GG64" s="76">
        <v>0</v>
      </c>
      <c r="GH64" s="76">
        <v>0</v>
      </c>
      <c r="GI64" s="76">
        <v>0</v>
      </c>
      <c r="GJ64" s="76">
        <v>0</v>
      </c>
      <c r="GK64" s="76">
        <v>4943</v>
      </c>
      <c r="GL64" s="76">
        <v>4943</v>
      </c>
      <c r="GM64" s="76">
        <v>738</v>
      </c>
      <c r="GN64" s="76">
        <v>0</v>
      </c>
      <c r="GO64" s="76">
        <v>0</v>
      </c>
      <c r="GP64" s="76">
        <v>0</v>
      </c>
      <c r="GQ64" s="76">
        <v>0</v>
      </c>
      <c r="GR64" s="76">
        <v>9038</v>
      </c>
      <c r="GS64" s="76">
        <v>0</v>
      </c>
      <c r="GT64" s="76">
        <v>0</v>
      </c>
      <c r="GU64" s="76">
        <v>0</v>
      </c>
      <c r="GV64" s="76">
        <v>0</v>
      </c>
      <c r="GW64" s="76">
        <v>1059</v>
      </c>
      <c r="GX64" s="76">
        <v>10835</v>
      </c>
      <c r="GY64" s="76">
        <v>1012</v>
      </c>
      <c r="GZ64" s="76">
        <v>0</v>
      </c>
      <c r="HA64" s="76">
        <v>0</v>
      </c>
      <c r="HB64" s="76">
        <v>0</v>
      </c>
      <c r="HC64" s="76">
        <v>1012</v>
      </c>
      <c r="HD64" s="76">
        <v>0</v>
      </c>
      <c r="HE64" s="76">
        <v>47</v>
      </c>
      <c r="HF64" s="76">
        <v>47</v>
      </c>
      <c r="HG64" s="76">
        <v>6503</v>
      </c>
      <c r="HH64" s="76">
        <v>0</v>
      </c>
      <c r="HI64" s="76">
        <v>56</v>
      </c>
      <c r="HJ64" s="76">
        <v>0</v>
      </c>
      <c r="HK64" s="76">
        <v>147</v>
      </c>
      <c r="HL64" s="76">
        <v>0</v>
      </c>
      <c r="HM64" s="76">
        <v>6706</v>
      </c>
      <c r="HN64" s="76">
        <v>3066</v>
      </c>
      <c r="HO64" s="76">
        <v>5232</v>
      </c>
      <c r="HP64" s="76">
        <v>0</v>
      </c>
      <c r="HQ64" s="76">
        <v>50</v>
      </c>
      <c r="HR64" s="76">
        <v>-19</v>
      </c>
      <c r="HS64" s="76">
        <v>0</v>
      </c>
      <c r="HT64" s="76">
        <v>4041</v>
      </c>
      <c r="HU64" s="76">
        <v>0</v>
      </c>
      <c r="HV64" s="76">
        <v>-2</v>
      </c>
      <c r="HW64" s="76">
        <v>0</v>
      </c>
      <c r="HX64" s="76">
        <v>309</v>
      </c>
    </row>
    <row r="65" spans="1:232" x14ac:dyDescent="0.2">
      <c r="A65" s="74" t="s">
        <v>366</v>
      </c>
      <c r="B65" s="74" t="s">
        <v>367</v>
      </c>
      <c r="C65" s="75" t="s">
        <v>200</v>
      </c>
      <c r="D65" s="75">
        <v>12</v>
      </c>
      <c r="E65" s="76">
        <v>265064</v>
      </c>
      <c r="F65" s="76">
        <v>-42352</v>
      </c>
      <c r="G65" s="76">
        <v>-145448</v>
      </c>
      <c r="H65" s="76">
        <v>77264</v>
      </c>
      <c r="I65" s="76">
        <v>34194</v>
      </c>
      <c r="J65" s="76">
        <v>-2000</v>
      </c>
      <c r="K65" s="76">
        <v>0</v>
      </c>
      <c r="L65" s="76">
        <v>0</v>
      </c>
      <c r="M65" s="76">
        <v>127</v>
      </c>
      <c r="N65" s="76">
        <v>-18682</v>
      </c>
      <c r="O65" s="76">
        <v>1549</v>
      </c>
      <c r="P65" s="76">
        <v>0</v>
      </c>
      <c r="Q65" s="76">
        <v>0</v>
      </c>
      <c r="R65" s="76">
        <v>0</v>
      </c>
      <c r="S65" s="76">
        <v>92452</v>
      </c>
      <c r="T65" s="76">
        <v>-25</v>
      </c>
      <c r="U65" s="76">
        <v>92427</v>
      </c>
      <c r="V65" s="76">
        <v>0</v>
      </c>
      <c r="W65" s="76">
        <v>267</v>
      </c>
      <c r="X65" s="76">
        <v>-296</v>
      </c>
      <c r="Y65" s="76">
        <v>0</v>
      </c>
      <c r="Z65" s="76">
        <v>92398</v>
      </c>
      <c r="AA65" s="76">
        <v>140674</v>
      </c>
      <c r="AB65" s="76">
        <v>12927</v>
      </c>
      <c r="AC65" s="76">
        <v>153601</v>
      </c>
      <c r="AD65" s="76">
        <v>9871</v>
      </c>
      <c r="AE65" s="76">
        <v>0</v>
      </c>
      <c r="AF65" s="76">
        <v>34235</v>
      </c>
      <c r="AG65" s="76">
        <v>3088</v>
      </c>
      <c r="AH65" s="76">
        <v>200795</v>
      </c>
      <c r="AI65" s="76">
        <v>31114</v>
      </c>
      <c r="AJ65" s="76">
        <v>11261</v>
      </c>
      <c r="AK65" s="76">
        <v>19864</v>
      </c>
      <c r="AL65" s="76">
        <v>15516</v>
      </c>
      <c r="AM65" s="76">
        <v>0</v>
      </c>
      <c r="AN65" s="76">
        <v>823</v>
      </c>
      <c r="AO65" s="76">
        <v>27653</v>
      </c>
      <c r="AP65" s="76">
        <v>1394</v>
      </c>
      <c r="AQ65" s="76">
        <v>31891</v>
      </c>
      <c r="AR65" s="76">
        <v>139516</v>
      </c>
      <c r="AS65" s="76">
        <v>61279</v>
      </c>
      <c r="AT65" s="76">
        <v>1768</v>
      </c>
      <c r="AU65" s="76">
        <v>2426047</v>
      </c>
      <c r="AV65" s="76">
        <v>0</v>
      </c>
      <c r="AW65" s="76">
        <v>20836</v>
      </c>
      <c r="AX65" s="76">
        <v>0</v>
      </c>
      <c r="AY65" s="76">
        <v>4521</v>
      </c>
      <c r="AZ65" s="76">
        <v>9102</v>
      </c>
      <c r="BA65" s="76">
        <v>0</v>
      </c>
      <c r="BB65" s="76">
        <v>0</v>
      </c>
      <c r="BC65" s="76">
        <v>0</v>
      </c>
      <c r="BD65" s="76">
        <v>1932</v>
      </c>
      <c r="BE65" s="76">
        <v>2462438</v>
      </c>
      <c r="BF65" s="76">
        <v>165514</v>
      </c>
      <c r="BG65" s="76">
        <v>16585</v>
      </c>
      <c r="BH65" s="76">
        <v>35656</v>
      </c>
      <c r="BI65" s="76">
        <v>0</v>
      </c>
      <c r="BJ65" s="76">
        <v>5922</v>
      </c>
      <c r="BK65" s="76">
        <v>223677</v>
      </c>
      <c r="BL65" s="76">
        <v>7732</v>
      </c>
      <c r="BM65" s="76">
        <v>358</v>
      </c>
      <c r="BN65" s="76">
        <v>0</v>
      </c>
      <c r="BO65" s="76">
        <v>89359</v>
      </c>
      <c r="BP65" s="76">
        <v>97449</v>
      </c>
      <c r="BQ65" s="76">
        <v>126228</v>
      </c>
      <c r="BR65" s="76">
        <v>2588666</v>
      </c>
      <c r="BS65" s="76">
        <v>781374</v>
      </c>
      <c r="BT65" s="76">
        <v>0</v>
      </c>
      <c r="BU65" s="76">
        <v>0</v>
      </c>
      <c r="BV65" s="76">
        <v>1110129</v>
      </c>
      <c r="BW65" s="76">
        <v>4406</v>
      </c>
      <c r="BX65" s="76">
        <v>5410</v>
      </c>
      <c r="BY65" s="76">
        <v>33708</v>
      </c>
      <c r="BZ65" s="76">
        <v>1935027</v>
      </c>
      <c r="CA65" s="76">
        <v>1232</v>
      </c>
      <c r="CB65" s="76">
        <v>0</v>
      </c>
      <c r="CC65" s="76">
        <v>652407</v>
      </c>
      <c r="CD65" s="76">
        <v>657136</v>
      </c>
      <c r="CE65" s="76">
        <v>0</v>
      </c>
      <c r="CF65" s="76">
        <v>0</v>
      </c>
      <c r="CG65" s="76">
        <v>-4729</v>
      </c>
      <c r="CH65" s="76">
        <v>0</v>
      </c>
      <c r="CI65" s="76">
        <v>652407</v>
      </c>
      <c r="CJ65" s="76">
        <v>28316</v>
      </c>
      <c r="CK65" s="76">
        <v>17164</v>
      </c>
      <c r="CL65" s="76">
        <v>0</v>
      </c>
      <c r="CM65" s="76">
        <v>11152</v>
      </c>
      <c r="CN65" s="76">
        <v>0</v>
      </c>
      <c r="CO65" s="76">
        <v>0</v>
      </c>
      <c r="CP65" s="76">
        <v>0</v>
      </c>
      <c r="CQ65" s="76">
        <v>0</v>
      </c>
      <c r="CR65" s="76">
        <v>0</v>
      </c>
      <c r="CS65" s="76">
        <v>0</v>
      </c>
      <c r="CT65" s="76">
        <v>0</v>
      </c>
      <c r="CU65" s="76">
        <v>0</v>
      </c>
      <c r="CV65" s="76">
        <v>0</v>
      </c>
      <c r="CW65" s="76">
        <v>0</v>
      </c>
      <c r="CX65" s="76">
        <v>0</v>
      </c>
      <c r="CY65" s="76">
        <v>0</v>
      </c>
      <c r="CZ65" s="76">
        <v>1348</v>
      </c>
      <c r="DA65" s="76">
        <v>0</v>
      </c>
      <c r="DB65" s="76">
        <v>5267</v>
      </c>
      <c r="DC65" s="76">
        <v>-3919</v>
      </c>
      <c r="DD65" s="76">
        <v>29664</v>
      </c>
      <c r="DE65" s="76">
        <v>17164</v>
      </c>
      <c r="DF65" s="76">
        <v>5267</v>
      </c>
      <c r="DG65" s="76">
        <v>7233</v>
      </c>
      <c r="DH65" s="76">
        <v>33526</v>
      </c>
      <c r="DI65" s="76">
        <v>25188</v>
      </c>
      <c r="DJ65" s="76">
        <v>0</v>
      </c>
      <c r="DK65" s="76">
        <v>8338</v>
      </c>
      <c r="DL65" s="76">
        <v>0</v>
      </c>
      <c r="DM65" s="76">
        <v>0</v>
      </c>
      <c r="DN65" s="76">
        <v>0</v>
      </c>
      <c r="DO65" s="76">
        <v>0</v>
      </c>
      <c r="DP65" s="76">
        <v>0</v>
      </c>
      <c r="DQ65" s="76">
        <v>0</v>
      </c>
      <c r="DR65" s="76">
        <v>0</v>
      </c>
      <c r="DS65" s="76">
        <v>0</v>
      </c>
      <c r="DT65" s="76">
        <v>0</v>
      </c>
      <c r="DU65" s="76">
        <v>0</v>
      </c>
      <c r="DV65" s="76">
        <v>0</v>
      </c>
      <c r="DW65" s="76">
        <v>0</v>
      </c>
      <c r="DX65" s="76">
        <v>0</v>
      </c>
      <c r="DY65" s="76">
        <v>0</v>
      </c>
      <c r="DZ65" s="76">
        <v>0</v>
      </c>
      <c r="EA65" s="76">
        <v>0</v>
      </c>
      <c r="EB65" s="76">
        <v>1079</v>
      </c>
      <c r="EC65" s="76">
        <v>0</v>
      </c>
      <c r="ED65" s="76">
        <v>665</v>
      </c>
      <c r="EE65" s="76">
        <v>414</v>
      </c>
      <c r="EF65" s="76">
        <v>34605</v>
      </c>
      <c r="EG65" s="76">
        <v>25188</v>
      </c>
      <c r="EH65" s="76">
        <v>665</v>
      </c>
      <c r="EI65" s="76">
        <v>8752</v>
      </c>
      <c r="EJ65" s="76">
        <v>64269</v>
      </c>
      <c r="EK65" s="76">
        <v>42352</v>
      </c>
      <c r="EL65" s="76">
        <v>5932</v>
      </c>
      <c r="EM65" s="76">
        <v>15985</v>
      </c>
      <c r="EN65" s="76">
        <v>6267</v>
      </c>
      <c r="EO65" s="76">
        <v>3261</v>
      </c>
      <c r="EP65" s="76">
        <v>2653</v>
      </c>
      <c r="EQ65" s="76">
        <v>3261</v>
      </c>
      <c r="ER65" s="76">
        <v>2532308</v>
      </c>
      <c r="ES65" s="76">
        <v>0</v>
      </c>
      <c r="ET65" s="76">
        <v>2532308</v>
      </c>
      <c r="EU65" s="76">
        <v>140392</v>
      </c>
      <c r="EV65" s="76">
        <v>-18384</v>
      </c>
      <c r="EW65" s="76">
        <v>0</v>
      </c>
      <c r="EX65" s="76">
        <v>0</v>
      </c>
      <c r="EY65" s="76">
        <v>-1394</v>
      </c>
      <c r="EZ65" s="76">
        <v>2652922</v>
      </c>
      <c r="FA65" s="76">
        <v>203185</v>
      </c>
      <c r="FB65" s="76">
        <v>27653</v>
      </c>
      <c r="FC65" s="76">
        <v>0</v>
      </c>
      <c r="FD65" s="76">
        <v>0</v>
      </c>
      <c r="FE65" s="76">
        <v>-3963</v>
      </c>
      <c r="FF65" s="76">
        <v>0</v>
      </c>
      <c r="FG65" s="76">
        <v>0</v>
      </c>
      <c r="FH65" s="76">
        <v>226875</v>
      </c>
      <c r="FI65" s="76">
        <v>2426047</v>
      </c>
      <c r="FJ65" s="76">
        <v>2329123</v>
      </c>
      <c r="FK65" s="76">
        <v>28563</v>
      </c>
      <c r="FL65" s="76">
        <v>12812</v>
      </c>
      <c r="FM65" s="76">
        <v>15751</v>
      </c>
      <c r="FN65" s="76">
        <v>0</v>
      </c>
      <c r="FO65" s="76">
        <v>0</v>
      </c>
      <c r="FP65" s="76">
        <v>0</v>
      </c>
      <c r="FQ65" s="76">
        <v>0</v>
      </c>
      <c r="FR65" s="76">
        <v>0</v>
      </c>
      <c r="FS65" s="76">
        <v>0</v>
      </c>
      <c r="FT65" s="76">
        <v>20713</v>
      </c>
      <c r="FU65" s="76">
        <v>2270</v>
      </c>
      <c r="FV65" s="76">
        <v>18443</v>
      </c>
      <c r="FW65" s="76">
        <v>29</v>
      </c>
      <c r="FX65" s="76">
        <v>29</v>
      </c>
      <c r="FY65" s="76">
        <v>0</v>
      </c>
      <c r="FZ65" s="76">
        <v>0</v>
      </c>
      <c r="GA65" s="76">
        <v>0</v>
      </c>
      <c r="GB65" s="76">
        <v>0</v>
      </c>
      <c r="GC65" s="76">
        <v>49305</v>
      </c>
      <c r="GD65" s="76">
        <v>15111</v>
      </c>
      <c r="GE65" s="76">
        <v>34194</v>
      </c>
      <c r="GF65" s="76">
        <v>0</v>
      </c>
      <c r="GG65" s="76">
        <v>169</v>
      </c>
      <c r="GH65" s="76">
        <v>1523</v>
      </c>
      <c r="GI65" s="76">
        <v>0</v>
      </c>
      <c r="GJ65" s="76">
        <v>0</v>
      </c>
      <c r="GK65" s="76">
        <v>4230</v>
      </c>
      <c r="GL65" s="76">
        <v>5922</v>
      </c>
      <c r="GM65" s="76">
        <v>7606</v>
      </c>
      <c r="GN65" s="76">
        <v>4487</v>
      </c>
      <c r="GO65" s="76">
        <v>0</v>
      </c>
      <c r="GP65" s="76">
        <v>909</v>
      </c>
      <c r="GQ65" s="76">
        <v>1419</v>
      </c>
      <c r="GR65" s="76">
        <v>62899</v>
      </c>
      <c r="GS65" s="76">
        <v>0</v>
      </c>
      <c r="GT65" s="76">
        <v>0</v>
      </c>
      <c r="GU65" s="76">
        <v>2217</v>
      </c>
      <c r="GV65" s="76">
        <v>0</v>
      </c>
      <c r="GW65" s="76">
        <v>9822</v>
      </c>
      <c r="GX65" s="76">
        <v>89359</v>
      </c>
      <c r="GY65" s="76">
        <v>22077</v>
      </c>
      <c r="GZ65" s="76">
        <v>2367</v>
      </c>
      <c r="HA65" s="76">
        <v>14161</v>
      </c>
      <c r="HB65" s="76">
        <v>-4897</v>
      </c>
      <c r="HC65" s="76">
        <v>33708</v>
      </c>
      <c r="HD65" s="76">
        <v>0</v>
      </c>
      <c r="HE65" s="76">
        <v>0</v>
      </c>
      <c r="HF65" s="76">
        <v>0</v>
      </c>
      <c r="HG65" s="76">
        <v>27726</v>
      </c>
      <c r="HH65" s="76">
        <v>0</v>
      </c>
      <c r="HI65" s="76">
        <v>1131</v>
      </c>
      <c r="HJ65" s="76">
        <v>67</v>
      </c>
      <c r="HK65" s="76">
        <v>58</v>
      </c>
      <c r="HL65" s="76">
        <v>-10300</v>
      </c>
      <c r="HM65" s="76">
        <v>18682</v>
      </c>
      <c r="HN65" s="76">
        <v>20542</v>
      </c>
      <c r="HO65" s="76">
        <v>29737</v>
      </c>
      <c r="HP65" s="76">
        <v>1394</v>
      </c>
      <c r="HQ65" s="76">
        <v>830</v>
      </c>
      <c r="HR65" s="76">
        <v>-235</v>
      </c>
      <c r="HS65" s="76">
        <v>-410</v>
      </c>
      <c r="HT65" s="76">
        <v>25018</v>
      </c>
      <c r="HU65" s="76">
        <v>0</v>
      </c>
      <c r="HV65" s="76">
        <v>0</v>
      </c>
      <c r="HW65" s="76">
        <v>294</v>
      </c>
      <c r="HX65" s="76">
        <v>294</v>
      </c>
    </row>
    <row r="66" spans="1:232" x14ac:dyDescent="0.2">
      <c r="A66" s="74" t="s">
        <v>369</v>
      </c>
      <c r="B66" s="74" t="s">
        <v>370</v>
      </c>
      <c r="C66" s="75" t="s">
        <v>200</v>
      </c>
      <c r="D66" s="75">
        <v>12</v>
      </c>
      <c r="E66" s="76">
        <v>49290</v>
      </c>
      <c r="F66" s="76">
        <v>0</v>
      </c>
      <c r="G66" s="76">
        <v>-32825</v>
      </c>
      <c r="H66" s="76">
        <v>16465</v>
      </c>
      <c r="I66" s="76">
        <v>1446</v>
      </c>
      <c r="J66" s="76">
        <v>0</v>
      </c>
      <c r="K66" s="76">
        <v>0</v>
      </c>
      <c r="L66" s="76">
        <v>0</v>
      </c>
      <c r="M66" s="76">
        <v>49</v>
      </c>
      <c r="N66" s="76">
        <v>-2641</v>
      </c>
      <c r="O66" s="76">
        <v>0</v>
      </c>
      <c r="P66" s="76">
        <v>0</v>
      </c>
      <c r="Q66" s="76">
        <v>0</v>
      </c>
      <c r="R66" s="76">
        <v>0</v>
      </c>
      <c r="S66" s="76">
        <v>15319</v>
      </c>
      <c r="T66" s="76">
        <v>0</v>
      </c>
      <c r="U66" s="76">
        <v>15319</v>
      </c>
      <c r="V66" s="76">
        <v>0</v>
      </c>
      <c r="W66" s="76">
        <v>-4891</v>
      </c>
      <c r="X66" s="76">
        <v>0</v>
      </c>
      <c r="Y66" s="76">
        <v>0</v>
      </c>
      <c r="Z66" s="76">
        <v>10428</v>
      </c>
      <c r="AA66" s="76">
        <v>45996</v>
      </c>
      <c r="AB66" s="76">
        <v>675</v>
      </c>
      <c r="AC66" s="76">
        <v>46671</v>
      </c>
      <c r="AD66" s="76">
        <v>75</v>
      </c>
      <c r="AE66" s="76">
        <v>0</v>
      </c>
      <c r="AF66" s="76">
        <v>0</v>
      </c>
      <c r="AG66" s="76">
        <v>0</v>
      </c>
      <c r="AH66" s="76">
        <v>46746</v>
      </c>
      <c r="AI66" s="76">
        <v>10362</v>
      </c>
      <c r="AJ66" s="76">
        <v>2766</v>
      </c>
      <c r="AK66" s="76">
        <v>6526</v>
      </c>
      <c r="AL66" s="76">
        <v>2709</v>
      </c>
      <c r="AM66" s="76">
        <v>3540</v>
      </c>
      <c r="AN66" s="76">
        <v>388</v>
      </c>
      <c r="AO66" s="76">
        <v>4830</v>
      </c>
      <c r="AP66" s="76">
        <v>0</v>
      </c>
      <c r="AQ66" s="76">
        <v>0</v>
      </c>
      <c r="AR66" s="76">
        <v>31121</v>
      </c>
      <c r="AS66" s="76">
        <v>15625</v>
      </c>
      <c r="AT66" s="76">
        <v>567</v>
      </c>
      <c r="AU66" s="76">
        <v>96753</v>
      </c>
      <c r="AV66" s="76">
        <v>0</v>
      </c>
      <c r="AW66" s="76">
        <v>8500</v>
      </c>
      <c r="AX66" s="76">
        <v>0</v>
      </c>
      <c r="AY66" s="76">
        <v>0</v>
      </c>
      <c r="AZ66" s="76">
        <v>0</v>
      </c>
      <c r="BA66" s="76">
        <v>0</v>
      </c>
      <c r="BB66" s="76">
        <v>0</v>
      </c>
      <c r="BC66" s="76">
        <v>0</v>
      </c>
      <c r="BD66" s="76">
        <v>0</v>
      </c>
      <c r="BE66" s="76">
        <v>105253</v>
      </c>
      <c r="BF66" s="76">
        <v>0</v>
      </c>
      <c r="BG66" s="76">
        <v>21271</v>
      </c>
      <c r="BH66" s="76">
        <v>11816</v>
      </c>
      <c r="BI66" s="76">
        <v>5000</v>
      </c>
      <c r="BJ66" s="76">
        <v>90336</v>
      </c>
      <c r="BK66" s="76">
        <v>128423</v>
      </c>
      <c r="BL66" s="76">
        <v>0</v>
      </c>
      <c r="BM66" s="76">
        <v>0</v>
      </c>
      <c r="BN66" s="76">
        <v>75</v>
      </c>
      <c r="BO66" s="76">
        <v>10083</v>
      </c>
      <c r="BP66" s="76">
        <v>10158</v>
      </c>
      <c r="BQ66" s="76">
        <v>118265</v>
      </c>
      <c r="BR66" s="76">
        <v>223518</v>
      </c>
      <c r="BS66" s="76">
        <v>26000</v>
      </c>
      <c r="BT66" s="76">
        <v>0</v>
      </c>
      <c r="BU66" s="76">
        <v>0</v>
      </c>
      <c r="BV66" s="76">
        <v>6779</v>
      </c>
      <c r="BW66" s="76">
        <v>0</v>
      </c>
      <c r="BX66" s="76">
        <v>0</v>
      </c>
      <c r="BY66" s="76">
        <v>241</v>
      </c>
      <c r="BZ66" s="76">
        <v>33020</v>
      </c>
      <c r="CA66" s="76">
        <v>20367</v>
      </c>
      <c r="CB66" s="76">
        <v>106253</v>
      </c>
      <c r="CC66" s="76">
        <v>63878</v>
      </c>
      <c r="CD66" s="76">
        <v>63878</v>
      </c>
      <c r="CE66" s="76">
        <v>0</v>
      </c>
      <c r="CF66" s="76">
        <v>0</v>
      </c>
      <c r="CG66" s="76">
        <v>0</v>
      </c>
      <c r="CH66" s="76">
        <v>0</v>
      </c>
      <c r="CI66" s="76">
        <v>63878</v>
      </c>
      <c r="CJ66" s="76">
        <v>0</v>
      </c>
      <c r="CK66" s="76">
        <v>0</v>
      </c>
      <c r="CL66" s="76">
        <v>0</v>
      </c>
      <c r="CM66" s="76">
        <v>0</v>
      </c>
      <c r="CN66" s="76">
        <v>0</v>
      </c>
      <c r="CO66" s="76">
        <v>0</v>
      </c>
      <c r="CP66" s="76">
        <v>0</v>
      </c>
      <c r="CQ66" s="76">
        <v>0</v>
      </c>
      <c r="CR66" s="76">
        <v>0</v>
      </c>
      <c r="CS66" s="76">
        <v>0</v>
      </c>
      <c r="CT66" s="76">
        <v>0</v>
      </c>
      <c r="CU66" s="76">
        <v>0</v>
      </c>
      <c r="CV66" s="76">
        <v>0</v>
      </c>
      <c r="CW66" s="76">
        <v>0</v>
      </c>
      <c r="CX66" s="76">
        <v>0</v>
      </c>
      <c r="CY66" s="76">
        <v>0</v>
      </c>
      <c r="CZ66" s="76">
        <v>2118</v>
      </c>
      <c r="DA66" s="76">
        <v>0</v>
      </c>
      <c r="DB66" s="76">
        <v>1558</v>
      </c>
      <c r="DC66" s="76">
        <v>560</v>
      </c>
      <c r="DD66" s="76">
        <v>2118</v>
      </c>
      <c r="DE66" s="76">
        <v>0</v>
      </c>
      <c r="DF66" s="76">
        <v>1558</v>
      </c>
      <c r="DG66" s="76">
        <v>560</v>
      </c>
      <c r="DH66" s="76">
        <v>0</v>
      </c>
      <c r="DI66" s="76">
        <v>0</v>
      </c>
      <c r="DJ66" s="76">
        <v>0</v>
      </c>
      <c r="DK66" s="76">
        <v>0</v>
      </c>
      <c r="DL66" s="76">
        <v>0</v>
      </c>
      <c r="DM66" s="76">
        <v>0</v>
      </c>
      <c r="DN66" s="76">
        <v>0</v>
      </c>
      <c r="DO66" s="76">
        <v>0</v>
      </c>
      <c r="DP66" s="76">
        <v>0</v>
      </c>
      <c r="DQ66" s="76">
        <v>0</v>
      </c>
      <c r="DR66" s="76">
        <v>0</v>
      </c>
      <c r="DS66" s="76">
        <v>0</v>
      </c>
      <c r="DT66" s="76">
        <v>0</v>
      </c>
      <c r="DU66" s="76">
        <v>0</v>
      </c>
      <c r="DV66" s="76">
        <v>0</v>
      </c>
      <c r="DW66" s="76">
        <v>0</v>
      </c>
      <c r="DX66" s="76">
        <v>0</v>
      </c>
      <c r="DY66" s="76">
        <v>0</v>
      </c>
      <c r="DZ66" s="76">
        <v>0</v>
      </c>
      <c r="EA66" s="76">
        <v>0</v>
      </c>
      <c r="EB66" s="76">
        <v>426</v>
      </c>
      <c r="EC66" s="76">
        <v>0</v>
      </c>
      <c r="ED66" s="76">
        <v>146</v>
      </c>
      <c r="EE66" s="76">
        <v>280</v>
      </c>
      <c r="EF66" s="76">
        <v>426</v>
      </c>
      <c r="EG66" s="76">
        <v>0</v>
      </c>
      <c r="EH66" s="76">
        <v>146</v>
      </c>
      <c r="EI66" s="76">
        <v>280</v>
      </c>
      <c r="EJ66" s="76">
        <v>2544</v>
      </c>
      <c r="EK66" s="76">
        <v>0</v>
      </c>
      <c r="EL66" s="76">
        <v>1704</v>
      </c>
      <c r="EM66" s="76">
        <v>840</v>
      </c>
      <c r="EN66" s="76">
        <v>640</v>
      </c>
      <c r="EO66" s="76">
        <v>552</v>
      </c>
      <c r="EP66" s="76">
        <v>373</v>
      </c>
      <c r="EQ66" s="76">
        <v>552</v>
      </c>
      <c r="ER66" s="76">
        <v>95648</v>
      </c>
      <c r="ES66" s="76">
        <v>0</v>
      </c>
      <c r="ET66" s="76">
        <v>95648</v>
      </c>
      <c r="EU66" s="76">
        <v>13896</v>
      </c>
      <c r="EV66" s="76">
        <v>-593</v>
      </c>
      <c r="EW66" s="76">
        <v>0</v>
      </c>
      <c r="EX66" s="76">
        <v>0</v>
      </c>
      <c r="EY66" s="76">
        <v>0</v>
      </c>
      <c r="EZ66" s="76">
        <v>108951</v>
      </c>
      <c r="FA66" s="76">
        <v>8371</v>
      </c>
      <c r="FB66" s="76">
        <v>3893</v>
      </c>
      <c r="FC66" s="76">
        <v>0</v>
      </c>
      <c r="FD66" s="76">
        <v>0</v>
      </c>
      <c r="FE66" s="76">
        <v>-66</v>
      </c>
      <c r="FF66" s="76">
        <v>0</v>
      </c>
      <c r="FG66" s="76">
        <v>0</v>
      </c>
      <c r="FH66" s="76">
        <v>12198</v>
      </c>
      <c r="FI66" s="76">
        <v>96753</v>
      </c>
      <c r="FJ66" s="76">
        <v>87277</v>
      </c>
      <c r="FK66" s="76">
        <v>0</v>
      </c>
      <c r="FL66" s="76">
        <v>0</v>
      </c>
      <c r="FM66" s="76">
        <v>0</v>
      </c>
      <c r="FN66" s="76">
        <v>1959</v>
      </c>
      <c r="FO66" s="76">
        <v>513</v>
      </c>
      <c r="FP66" s="76">
        <v>1446</v>
      </c>
      <c r="FQ66" s="76">
        <v>0</v>
      </c>
      <c r="FR66" s="76">
        <v>0</v>
      </c>
      <c r="FS66" s="76">
        <v>0</v>
      </c>
      <c r="FT66" s="76">
        <v>0</v>
      </c>
      <c r="FU66" s="76">
        <v>0</v>
      </c>
      <c r="FV66" s="76">
        <v>0</v>
      </c>
      <c r="FW66" s="76">
        <v>0</v>
      </c>
      <c r="FX66" s="76">
        <v>0</v>
      </c>
      <c r="FY66" s="76">
        <v>0</v>
      </c>
      <c r="FZ66" s="76">
        <v>0</v>
      </c>
      <c r="GA66" s="76">
        <v>0</v>
      </c>
      <c r="GB66" s="76">
        <v>0</v>
      </c>
      <c r="GC66" s="76">
        <v>1959</v>
      </c>
      <c r="GD66" s="76">
        <v>513</v>
      </c>
      <c r="GE66" s="76">
        <v>1446</v>
      </c>
      <c r="GF66" s="76">
        <v>0</v>
      </c>
      <c r="GG66" s="76">
        <v>0</v>
      </c>
      <c r="GH66" s="76">
        <v>0</v>
      </c>
      <c r="GI66" s="76">
        <v>0</v>
      </c>
      <c r="GJ66" s="76">
        <v>0</v>
      </c>
      <c r="GK66" s="76">
        <v>90336</v>
      </c>
      <c r="GL66" s="76">
        <v>90336</v>
      </c>
      <c r="GM66" s="76">
        <v>1720</v>
      </c>
      <c r="GN66" s="76">
        <v>2106</v>
      </c>
      <c r="GO66" s="76">
        <v>0</v>
      </c>
      <c r="GP66" s="76">
        <v>0</v>
      </c>
      <c r="GQ66" s="76">
        <v>0</v>
      </c>
      <c r="GR66" s="76">
        <v>4294</v>
      </c>
      <c r="GS66" s="76">
        <v>0</v>
      </c>
      <c r="GT66" s="76">
        <v>0</v>
      </c>
      <c r="GU66" s="76">
        <v>0</v>
      </c>
      <c r="GV66" s="76">
        <v>0</v>
      </c>
      <c r="GW66" s="76">
        <v>1963</v>
      </c>
      <c r="GX66" s="76">
        <v>10083</v>
      </c>
      <c r="GY66" s="76">
        <v>0</v>
      </c>
      <c r="GZ66" s="76">
        <v>240</v>
      </c>
      <c r="HA66" s="76">
        <v>0</v>
      </c>
      <c r="HB66" s="76">
        <v>1</v>
      </c>
      <c r="HC66" s="76">
        <v>241</v>
      </c>
      <c r="HD66" s="76">
        <v>0</v>
      </c>
      <c r="HE66" s="76">
        <v>106253</v>
      </c>
      <c r="HF66" s="76">
        <v>106253</v>
      </c>
      <c r="HG66" s="76">
        <v>1878</v>
      </c>
      <c r="HH66" s="76">
        <v>0</v>
      </c>
      <c r="HI66" s="76">
        <v>526</v>
      </c>
      <c r="HJ66" s="76">
        <v>1</v>
      </c>
      <c r="HK66" s="76">
        <v>236</v>
      </c>
      <c r="HL66" s="76">
        <v>0</v>
      </c>
      <c r="HM66" s="76">
        <v>2641</v>
      </c>
      <c r="HN66" s="76">
        <v>13331</v>
      </c>
      <c r="HO66" s="76">
        <v>4830</v>
      </c>
      <c r="HP66" s="76">
        <v>0</v>
      </c>
      <c r="HQ66" s="76">
        <v>2</v>
      </c>
      <c r="HR66" s="76">
        <v>-95</v>
      </c>
      <c r="HS66" s="76">
        <v>0</v>
      </c>
      <c r="HT66" s="76">
        <v>11571</v>
      </c>
      <c r="HU66" s="76">
        <v>0</v>
      </c>
      <c r="HV66" s="76">
        <v>0</v>
      </c>
      <c r="HW66" s="76">
        <v>0</v>
      </c>
      <c r="HX66" s="76">
        <v>0</v>
      </c>
    </row>
    <row r="67" spans="1:232" x14ac:dyDescent="0.2">
      <c r="A67" s="74" t="s">
        <v>69</v>
      </c>
      <c r="B67" s="74" t="s">
        <v>67</v>
      </c>
      <c r="C67" s="75" t="s">
        <v>200</v>
      </c>
      <c r="D67" s="75">
        <v>12</v>
      </c>
      <c r="E67" s="76">
        <v>131849</v>
      </c>
      <c r="F67" s="76">
        <v>-17093</v>
      </c>
      <c r="G67" s="76">
        <v>-67803</v>
      </c>
      <c r="H67" s="76">
        <v>46953</v>
      </c>
      <c r="I67" s="76">
        <v>3777</v>
      </c>
      <c r="J67" s="76">
        <v>0</v>
      </c>
      <c r="K67" s="76">
        <v>0</v>
      </c>
      <c r="L67" s="76">
        <v>0</v>
      </c>
      <c r="M67" s="76">
        <v>299</v>
      </c>
      <c r="N67" s="76">
        <v>-32091</v>
      </c>
      <c r="O67" s="76">
        <v>0</v>
      </c>
      <c r="P67" s="76">
        <v>-383</v>
      </c>
      <c r="Q67" s="76">
        <v>0</v>
      </c>
      <c r="R67" s="76">
        <v>0</v>
      </c>
      <c r="S67" s="76">
        <v>18555</v>
      </c>
      <c r="T67" s="76">
        <v>124</v>
      </c>
      <c r="U67" s="76">
        <v>18679</v>
      </c>
      <c r="V67" s="76">
        <v>0</v>
      </c>
      <c r="W67" s="76">
        <v>-735</v>
      </c>
      <c r="X67" s="76">
        <v>0</v>
      </c>
      <c r="Y67" s="76">
        <v>-44</v>
      </c>
      <c r="Z67" s="76">
        <v>17900</v>
      </c>
      <c r="AA67" s="76">
        <v>95325</v>
      </c>
      <c r="AB67" s="76">
        <v>5989</v>
      </c>
      <c r="AC67" s="76">
        <v>101314</v>
      </c>
      <c r="AD67" s="76">
        <v>3712</v>
      </c>
      <c r="AE67" s="76">
        <v>0</v>
      </c>
      <c r="AF67" s="76">
        <v>0</v>
      </c>
      <c r="AG67" s="76">
        <v>0</v>
      </c>
      <c r="AH67" s="76">
        <v>105026</v>
      </c>
      <c r="AI67" s="76">
        <v>13724</v>
      </c>
      <c r="AJ67" s="76">
        <v>6334</v>
      </c>
      <c r="AK67" s="76">
        <v>11321</v>
      </c>
      <c r="AL67" s="76">
        <v>3734</v>
      </c>
      <c r="AM67" s="76">
        <v>8503</v>
      </c>
      <c r="AN67" s="76">
        <v>609</v>
      </c>
      <c r="AO67" s="76">
        <v>15577</v>
      </c>
      <c r="AP67" s="76">
        <v>0</v>
      </c>
      <c r="AQ67" s="76">
        <v>83</v>
      </c>
      <c r="AR67" s="76">
        <v>59885</v>
      </c>
      <c r="AS67" s="76">
        <v>45141</v>
      </c>
      <c r="AT67" s="76">
        <v>547</v>
      </c>
      <c r="AU67" s="76">
        <v>1130641</v>
      </c>
      <c r="AV67" s="76">
        <v>0</v>
      </c>
      <c r="AW67" s="76">
        <v>14195</v>
      </c>
      <c r="AX67" s="76">
        <v>0</v>
      </c>
      <c r="AY67" s="76">
        <v>0</v>
      </c>
      <c r="AZ67" s="76">
        <v>0</v>
      </c>
      <c r="BA67" s="76">
        <v>0</v>
      </c>
      <c r="BB67" s="76">
        <v>0</v>
      </c>
      <c r="BC67" s="76">
        <v>0</v>
      </c>
      <c r="BD67" s="76">
        <v>2179</v>
      </c>
      <c r="BE67" s="76">
        <v>1147015</v>
      </c>
      <c r="BF67" s="76">
        <v>21921</v>
      </c>
      <c r="BG67" s="76">
        <v>275</v>
      </c>
      <c r="BH67" s="76">
        <v>23864</v>
      </c>
      <c r="BI67" s="76">
        <v>0</v>
      </c>
      <c r="BJ67" s="76">
        <v>6971</v>
      </c>
      <c r="BK67" s="76">
        <v>53031</v>
      </c>
      <c r="BL67" s="76">
        <v>7357</v>
      </c>
      <c r="BM67" s="76">
        <v>0</v>
      </c>
      <c r="BN67" s="76">
        <v>3931</v>
      </c>
      <c r="BO67" s="76">
        <v>27508</v>
      </c>
      <c r="BP67" s="76">
        <v>38796</v>
      </c>
      <c r="BQ67" s="76">
        <v>14235</v>
      </c>
      <c r="BR67" s="76">
        <v>1161250</v>
      </c>
      <c r="BS67" s="76">
        <v>614298</v>
      </c>
      <c r="BT67" s="76">
        <v>0</v>
      </c>
      <c r="BU67" s="76">
        <v>0</v>
      </c>
      <c r="BV67" s="76">
        <v>335293</v>
      </c>
      <c r="BW67" s="76">
        <v>0</v>
      </c>
      <c r="BX67" s="76">
        <v>0</v>
      </c>
      <c r="BY67" s="76">
        <v>10855</v>
      </c>
      <c r="BZ67" s="76">
        <v>960446</v>
      </c>
      <c r="CA67" s="76">
        <v>8100</v>
      </c>
      <c r="CB67" s="76">
        <v>105</v>
      </c>
      <c r="CC67" s="76">
        <v>192599</v>
      </c>
      <c r="CD67" s="76">
        <v>192449</v>
      </c>
      <c r="CE67" s="76">
        <v>150</v>
      </c>
      <c r="CF67" s="76">
        <v>0</v>
      </c>
      <c r="CG67" s="76">
        <v>0</v>
      </c>
      <c r="CH67" s="76">
        <v>0</v>
      </c>
      <c r="CI67" s="76">
        <v>192599</v>
      </c>
      <c r="CJ67" s="76">
        <v>11035</v>
      </c>
      <c r="CK67" s="76">
        <v>9028</v>
      </c>
      <c r="CL67" s="76">
        <v>0</v>
      </c>
      <c r="CM67" s="76">
        <v>2007</v>
      </c>
      <c r="CN67" s="76">
        <v>0</v>
      </c>
      <c r="CO67" s="76">
        <v>0</v>
      </c>
      <c r="CP67" s="76">
        <v>0</v>
      </c>
      <c r="CQ67" s="76">
        <v>0</v>
      </c>
      <c r="CR67" s="76">
        <v>0</v>
      </c>
      <c r="CS67" s="76">
        <v>0</v>
      </c>
      <c r="CT67" s="76">
        <v>0</v>
      </c>
      <c r="CU67" s="76">
        <v>0</v>
      </c>
      <c r="CV67" s="76">
        <v>0</v>
      </c>
      <c r="CW67" s="76">
        <v>0</v>
      </c>
      <c r="CX67" s="76">
        <v>0</v>
      </c>
      <c r="CY67" s="76">
        <v>0</v>
      </c>
      <c r="CZ67" s="76">
        <v>388</v>
      </c>
      <c r="DA67" s="76">
        <v>0</v>
      </c>
      <c r="DB67" s="76">
        <v>388</v>
      </c>
      <c r="DC67" s="76">
        <v>0</v>
      </c>
      <c r="DD67" s="76">
        <v>11423</v>
      </c>
      <c r="DE67" s="76">
        <v>9028</v>
      </c>
      <c r="DF67" s="76">
        <v>388</v>
      </c>
      <c r="DG67" s="76">
        <v>2007</v>
      </c>
      <c r="DH67" s="76">
        <v>7867</v>
      </c>
      <c r="DI67" s="76">
        <v>8065</v>
      </c>
      <c r="DJ67" s="76">
        <v>0</v>
      </c>
      <c r="DK67" s="76">
        <v>-198</v>
      </c>
      <c r="DL67" s="76">
        <v>0</v>
      </c>
      <c r="DM67" s="76">
        <v>0</v>
      </c>
      <c r="DN67" s="76">
        <v>0</v>
      </c>
      <c r="DO67" s="76">
        <v>0</v>
      </c>
      <c r="DP67" s="76">
        <v>0</v>
      </c>
      <c r="DQ67" s="76">
        <v>0</v>
      </c>
      <c r="DR67" s="76">
        <v>0</v>
      </c>
      <c r="DS67" s="76">
        <v>0</v>
      </c>
      <c r="DT67" s="76">
        <v>344</v>
      </c>
      <c r="DU67" s="76">
        <v>0</v>
      </c>
      <c r="DV67" s="76">
        <v>287</v>
      </c>
      <c r="DW67" s="76">
        <v>57</v>
      </c>
      <c r="DX67" s="76">
        <v>0</v>
      </c>
      <c r="DY67" s="76">
        <v>0</v>
      </c>
      <c r="DZ67" s="76">
        <v>0</v>
      </c>
      <c r="EA67" s="76">
        <v>0</v>
      </c>
      <c r="EB67" s="76">
        <v>7189</v>
      </c>
      <c r="EC67" s="76">
        <v>0</v>
      </c>
      <c r="ED67" s="76">
        <v>7243</v>
      </c>
      <c r="EE67" s="76">
        <v>-54</v>
      </c>
      <c r="EF67" s="76">
        <v>15400</v>
      </c>
      <c r="EG67" s="76">
        <v>8065</v>
      </c>
      <c r="EH67" s="76">
        <v>7530</v>
      </c>
      <c r="EI67" s="76">
        <v>-195</v>
      </c>
      <c r="EJ67" s="76">
        <v>26823</v>
      </c>
      <c r="EK67" s="76">
        <v>17093</v>
      </c>
      <c r="EL67" s="76">
        <v>7918</v>
      </c>
      <c r="EM67" s="76">
        <v>1812</v>
      </c>
      <c r="EN67" s="76">
        <v>4138</v>
      </c>
      <c r="EO67" s="76">
        <v>2277</v>
      </c>
      <c r="EP67" s="76">
        <v>774</v>
      </c>
      <c r="EQ67" s="76">
        <v>2277</v>
      </c>
      <c r="ER67" s="76">
        <v>1240065</v>
      </c>
      <c r="ES67" s="76">
        <v>0</v>
      </c>
      <c r="ET67" s="76">
        <v>1240065</v>
      </c>
      <c r="EU67" s="76">
        <v>43394</v>
      </c>
      <c r="EV67" s="76">
        <v>-12928</v>
      </c>
      <c r="EW67" s="76">
        <v>0</v>
      </c>
      <c r="EX67" s="76">
        <v>0</v>
      </c>
      <c r="EY67" s="76">
        <v>-9241</v>
      </c>
      <c r="EZ67" s="76">
        <v>1261290</v>
      </c>
      <c r="FA67" s="76">
        <v>121180</v>
      </c>
      <c r="FB67" s="76">
        <v>15656</v>
      </c>
      <c r="FC67" s="76">
        <v>-1907</v>
      </c>
      <c r="FD67" s="76">
        <v>0</v>
      </c>
      <c r="FE67" s="76">
        <v>-3680</v>
      </c>
      <c r="FF67" s="76">
        <v>0</v>
      </c>
      <c r="FG67" s="76">
        <v>-600</v>
      </c>
      <c r="FH67" s="76">
        <v>130649</v>
      </c>
      <c r="FI67" s="76">
        <v>1130641</v>
      </c>
      <c r="FJ67" s="76">
        <v>1118885</v>
      </c>
      <c r="FK67" s="76">
        <v>4001</v>
      </c>
      <c r="FL67" s="76">
        <v>2594</v>
      </c>
      <c r="FM67" s="76">
        <v>1407</v>
      </c>
      <c r="FN67" s="76">
        <v>2028</v>
      </c>
      <c r="FO67" s="76">
        <v>1688</v>
      </c>
      <c r="FP67" s="76">
        <v>340</v>
      </c>
      <c r="FQ67" s="76">
        <v>0</v>
      </c>
      <c r="FR67" s="76">
        <v>0</v>
      </c>
      <c r="FS67" s="76">
        <v>0</v>
      </c>
      <c r="FT67" s="76">
        <v>120</v>
      </c>
      <c r="FU67" s="76">
        <v>70</v>
      </c>
      <c r="FV67" s="76">
        <v>50</v>
      </c>
      <c r="FW67" s="76">
        <v>2704</v>
      </c>
      <c r="FX67" s="76">
        <v>1653</v>
      </c>
      <c r="FY67" s="76">
        <v>1051</v>
      </c>
      <c r="FZ67" s="76">
        <v>1213</v>
      </c>
      <c r="GA67" s="76">
        <v>284</v>
      </c>
      <c r="GB67" s="76">
        <v>929</v>
      </c>
      <c r="GC67" s="76">
        <v>10066</v>
      </c>
      <c r="GD67" s="76">
        <v>6289</v>
      </c>
      <c r="GE67" s="76">
        <v>3777</v>
      </c>
      <c r="GF67" s="76">
        <v>0</v>
      </c>
      <c r="GG67" s="76">
        <v>5</v>
      </c>
      <c r="GH67" s="76">
        <v>631</v>
      </c>
      <c r="GI67" s="76">
        <v>0</v>
      </c>
      <c r="GJ67" s="76">
        <v>0</v>
      </c>
      <c r="GK67" s="76">
        <v>6335</v>
      </c>
      <c r="GL67" s="76">
        <v>6971</v>
      </c>
      <c r="GM67" s="76">
        <v>1899</v>
      </c>
      <c r="GN67" s="76">
        <v>1600</v>
      </c>
      <c r="GO67" s="76">
        <v>0</v>
      </c>
      <c r="GP67" s="76">
        <v>0</v>
      </c>
      <c r="GQ67" s="76">
        <v>0</v>
      </c>
      <c r="GR67" s="76">
        <v>17295</v>
      </c>
      <c r="GS67" s="76">
        <v>0</v>
      </c>
      <c r="GT67" s="76">
        <v>0</v>
      </c>
      <c r="GU67" s="76">
        <v>929</v>
      </c>
      <c r="GV67" s="76">
        <v>0</v>
      </c>
      <c r="GW67" s="76">
        <v>5785</v>
      </c>
      <c r="GX67" s="76">
        <v>27508</v>
      </c>
      <c r="GY67" s="76">
        <v>4488</v>
      </c>
      <c r="GZ67" s="76">
        <v>0</v>
      </c>
      <c r="HA67" s="76">
        <v>6367</v>
      </c>
      <c r="HB67" s="76">
        <v>0</v>
      </c>
      <c r="HC67" s="76">
        <v>10855</v>
      </c>
      <c r="HD67" s="76">
        <v>0</v>
      </c>
      <c r="HE67" s="76">
        <v>105</v>
      </c>
      <c r="HF67" s="76">
        <v>105</v>
      </c>
      <c r="HG67" s="76">
        <v>23701</v>
      </c>
      <c r="HH67" s="76">
        <v>1094</v>
      </c>
      <c r="HI67" s="76">
        <v>381</v>
      </c>
      <c r="HJ67" s="76">
        <v>13</v>
      </c>
      <c r="HK67" s="76">
        <v>9692</v>
      </c>
      <c r="HL67" s="76">
        <v>-2790</v>
      </c>
      <c r="HM67" s="76">
        <v>32091</v>
      </c>
      <c r="HN67" s="76">
        <v>7932</v>
      </c>
      <c r="HO67" s="76">
        <v>17088</v>
      </c>
      <c r="HP67" s="76">
        <v>-1907</v>
      </c>
      <c r="HQ67" s="76">
        <v>247</v>
      </c>
      <c r="HR67" s="76">
        <v>-18</v>
      </c>
      <c r="HS67" s="76">
        <v>-188</v>
      </c>
      <c r="HT67" s="76">
        <v>18373</v>
      </c>
      <c r="HU67" s="76">
        <v>0</v>
      </c>
      <c r="HV67" s="76">
        <v>0</v>
      </c>
      <c r="HW67" s="76">
        <v>3</v>
      </c>
      <c r="HX67" s="76">
        <v>590</v>
      </c>
    </row>
    <row r="68" spans="1:232" x14ac:dyDescent="0.2">
      <c r="A68" s="74" t="s">
        <v>371</v>
      </c>
      <c r="B68" s="74" t="s">
        <v>70</v>
      </c>
      <c r="C68" s="75" t="s">
        <v>200</v>
      </c>
      <c r="D68" s="75">
        <v>12</v>
      </c>
      <c r="E68" s="76">
        <v>119574</v>
      </c>
      <c r="F68" s="76">
        <v>-4177</v>
      </c>
      <c r="G68" s="76">
        <v>-62973</v>
      </c>
      <c r="H68" s="76">
        <v>52424</v>
      </c>
      <c r="I68" s="76">
        <v>1928</v>
      </c>
      <c r="J68" s="76">
        <v>0</v>
      </c>
      <c r="K68" s="76">
        <v>0</v>
      </c>
      <c r="L68" s="76">
        <v>0</v>
      </c>
      <c r="M68" s="76">
        <v>1031</v>
      </c>
      <c r="N68" s="76">
        <v>-24956</v>
      </c>
      <c r="O68" s="76">
        <v>1293</v>
      </c>
      <c r="P68" s="76">
        <v>0</v>
      </c>
      <c r="Q68" s="76">
        <v>0</v>
      </c>
      <c r="R68" s="76">
        <v>0</v>
      </c>
      <c r="S68" s="76">
        <v>31720</v>
      </c>
      <c r="T68" s="76">
        <v>-246</v>
      </c>
      <c r="U68" s="76">
        <v>31474</v>
      </c>
      <c r="V68" s="76">
        <v>0</v>
      </c>
      <c r="W68" s="76">
        <v>-2531</v>
      </c>
      <c r="X68" s="76">
        <v>0</v>
      </c>
      <c r="Y68" s="76">
        <v>0</v>
      </c>
      <c r="Z68" s="76">
        <v>28943</v>
      </c>
      <c r="AA68" s="76">
        <v>101449</v>
      </c>
      <c r="AB68" s="76">
        <v>2878</v>
      </c>
      <c r="AC68" s="76">
        <v>104327</v>
      </c>
      <c r="AD68" s="76">
        <v>2180</v>
      </c>
      <c r="AE68" s="76">
        <v>0</v>
      </c>
      <c r="AF68" s="76">
        <v>0</v>
      </c>
      <c r="AG68" s="76">
        <v>0</v>
      </c>
      <c r="AH68" s="76">
        <v>106507</v>
      </c>
      <c r="AI68" s="76">
        <v>15526</v>
      </c>
      <c r="AJ68" s="76">
        <v>4794</v>
      </c>
      <c r="AK68" s="76">
        <v>15429</v>
      </c>
      <c r="AL68" s="76">
        <v>2294</v>
      </c>
      <c r="AM68" s="76">
        <v>0</v>
      </c>
      <c r="AN68" s="76">
        <v>822</v>
      </c>
      <c r="AO68" s="76">
        <v>18562</v>
      </c>
      <c r="AP68" s="76">
        <v>0</v>
      </c>
      <c r="AQ68" s="76">
        <v>0</v>
      </c>
      <c r="AR68" s="76">
        <v>57427</v>
      </c>
      <c r="AS68" s="76">
        <v>49080</v>
      </c>
      <c r="AT68" s="76">
        <v>1468</v>
      </c>
      <c r="AU68" s="76">
        <v>1277725</v>
      </c>
      <c r="AV68" s="76">
        <v>0</v>
      </c>
      <c r="AW68" s="76">
        <v>6184</v>
      </c>
      <c r="AX68" s="76">
        <v>5734</v>
      </c>
      <c r="AY68" s="76">
        <v>38</v>
      </c>
      <c r="AZ68" s="76">
        <v>62395</v>
      </c>
      <c r="BA68" s="76">
        <v>0</v>
      </c>
      <c r="BB68" s="76">
        <v>0</v>
      </c>
      <c r="BC68" s="76">
        <v>0</v>
      </c>
      <c r="BD68" s="76">
        <v>12236</v>
      </c>
      <c r="BE68" s="76">
        <v>1364312</v>
      </c>
      <c r="BF68" s="76">
        <v>6250</v>
      </c>
      <c r="BG68" s="76">
        <v>14596</v>
      </c>
      <c r="BH68" s="76">
        <v>43589</v>
      </c>
      <c r="BI68" s="76">
        <v>30450</v>
      </c>
      <c r="BJ68" s="76">
        <v>0</v>
      </c>
      <c r="BK68" s="76">
        <v>94885</v>
      </c>
      <c r="BL68" s="76">
        <v>7360</v>
      </c>
      <c r="BM68" s="76">
        <v>0</v>
      </c>
      <c r="BN68" s="76">
        <v>2290</v>
      </c>
      <c r="BO68" s="76">
        <v>32161</v>
      </c>
      <c r="BP68" s="76">
        <v>41811</v>
      </c>
      <c r="BQ68" s="76">
        <v>53074</v>
      </c>
      <c r="BR68" s="76">
        <v>1417386</v>
      </c>
      <c r="BS68" s="76">
        <v>589936</v>
      </c>
      <c r="BT68" s="76">
        <v>0</v>
      </c>
      <c r="BU68" s="76">
        <v>15309</v>
      </c>
      <c r="BV68" s="76">
        <v>194609</v>
      </c>
      <c r="BW68" s="76">
        <v>0</v>
      </c>
      <c r="BX68" s="76">
        <v>0</v>
      </c>
      <c r="BY68" s="76">
        <v>6682</v>
      </c>
      <c r="BZ68" s="76">
        <v>806536</v>
      </c>
      <c r="CA68" s="76">
        <v>7369</v>
      </c>
      <c r="CB68" s="76">
        <v>86</v>
      </c>
      <c r="CC68" s="76">
        <v>603395</v>
      </c>
      <c r="CD68" s="76">
        <v>189347</v>
      </c>
      <c r="CE68" s="76">
        <v>414048</v>
      </c>
      <c r="CF68" s="76">
        <v>0</v>
      </c>
      <c r="CG68" s="76">
        <v>0</v>
      </c>
      <c r="CH68" s="76">
        <v>0</v>
      </c>
      <c r="CI68" s="76">
        <v>603395</v>
      </c>
      <c r="CJ68" s="76">
        <v>2278</v>
      </c>
      <c r="CK68" s="76">
        <v>1610</v>
      </c>
      <c r="CL68" s="76">
        <v>0</v>
      </c>
      <c r="CM68" s="76">
        <v>668</v>
      </c>
      <c r="CN68" s="76">
        <v>143</v>
      </c>
      <c r="CO68" s="76">
        <v>0</v>
      </c>
      <c r="CP68" s="76">
        <v>133</v>
      </c>
      <c r="CQ68" s="76">
        <v>10</v>
      </c>
      <c r="CR68" s="76">
        <v>0</v>
      </c>
      <c r="CS68" s="76">
        <v>0</v>
      </c>
      <c r="CT68" s="76">
        <v>0</v>
      </c>
      <c r="CU68" s="76">
        <v>0</v>
      </c>
      <c r="CV68" s="76">
        <v>0</v>
      </c>
      <c r="CW68" s="76">
        <v>0</v>
      </c>
      <c r="CX68" s="76">
        <v>0</v>
      </c>
      <c r="CY68" s="76">
        <v>0</v>
      </c>
      <c r="CZ68" s="76">
        <v>160</v>
      </c>
      <c r="DA68" s="76">
        <v>0</v>
      </c>
      <c r="DB68" s="76">
        <v>37</v>
      </c>
      <c r="DC68" s="76">
        <v>123</v>
      </c>
      <c r="DD68" s="76">
        <v>2581</v>
      </c>
      <c r="DE68" s="76">
        <v>1610</v>
      </c>
      <c r="DF68" s="76">
        <v>170</v>
      </c>
      <c r="DG68" s="76">
        <v>801</v>
      </c>
      <c r="DH68" s="76">
        <v>0</v>
      </c>
      <c r="DI68" s="76">
        <v>0</v>
      </c>
      <c r="DJ68" s="76">
        <v>0</v>
      </c>
      <c r="DK68" s="76">
        <v>0</v>
      </c>
      <c r="DL68" s="76">
        <v>2282</v>
      </c>
      <c r="DM68" s="76">
        <v>0</v>
      </c>
      <c r="DN68" s="76">
        <v>1674</v>
      </c>
      <c r="DO68" s="76">
        <v>608</v>
      </c>
      <c r="DP68" s="76">
        <v>0</v>
      </c>
      <c r="DQ68" s="76">
        <v>0</v>
      </c>
      <c r="DR68" s="76">
        <v>0</v>
      </c>
      <c r="DS68" s="76">
        <v>0</v>
      </c>
      <c r="DT68" s="76">
        <v>2842</v>
      </c>
      <c r="DU68" s="76">
        <v>0</v>
      </c>
      <c r="DV68" s="76">
        <v>2084</v>
      </c>
      <c r="DW68" s="76">
        <v>758</v>
      </c>
      <c r="DX68" s="76">
        <v>0</v>
      </c>
      <c r="DY68" s="76">
        <v>0</v>
      </c>
      <c r="DZ68" s="76">
        <v>0</v>
      </c>
      <c r="EA68" s="76">
        <v>0</v>
      </c>
      <c r="EB68" s="76">
        <v>5362</v>
      </c>
      <c r="EC68" s="76">
        <v>2567</v>
      </c>
      <c r="ED68" s="76">
        <v>1618</v>
      </c>
      <c r="EE68" s="76">
        <v>1177</v>
      </c>
      <c r="EF68" s="76">
        <v>10486</v>
      </c>
      <c r="EG68" s="76">
        <v>2567</v>
      </c>
      <c r="EH68" s="76">
        <v>5376</v>
      </c>
      <c r="EI68" s="76">
        <v>2543</v>
      </c>
      <c r="EJ68" s="76">
        <v>13067</v>
      </c>
      <c r="EK68" s="76">
        <v>4177</v>
      </c>
      <c r="EL68" s="76">
        <v>5546</v>
      </c>
      <c r="EM68" s="76">
        <v>3344</v>
      </c>
      <c r="EN68" s="76">
        <v>4534</v>
      </c>
      <c r="EO68" s="76">
        <v>2634</v>
      </c>
      <c r="EP68" s="76">
        <v>1123</v>
      </c>
      <c r="EQ68" s="76">
        <v>2634</v>
      </c>
      <c r="ER68" s="76">
        <v>1425419</v>
      </c>
      <c r="ES68" s="76">
        <v>0</v>
      </c>
      <c r="ET68" s="76">
        <v>1425419</v>
      </c>
      <c r="EU68" s="76">
        <v>29745</v>
      </c>
      <c r="EV68" s="76">
        <v>-7953</v>
      </c>
      <c r="EW68" s="76">
        <v>0</v>
      </c>
      <c r="EX68" s="76">
        <v>0</v>
      </c>
      <c r="EY68" s="76">
        <v>420</v>
      </c>
      <c r="EZ68" s="76">
        <v>1447631</v>
      </c>
      <c r="FA68" s="76">
        <v>153022</v>
      </c>
      <c r="FB68" s="76">
        <v>18305</v>
      </c>
      <c r="FC68" s="76">
        <v>0</v>
      </c>
      <c r="FD68" s="76">
        <v>0</v>
      </c>
      <c r="FE68" s="76">
        <v>-1421</v>
      </c>
      <c r="FF68" s="76">
        <v>0</v>
      </c>
      <c r="FG68" s="76">
        <v>0</v>
      </c>
      <c r="FH68" s="76">
        <v>169906</v>
      </c>
      <c r="FI68" s="76">
        <v>1277725</v>
      </c>
      <c r="FJ68" s="76">
        <v>1272397</v>
      </c>
      <c r="FK68" s="76">
        <v>5469</v>
      </c>
      <c r="FL68" s="76">
        <v>3652</v>
      </c>
      <c r="FM68" s="76">
        <v>1817</v>
      </c>
      <c r="FN68" s="76">
        <v>2062</v>
      </c>
      <c r="FO68" s="76">
        <v>2046</v>
      </c>
      <c r="FP68" s="76">
        <v>16</v>
      </c>
      <c r="FQ68" s="76">
        <v>0</v>
      </c>
      <c r="FR68" s="76">
        <v>0</v>
      </c>
      <c r="FS68" s="76">
        <v>0</v>
      </c>
      <c r="FT68" s="76">
        <v>644</v>
      </c>
      <c r="FU68" s="76">
        <v>549</v>
      </c>
      <c r="FV68" s="76">
        <v>95</v>
      </c>
      <c r="FW68" s="76">
        <v>0</v>
      </c>
      <c r="FX68" s="76">
        <v>0</v>
      </c>
      <c r="FY68" s="76">
        <v>0</v>
      </c>
      <c r="FZ68" s="76">
        <v>0</v>
      </c>
      <c r="GA68" s="76">
        <v>0</v>
      </c>
      <c r="GB68" s="76">
        <v>0</v>
      </c>
      <c r="GC68" s="76">
        <v>8175</v>
      </c>
      <c r="GD68" s="76">
        <v>6247</v>
      </c>
      <c r="GE68" s="76">
        <v>1928</v>
      </c>
      <c r="GF68" s="76">
        <v>0</v>
      </c>
      <c r="GG68" s="76">
        <v>0</v>
      </c>
      <c r="GH68" s="76">
        <v>0</v>
      </c>
      <c r="GI68" s="76">
        <v>0</v>
      </c>
      <c r="GJ68" s="76">
        <v>0</v>
      </c>
      <c r="GK68" s="76">
        <v>0</v>
      </c>
      <c r="GL68" s="76">
        <v>0</v>
      </c>
      <c r="GM68" s="76">
        <v>6124</v>
      </c>
      <c r="GN68" s="76">
        <v>0</v>
      </c>
      <c r="GO68" s="76">
        <v>0</v>
      </c>
      <c r="GP68" s="76">
        <v>1590</v>
      </c>
      <c r="GQ68" s="76">
        <v>62</v>
      </c>
      <c r="GR68" s="76">
        <v>17154</v>
      </c>
      <c r="GS68" s="76">
        <v>1699</v>
      </c>
      <c r="GT68" s="76">
        <v>0</v>
      </c>
      <c r="GU68" s="76">
        <v>875</v>
      </c>
      <c r="GV68" s="76">
        <v>0</v>
      </c>
      <c r="GW68" s="76">
        <v>4657</v>
      </c>
      <c r="GX68" s="76">
        <v>32161</v>
      </c>
      <c r="GY68" s="76">
        <v>0</v>
      </c>
      <c r="GZ68" s="76">
        <v>0</v>
      </c>
      <c r="HA68" s="76">
        <v>5725</v>
      </c>
      <c r="HB68" s="76">
        <v>957</v>
      </c>
      <c r="HC68" s="76">
        <v>6682</v>
      </c>
      <c r="HD68" s="76">
        <v>0</v>
      </c>
      <c r="HE68" s="76">
        <v>86</v>
      </c>
      <c r="HF68" s="76">
        <v>86</v>
      </c>
      <c r="HG68" s="76">
        <v>23115</v>
      </c>
      <c r="HH68" s="76">
        <v>34</v>
      </c>
      <c r="HI68" s="76">
        <v>695</v>
      </c>
      <c r="HJ68" s="76">
        <v>1</v>
      </c>
      <c r="HK68" s="76">
        <v>1232</v>
      </c>
      <c r="HL68" s="76">
        <v>-121</v>
      </c>
      <c r="HM68" s="76">
        <v>24956</v>
      </c>
      <c r="HN68" s="76">
        <v>16978</v>
      </c>
      <c r="HO68" s="76">
        <v>21676</v>
      </c>
      <c r="HP68" s="76">
        <v>0</v>
      </c>
      <c r="HQ68" s="76">
        <v>152</v>
      </c>
      <c r="HR68" s="76">
        <v>-92</v>
      </c>
      <c r="HS68" s="76">
        <v>0</v>
      </c>
      <c r="HT68" s="76">
        <v>21623</v>
      </c>
      <c r="HU68" s="76">
        <v>140</v>
      </c>
      <c r="HV68" s="76">
        <v>-2</v>
      </c>
      <c r="HW68" s="76">
        <v>0</v>
      </c>
      <c r="HX68" s="76">
        <v>898</v>
      </c>
    </row>
    <row r="69" spans="1:232" x14ac:dyDescent="0.2">
      <c r="A69" s="74" t="s">
        <v>73</v>
      </c>
      <c r="B69" s="74" t="s">
        <v>72</v>
      </c>
      <c r="C69" s="75" t="s">
        <v>200</v>
      </c>
      <c r="D69" s="75">
        <v>12</v>
      </c>
      <c r="E69" s="76">
        <v>95988</v>
      </c>
      <c r="F69" s="76">
        <v>-5710</v>
      </c>
      <c r="G69" s="76">
        <v>-50520</v>
      </c>
      <c r="H69" s="76">
        <v>39758</v>
      </c>
      <c r="I69" s="76">
        <v>938</v>
      </c>
      <c r="J69" s="76">
        <v>0</v>
      </c>
      <c r="K69" s="76">
        <v>0</v>
      </c>
      <c r="L69" s="76">
        <v>0</v>
      </c>
      <c r="M69" s="76">
        <v>155</v>
      </c>
      <c r="N69" s="76">
        <v>-10775</v>
      </c>
      <c r="O69" s="76">
        <v>673</v>
      </c>
      <c r="P69" s="76">
        <v>-375</v>
      </c>
      <c r="Q69" s="76">
        <v>0</v>
      </c>
      <c r="R69" s="76">
        <v>0</v>
      </c>
      <c r="S69" s="76">
        <v>30374</v>
      </c>
      <c r="T69" s="76">
        <v>0</v>
      </c>
      <c r="U69" s="76">
        <v>30374</v>
      </c>
      <c r="V69" s="76">
        <v>0</v>
      </c>
      <c r="W69" s="76">
        <v>-3552</v>
      </c>
      <c r="X69" s="76">
        <v>0</v>
      </c>
      <c r="Y69" s="76">
        <v>0</v>
      </c>
      <c r="Z69" s="76">
        <v>26822</v>
      </c>
      <c r="AA69" s="76">
        <v>69392</v>
      </c>
      <c r="AB69" s="76">
        <v>5978</v>
      </c>
      <c r="AC69" s="76">
        <v>75370</v>
      </c>
      <c r="AD69" s="76">
        <v>103</v>
      </c>
      <c r="AE69" s="76">
        <v>0</v>
      </c>
      <c r="AF69" s="76">
        <v>0</v>
      </c>
      <c r="AG69" s="76">
        <v>854</v>
      </c>
      <c r="AH69" s="76">
        <v>76327</v>
      </c>
      <c r="AI69" s="76">
        <v>7378</v>
      </c>
      <c r="AJ69" s="76">
        <v>6670</v>
      </c>
      <c r="AK69" s="76">
        <v>7679</v>
      </c>
      <c r="AL69" s="76">
        <v>2972</v>
      </c>
      <c r="AM69" s="76">
        <v>3957</v>
      </c>
      <c r="AN69" s="76">
        <v>449</v>
      </c>
      <c r="AO69" s="76">
        <v>9921</v>
      </c>
      <c r="AP69" s="76">
        <v>0</v>
      </c>
      <c r="AQ69" s="76">
        <v>22</v>
      </c>
      <c r="AR69" s="76">
        <v>39048</v>
      </c>
      <c r="AS69" s="76">
        <v>37279</v>
      </c>
      <c r="AT69" s="76">
        <v>1027</v>
      </c>
      <c r="AU69" s="76">
        <v>757708</v>
      </c>
      <c r="AV69" s="76">
        <v>0</v>
      </c>
      <c r="AW69" s="76">
        <v>8745</v>
      </c>
      <c r="AX69" s="76">
        <v>0</v>
      </c>
      <c r="AY69" s="76">
        <v>10394</v>
      </c>
      <c r="AZ69" s="76">
        <v>16720</v>
      </c>
      <c r="BA69" s="76">
        <v>0</v>
      </c>
      <c r="BB69" s="76">
        <v>0</v>
      </c>
      <c r="BC69" s="76">
        <v>0</v>
      </c>
      <c r="BD69" s="76">
        <v>8915</v>
      </c>
      <c r="BE69" s="76">
        <v>802482</v>
      </c>
      <c r="BF69" s="76">
        <v>4418</v>
      </c>
      <c r="BG69" s="76">
        <v>1332</v>
      </c>
      <c r="BH69" s="76">
        <v>9762</v>
      </c>
      <c r="BI69" s="76">
        <v>0</v>
      </c>
      <c r="BJ69" s="76">
        <v>2791</v>
      </c>
      <c r="BK69" s="76">
        <v>18303</v>
      </c>
      <c r="BL69" s="76">
        <v>5000</v>
      </c>
      <c r="BM69" s="76">
        <v>0</v>
      </c>
      <c r="BN69" s="76">
        <v>123</v>
      </c>
      <c r="BO69" s="76">
        <v>15759</v>
      </c>
      <c r="BP69" s="76">
        <v>20882</v>
      </c>
      <c r="BQ69" s="76">
        <v>-2579</v>
      </c>
      <c r="BR69" s="76">
        <v>799903</v>
      </c>
      <c r="BS69" s="76">
        <v>243106</v>
      </c>
      <c r="BT69" s="76">
        <v>0</v>
      </c>
      <c r="BU69" s="76">
        <v>0</v>
      </c>
      <c r="BV69" s="76">
        <v>11594</v>
      </c>
      <c r="BW69" s="76">
        <v>10394</v>
      </c>
      <c r="BX69" s="76">
        <v>0</v>
      </c>
      <c r="BY69" s="76">
        <v>5943</v>
      </c>
      <c r="BZ69" s="76">
        <v>271037</v>
      </c>
      <c r="CA69" s="76">
        <v>26696</v>
      </c>
      <c r="CB69" s="76">
        <v>150</v>
      </c>
      <c r="CC69" s="76">
        <v>502020</v>
      </c>
      <c r="CD69" s="76">
        <v>279723</v>
      </c>
      <c r="CE69" s="76">
        <v>222144</v>
      </c>
      <c r="CF69" s="76">
        <v>0</v>
      </c>
      <c r="CG69" s="76">
        <v>0</v>
      </c>
      <c r="CH69" s="76">
        <v>153</v>
      </c>
      <c r="CI69" s="76">
        <v>502020</v>
      </c>
      <c r="CJ69" s="76">
        <v>7730</v>
      </c>
      <c r="CK69" s="76">
        <v>5710</v>
      </c>
      <c r="CL69" s="76">
        <v>0</v>
      </c>
      <c r="CM69" s="76">
        <v>2020</v>
      </c>
      <c r="CN69" s="76">
        <v>487</v>
      </c>
      <c r="CO69" s="76">
        <v>0</v>
      </c>
      <c r="CP69" s="76">
        <v>426</v>
      </c>
      <c r="CQ69" s="76">
        <v>61</v>
      </c>
      <c r="CR69" s="76">
        <v>0</v>
      </c>
      <c r="CS69" s="76">
        <v>0</v>
      </c>
      <c r="CT69" s="76">
        <v>0</v>
      </c>
      <c r="CU69" s="76">
        <v>0</v>
      </c>
      <c r="CV69" s="76">
        <v>0</v>
      </c>
      <c r="CW69" s="76">
        <v>0</v>
      </c>
      <c r="CX69" s="76">
        <v>0</v>
      </c>
      <c r="CY69" s="76">
        <v>0</v>
      </c>
      <c r="CZ69" s="76">
        <v>352</v>
      </c>
      <c r="DA69" s="76">
        <v>0</v>
      </c>
      <c r="DB69" s="76">
        <v>540</v>
      </c>
      <c r="DC69" s="76">
        <v>-188</v>
      </c>
      <c r="DD69" s="76">
        <v>8569</v>
      </c>
      <c r="DE69" s="76">
        <v>5710</v>
      </c>
      <c r="DF69" s="76">
        <v>966</v>
      </c>
      <c r="DG69" s="76">
        <v>1893</v>
      </c>
      <c r="DH69" s="76">
        <v>0</v>
      </c>
      <c r="DI69" s="76">
        <v>0</v>
      </c>
      <c r="DJ69" s="76">
        <v>0</v>
      </c>
      <c r="DK69" s="76">
        <v>0</v>
      </c>
      <c r="DL69" s="76">
        <v>133</v>
      </c>
      <c r="DM69" s="76">
        <v>0</v>
      </c>
      <c r="DN69" s="76">
        <v>80</v>
      </c>
      <c r="DO69" s="76">
        <v>53</v>
      </c>
      <c r="DP69" s="76">
        <v>0</v>
      </c>
      <c r="DQ69" s="76">
        <v>0</v>
      </c>
      <c r="DR69" s="76">
        <v>0</v>
      </c>
      <c r="DS69" s="76">
        <v>0</v>
      </c>
      <c r="DT69" s="76">
        <v>665</v>
      </c>
      <c r="DU69" s="76">
        <v>0</v>
      </c>
      <c r="DV69" s="76">
        <v>179</v>
      </c>
      <c r="DW69" s="76">
        <v>486</v>
      </c>
      <c r="DX69" s="76">
        <v>0</v>
      </c>
      <c r="DY69" s="76">
        <v>0</v>
      </c>
      <c r="DZ69" s="76">
        <v>0</v>
      </c>
      <c r="EA69" s="76">
        <v>0</v>
      </c>
      <c r="EB69" s="76">
        <v>10294</v>
      </c>
      <c r="EC69" s="76">
        <v>0</v>
      </c>
      <c r="ED69" s="76">
        <v>10247</v>
      </c>
      <c r="EE69" s="76">
        <v>47</v>
      </c>
      <c r="EF69" s="76">
        <v>11092</v>
      </c>
      <c r="EG69" s="76">
        <v>0</v>
      </c>
      <c r="EH69" s="76">
        <v>10506</v>
      </c>
      <c r="EI69" s="76">
        <v>586</v>
      </c>
      <c r="EJ69" s="76">
        <v>19661</v>
      </c>
      <c r="EK69" s="76">
        <v>5710</v>
      </c>
      <c r="EL69" s="76">
        <v>11472</v>
      </c>
      <c r="EM69" s="76">
        <v>2479</v>
      </c>
      <c r="EN69" s="76">
        <v>2243</v>
      </c>
      <c r="EO69" s="76">
        <v>1245</v>
      </c>
      <c r="EP69" s="76">
        <v>985</v>
      </c>
      <c r="EQ69" s="76">
        <v>1245</v>
      </c>
      <c r="ER69" s="76">
        <v>721912</v>
      </c>
      <c r="ES69" s="76">
        <v>0</v>
      </c>
      <c r="ET69" s="76">
        <v>721912</v>
      </c>
      <c r="EU69" s="76">
        <v>65515</v>
      </c>
      <c r="EV69" s="76">
        <v>-3178</v>
      </c>
      <c r="EW69" s="76">
        <v>0</v>
      </c>
      <c r="EX69" s="76">
        <v>0</v>
      </c>
      <c r="EY69" s="76">
        <v>0</v>
      </c>
      <c r="EZ69" s="76">
        <v>784249</v>
      </c>
      <c r="FA69" s="76">
        <v>16701</v>
      </c>
      <c r="FB69" s="76">
        <v>9979</v>
      </c>
      <c r="FC69" s="76">
        <v>0</v>
      </c>
      <c r="FD69" s="76">
        <v>0</v>
      </c>
      <c r="FE69" s="76">
        <v>-139</v>
      </c>
      <c r="FF69" s="76">
        <v>0</v>
      </c>
      <c r="FG69" s="76">
        <v>0</v>
      </c>
      <c r="FH69" s="76">
        <v>26541</v>
      </c>
      <c r="FI69" s="76">
        <v>757708</v>
      </c>
      <c r="FJ69" s="76">
        <v>705211</v>
      </c>
      <c r="FK69" s="76">
        <v>2147</v>
      </c>
      <c r="FL69" s="76">
        <v>1359</v>
      </c>
      <c r="FM69" s="76">
        <v>788</v>
      </c>
      <c r="FN69" s="76">
        <v>2347</v>
      </c>
      <c r="FO69" s="76">
        <v>2188</v>
      </c>
      <c r="FP69" s="76">
        <v>159</v>
      </c>
      <c r="FQ69" s="76">
        <v>0</v>
      </c>
      <c r="FR69" s="76">
        <v>0</v>
      </c>
      <c r="FS69" s="76">
        <v>0</v>
      </c>
      <c r="FT69" s="76">
        <v>0</v>
      </c>
      <c r="FU69" s="76">
        <v>0</v>
      </c>
      <c r="FV69" s="76">
        <v>0</v>
      </c>
      <c r="FW69" s="76">
        <v>0</v>
      </c>
      <c r="FX69" s="76">
        <v>0</v>
      </c>
      <c r="FY69" s="76">
        <v>0</v>
      </c>
      <c r="FZ69" s="76">
        <v>515</v>
      </c>
      <c r="GA69" s="76">
        <v>524</v>
      </c>
      <c r="GB69" s="76">
        <v>-9</v>
      </c>
      <c r="GC69" s="76">
        <v>5009</v>
      </c>
      <c r="GD69" s="76">
        <v>4071</v>
      </c>
      <c r="GE69" s="76">
        <v>938</v>
      </c>
      <c r="GF69" s="76">
        <v>0</v>
      </c>
      <c r="GG69" s="76">
        <v>0</v>
      </c>
      <c r="GH69" s="76">
        <v>198</v>
      </c>
      <c r="GI69" s="76">
        <v>0</v>
      </c>
      <c r="GJ69" s="76">
        <v>0</v>
      </c>
      <c r="GK69" s="76">
        <v>2593</v>
      </c>
      <c r="GL69" s="76">
        <v>2791</v>
      </c>
      <c r="GM69" s="76">
        <v>2909</v>
      </c>
      <c r="GN69" s="76">
        <v>1126</v>
      </c>
      <c r="GO69" s="76">
        <v>0</v>
      </c>
      <c r="GP69" s="76">
        <v>606</v>
      </c>
      <c r="GQ69" s="76">
        <v>216</v>
      </c>
      <c r="GR69" s="76">
        <v>7646</v>
      </c>
      <c r="GS69" s="76">
        <v>0</v>
      </c>
      <c r="GT69" s="76">
        <v>0</v>
      </c>
      <c r="GU69" s="76">
        <v>169</v>
      </c>
      <c r="GV69" s="76">
        <v>0</v>
      </c>
      <c r="GW69" s="76">
        <v>3087</v>
      </c>
      <c r="GX69" s="76">
        <v>15759</v>
      </c>
      <c r="GY69" s="76">
        <v>2405</v>
      </c>
      <c r="GZ69" s="76">
        <v>84</v>
      </c>
      <c r="HA69" s="76">
        <v>1132</v>
      </c>
      <c r="HB69" s="76">
        <v>2322</v>
      </c>
      <c r="HC69" s="76">
        <v>5943</v>
      </c>
      <c r="HD69" s="76">
        <v>0</v>
      </c>
      <c r="HE69" s="76">
        <v>150</v>
      </c>
      <c r="HF69" s="76">
        <v>150</v>
      </c>
      <c r="HG69" s="76">
        <v>10240</v>
      </c>
      <c r="HH69" s="76">
        <v>68</v>
      </c>
      <c r="HI69" s="76">
        <v>803</v>
      </c>
      <c r="HJ69" s="76">
        <v>12</v>
      </c>
      <c r="HK69" s="76">
        <v>401</v>
      </c>
      <c r="HL69" s="76">
        <v>-749</v>
      </c>
      <c r="HM69" s="76">
        <v>10775</v>
      </c>
      <c r="HN69" s="76">
        <v>8413</v>
      </c>
      <c r="HO69" s="76">
        <v>10770</v>
      </c>
      <c r="HP69" s="76">
        <v>0</v>
      </c>
      <c r="HQ69" s="76">
        <v>527</v>
      </c>
      <c r="HR69" s="76">
        <v>-62</v>
      </c>
      <c r="HS69" s="76">
        <v>2</v>
      </c>
      <c r="HT69" s="76">
        <v>15825</v>
      </c>
      <c r="HU69" s="76">
        <v>0</v>
      </c>
      <c r="HV69" s="76">
        <v>0</v>
      </c>
      <c r="HW69" s="76">
        <v>-26</v>
      </c>
      <c r="HX69" s="76">
        <v>120</v>
      </c>
    </row>
    <row r="70" spans="1:232" x14ac:dyDescent="0.2">
      <c r="A70" s="74" t="s">
        <v>372</v>
      </c>
      <c r="B70" s="74" t="s">
        <v>373</v>
      </c>
      <c r="C70" s="75" t="s">
        <v>200</v>
      </c>
      <c r="D70" s="75">
        <v>12</v>
      </c>
      <c r="E70" s="76">
        <v>120281</v>
      </c>
      <c r="F70" s="76">
        <v>-30520</v>
      </c>
      <c r="G70" s="76">
        <v>-67371</v>
      </c>
      <c r="H70" s="76">
        <v>22390</v>
      </c>
      <c r="I70" s="76">
        <v>1550</v>
      </c>
      <c r="J70" s="76">
        <v>0</v>
      </c>
      <c r="K70" s="76">
        <v>0</v>
      </c>
      <c r="L70" s="76">
        <v>0</v>
      </c>
      <c r="M70" s="76">
        <v>15</v>
      </c>
      <c r="N70" s="76">
        <v>-8250</v>
      </c>
      <c r="O70" s="76">
        <v>-1955</v>
      </c>
      <c r="P70" s="76">
        <v>0</v>
      </c>
      <c r="Q70" s="76">
        <v>0</v>
      </c>
      <c r="R70" s="76">
        <v>0</v>
      </c>
      <c r="S70" s="76">
        <v>13750</v>
      </c>
      <c r="T70" s="76">
        <v>-329</v>
      </c>
      <c r="U70" s="76">
        <v>13421</v>
      </c>
      <c r="V70" s="76">
        <v>0</v>
      </c>
      <c r="W70" s="76">
        <v>-1969</v>
      </c>
      <c r="X70" s="76">
        <v>0</v>
      </c>
      <c r="Y70" s="76">
        <v>0</v>
      </c>
      <c r="Z70" s="76">
        <v>11452</v>
      </c>
      <c r="AA70" s="76">
        <v>71545</v>
      </c>
      <c r="AB70" s="76">
        <v>3318</v>
      </c>
      <c r="AC70" s="76">
        <v>74863</v>
      </c>
      <c r="AD70" s="76">
        <v>3588</v>
      </c>
      <c r="AE70" s="76">
        <v>0</v>
      </c>
      <c r="AF70" s="76">
        <v>0</v>
      </c>
      <c r="AG70" s="76">
        <v>312</v>
      </c>
      <c r="AH70" s="76">
        <v>78763</v>
      </c>
      <c r="AI70" s="76">
        <v>16896</v>
      </c>
      <c r="AJ70" s="76">
        <v>4151</v>
      </c>
      <c r="AK70" s="76">
        <v>10204</v>
      </c>
      <c r="AL70" s="76">
        <v>4583</v>
      </c>
      <c r="AM70" s="76">
        <v>1664</v>
      </c>
      <c r="AN70" s="76">
        <v>714</v>
      </c>
      <c r="AO70" s="76">
        <v>11631</v>
      </c>
      <c r="AP70" s="76">
        <v>0</v>
      </c>
      <c r="AQ70" s="76">
        <v>4942</v>
      </c>
      <c r="AR70" s="76">
        <v>54785</v>
      </c>
      <c r="AS70" s="76">
        <v>23978</v>
      </c>
      <c r="AT70" s="76">
        <v>1117</v>
      </c>
      <c r="AU70" s="76">
        <v>348237</v>
      </c>
      <c r="AV70" s="76">
        <v>0</v>
      </c>
      <c r="AW70" s="76">
        <v>13802</v>
      </c>
      <c r="AX70" s="76">
        <v>14192</v>
      </c>
      <c r="AY70" s="76">
        <v>0</v>
      </c>
      <c r="AZ70" s="76">
        <v>10263</v>
      </c>
      <c r="BA70" s="76">
        <v>0</v>
      </c>
      <c r="BB70" s="76">
        <v>0</v>
      </c>
      <c r="BC70" s="76">
        <v>0</v>
      </c>
      <c r="BD70" s="76">
        <v>4325</v>
      </c>
      <c r="BE70" s="76">
        <v>390819</v>
      </c>
      <c r="BF70" s="76">
        <v>413</v>
      </c>
      <c r="BG70" s="76">
        <v>201009</v>
      </c>
      <c r="BH70" s="76">
        <v>14318</v>
      </c>
      <c r="BI70" s="76">
        <v>0</v>
      </c>
      <c r="BJ70" s="76">
        <v>791</v>
      </c>
      <c r="BK70" s="76">
        <v>216531</v>
      </c>
      <c r="BL70" s="76">
        <v>3358</v>
      </c>
      <c r="BM70" s="76">
        <v>0</v>
      </c>
      <c r="BN70" s="76">
        <v>3992</v>
      </c>
      <c r="BO70" s="76">
        <v>33957</v>
      </c>
      <c r="BP70" s="76">
        <v>41307</v>
      </c>
      <c r="BQ70" s="76">
        <v>175224</v>
      </c>
      <c r="BR70" s="76">
        <v>566043</v>
      </c>
      <c r="BS70" s="76">
        <v>138664</v>
      </c>
      <c r="BT70" s="76">
        <v>0</v>
      </c>
      <c r="BU70" s="76">
        <v>2866</v>
      </c>
      <c r="BV70" s="76">
        <v>114192</v>
      </c>
      <c r="BW70" s="76">
        <v>0</v>
      </c>
      <c r="BX70" s="76">
        <v>0</v>
      </c>
      <c r="BY70" s="76">
        <v>176520</v>
      </c>
      <c r="BZ70" s="76">
        <v>432242</v>
      </c>
      <c r="CA70" s="76">
        <v>5540</v>
      </c>
      <c r="CB70" s="76">
        <v>911</v>
      </c>
      <c r="CC70" s="76">
        <v>127350</v>
      </c>
      <c r="CD70" s="76">
        <v>127320</v>
      </c>
      <c r="CE70" s="76">
        <v>0</v>
      </c>
      <c r="CF70" s="76">
        <v>0</v>
      </c>
      <c r="CG70" s="76">
        <v>0</v>
      </c>
      <c r="CH70" s="76">
        <v>30</v>
      </c>
      <c r="CI70" s="76">
        <v>127350</v>
      </c>
      <c r="CJ70" s="76">
        <v>2037</v>
      </c>
      <c r="CK70" s="76">
        <v>1576</v>
      </c>
      <c r="CL70" s="76">
        <v>0</v>
      </c>
      <c r="CM70" s="76">
        <v>461</v>
      </c>
      <c r="CN70" s="76">
        <v>1073</v>
      </c>
      <c r="CO70" s="76">
        <v>0</v>
      </c>
      <c r="CP70" s="76">
        <v>934</v>
      </c>
      <c r="CQ70" s="76">
        <v>139</v>
      </c>
      <c r="CR70" s="76">
        <v>0</v>
      </c>
      <c r="CS70" s="76">
        <v>0</v>
      </c>
      <c r="CT70" s="76">
        <v>0</v>
      </c>
      <c r="CU70" s="76">
        <v>0</v>
      </c>
      <c r="CV70" s="76">
        <v>0</v>
      </c>
      <c r="CW70" s="76">
        <v>0</v>
      </c>
      <c r="CX70" s="76">
        <v>0</v>
      </c>
      <c r="CY70" s="76">
        <v>0</v>
      </c>
      <c r="CZ70" s="76">
        <v>313</v>
      </c>
      <c r="DA70" s="76">
        <v>0</v>
      </c>
      <c r="DB70" s="76">
        <v>210</v>
      </c>
      <c r="DC70" s="76">
        <v>103</v>
      </c>
      <c r="DD70" s="76">
        <v>3423</v>
      </c>
      <c r="DE70" s="76">
        <v>1576</v>
      </c>
      <c r="DF70" s="76">
        <v>1144</v>
      </c>
      <c r="DG70" s="76">
        <v>703</v>
      </c>
      <c r="DH70" s="76">
        <v>0</v>
      </c>
      <c r="DI70" s="76">
        <v>0</v>
      </c>
      <c r="DJ70" s="76">
        <v>0</v>
      </c>
      <c r="DK70" s="76">
        <v>0</v>
      </c>
      <c r="DL70" s="76">
        <v>0</v>
      </c>
      <c r="DM70" s="76">
        <v>0</v>
      </c>
      <c r="DN70" s="76">
        <v>0</v>
      </c>
      <c r="DO70" s="76">
        <v>0</v>
      </c>
      <c r="DP70" s="76">
        <v>0</v>
      </c>
      <c r="DQ70" s="76">
        <v>0</v>
      </c>
      <c r="DR70" s="76">
        <v>0</v>
      </c>
      <c r="DS70" s="76">
        <v>0</v>
      </c>
      <c r="DT70" s="76">
        <v>0</v>
      </c>
      <c r="DU70" s="76">
        <v>0</v>
      </c>
      <c r="DV70" s="76">
        <v>0</v>
      </c>
      <c r="DW70" s="76">
        <v>0</v>
      </c>
      <c r="DX70" s="76">
        <v>0</v>
      </c>
      <c r="DY70" s="76">
        <v>0</v>
      </c>
      <c r="DZ70" s="76">
        <v>0</v>
      </c>
      <c r="EA70" s="76">
        <v>0</v>
      </c>
      <c r="EB70" s="76">
        <v>38095</v>
      </c>
      <c r="EC70" s="76">
        <v>28944</v>
      </c>
      <c r="ED70" s="76">
        <v>11442</v>
      </c>
      <c r="EE70" s="76">
        <v>-2291</v>
      </c>
      <c r="EF70" s="76">
        <v>38095</v>
      </c>
      <c r="EG70" s="76">
        <v>28944</v>
      </c>
      <c r="EH70" s="76">
        <v>11442</v>
      </c>
      <c r="EI70" s="76">
        <v>-2291</v>
      </c>
      <c r="EJ70" s="76">
        <v>41518</v>
      </c>
      <c r="EK70" s="76">
        <v>30520</v>
      </c>
      <c r="EL70" s="76">
        <v>12586</v>
      </c>
      <c r="EM70" s="76">
        <v>-1588</v>
      </c>
      <c r="EN70" s="76">
        <v>4735</v>
      </c>
      <c r="EO70" s="76">
        <v>1432</v>
      </c>
      <c r="EP70" s="76">
        <v>2427</v>
      </c>
      <c r="EQ70" s="76">
        <v>1394</v>
      </c>
      <c r="ER70" s="76">
        <v>386389</v>
      </c>
      <c r="ES70" s="76">
        <v>0</v>
      </c>
      <c r="ET70" s="76">
        <v>386389</v>
      </c>
      <c r="EU70" s="76">
        <v>37269</v>
      </c>
      <c r="EV70" s="76">
        <v>-2756</v>
      </c>
      <c r="EW70" s="76">
        <v>0</v>
      </c>
      <c r="EX70" s="76">
        <v>0</v>
      </c>
      <c r="EY70" s="76">
        <v>-7974</v>
      </c>
      <c r="EZ70" s="76">
        <v>412928</v>
      </c>
      <c r="FA70" s="76">
        <v>53127</v>
      </c>
      <c r="FB70" s="76">
        <v>12127</v>
      </c>
      <c r="FC70" s="76">
        <v>0</v>
      </c>
      <c r="FD70" s="76">
        <v>0</v>
      </c>
      <c r="FE70" s="76">
        <v>-366</v>
      </c>
      <c r="FF70" s="76">
        <v>0</v>
      </c>
      <c r="FG70" s="76">
        <v>-197</v>
      </c>
      <c r="FH70" s="76">
        <v>64691</v>
      </c>
      <c r="FI70" s="76">
        <v>348237</v>
      </c>
      <c r="FJ70" s="76">
        <v>333262</v>
      </c>
      <c r="FK70" s="76">
        <v>0</v>
      </c>
      <c r="FL70" s="76">
        <v>0</v>
      </c>
      <c r="FM70" s="76">
        <v>0</v>
      </c>
      <c r="FN70" s="76">
        <v>4251</v>
      </c>
      <c r="FO70" s="76">
        <v>2800</v>
      </c>
      <c r="FP70" s="76">
        <v>1451</v>
      </c>
      <c r="FQ70" s="76">
        <v>65</v>
      </c>
      <c r="FR70" s="76">
        <v>0</v>
      </c>
      <c r="FS70" s="76">
        <v>65</v>
      </c>
      <c r="FT70" s="76">
        <v>0</v>
      </c>
      <c r="FU70" s="76">
        <v>0</v>
      </c>
      <c r="FV70" s="76">
        <v>0</v>
      </c>
      <c r="FW70" s="76">
        <v>0</v>
      </c>
      <c r="FX70" s="76">
        <v>0</v>
      </c>
      <c r="FY70" s="76">
        <v>0</v>
      </c>
      <c r="FZ70" s="76">
        <v>123</v>
      </c>
      <c r="GA70" s="76">
        <v>89</v>
      </c>
      <c r="GB70" s="76">
        <v>34</v>
      </c>
      <c r="GC70" s="76">
        <v>4439</v>
      </c>
      <c r="GD70" s="76">
        <v>2889</v>
      </c>
      <c r="GE70" s="76">
        <v>1550</v>
      </c>
      <c r="GF70" s="76">
        <v>0</v>
      </c>
      <c r="GG70" s="76">
        <v>0</v>
      </c>
      <c r="GH70" s="76">
        <v>0</v>
      </c>
      <c r="GI70" s="76">
        <v>0</v>
      </c>
      <c r="GJ70" s="76">
        <v>0</v>
      </c>
      <c r="GK70" s="76">
        <v>791</v>
      </c>
      <c r="GL70" s="76">
        <v>791</v>
      </c>
      <c r="GM70" s="76">
        <v>6013</v>
      </c>
      <c r="GN70" s="76">
        <v>1666</v>
      </c>
      <c r="GO70" s="76">
        <v>0</v>
      </c>
      <c r="GP70" s="76">
        <v>0</v>
      </c>
      <c r="GQ70" s="76">
        <v>594</v>
      </c>
      <c r="GR70" s="76">
        <v>8306</v>
      </c>
      <c r="GS70" s="76">
        <v>1399</v>
      </c>
      <c r="GT70" s="76">
        <v>0</v>
      </c>
      <c r="GU70" s="76">
        <v>0</v>
      </c>
      <c r="GV70" s="76">
        <v>0</v>
      </c>
      <c r="GW70" s="76">
        <v>15979</v>
      </c>
      <c r="GX70" s="76">
        <v>33957</v>
      </c>
      <c r="GY70" s="76">
        <v>0</v>
      </c>
      <c r="GZ70" s="76">
        <v>0</v>
      </c>
      <c r="HA70" s="76">
        <v>1605</v>
      </c>
      <c r="HB70" s="76">
        <v>174915</v>
      </c>
      <c r="HC70" s="76">
        <v>176520</v>
      </c>
      <c r="HD70" s="76">
        <v>0</v>
      </c>
      <c r="HE70" s="76">
        <v>911</v>
      </c>
      <c r="HF70" s="76">
        <v>911</v>
      </c>
      <c r="HG70" s="76">
        <v>7443</v>
      </c>
      <c r="HH70" s="76">
        <v>145</v>
      </c>
      <c r="HI70" s="76">
        <v>110</v>
      </c>
      <c r="HJ70" s="76">
        <v>0</v>
      </c>
      <c r="HK70" s="76">
        <v>552</v>
      </c>
      <c r="HL70" s="76">
        <v>0</v>
      </c>
      <c r="HM70" s="76">
        <v>8250</v>
      </c>
      <c r="HN70" s="76">
        <v>15334</v>
      </c>
      <c r="HO70" s="76">
        <v>12127</v>
      </c>
      <c r="HP70" s="76">
        <v>0</v>
      </c>
      <c r="HQ70" s="76">
        <v>237</v>
      </c>
      <c r="HR70" s="76">
        <v>-117</v>
      </c>
      <c r="HS70" s="76">
        <v>-9</v>
      </c>
      <c r="HT70" s="76">
        <v>17661</v>
      </c>
      <c r="HU70" s="76">
        <v>0</v>
      </c>
      <c r="HV70" s="76">
        <v>0</v>
      </c>
      <c r="HW70" s="76">
        <v>2</v>
      </c>
      <c r="HX70" s="76">
        <v>5</v>
      </c>
    </row>
    <row r="71" spans="1:232" x14ac:dyDescent="0.2">
      <c r="A71" s="74" t="s">
        <v>374</v>
      </c>
      <c r="B71" s="74" t="s">
        <v>375</v>
      </c>
      <c r="C71" s="75" t="s">
        <v>200</v>
      </c>
      <c r="D71" s="75">
        <v>12</v>
      </c>
      <c r="E71" s="76">
        <v>31092</v>
      </c>
      <c r="F71" s="76">
        <v>-252</v>
      </c>
      <c r="G71" s="76">
        <v>-18690</v>
      </c>
      <c r="H71" s="76">
        <v>12150</v>
      </c>
      <c r="I71" s="76">
        <v>-59</v>
      </c>
      <c r="J71" s="76">
        <v>0</v>
      </c>
      <c r="K71" s="76">
        <v>0</v>
      </c>
      <c r="L71" s="76">
        <v>0</v>
      </c>
      <c r="M71" s="76">
        <v>918</v>
      </c>
      <c r="N71" s="76">
        <v>-3056</v>
      </c>
      <c r="O71" s="76">
        <v>0</v>
      </c>
      <c r="P71" s="76">
        <v>0</v>
      </c>
      <c r="Q71" s="76">
        <v>0</v>
      </c>
      <c r="R71" s="76">
        <v>0</v>
      </c>
      <c r="S71" s="76">
        <v>9953</v>
      </c>
      <c r="T71" s="76">
        <v>-2</v>
      </c>
      <c r="U71" s="76">
        <v>9951</v>
      </c>
      <c r="V71" s="76">
        <v>0</v>
      </c>
      <c r="W71" s="76">
        <v>-2819</v>
      </c>
      <c r="X71" s="76">
        <v>0</v>
      </c>
      <c r="Y71" s="76">
        <v>0</v>
      </c>
      <c r="Z71" s="76">
        <v>7132</v>
      </c>
      <c r="AA71" s="76">
        <v>29481</v>
      </c>
      <c r="AB71" s="76">
        <v>706</v>
      </c>
      <c r="AC71" s="76">
        <v>30187</v>
      </c>
      <c r="AD71" s="76">
        <v>58</v>
      </c>
      <c r="AE71" s="76">
        <v>0</v>
      </c>
      <c r="AF71" s="76">
        <v>0</v>
      </c>
      <c r="AG71" s="76">
        <v>0</v>
      </c>
      <c r="AH71" s="76">
        <v>30245</v>
      </c>
      <c r="AI71" s="76">
        <v>3907</v>
      </c>
      <c r="AJ71" s="76">
        <v>2438</v>
      </c>
      <c r="AK71" s="76">
        <v>3243</v>
      </c>
      <c r="AL71" s="76">
        <v>1293</v>
      </c>
      <c r="AM71" s="76">
        <v>3133</v>
      </c>
      <c r="AN71" s="76">
        <v>132</v>
      </c>
      <c r="AO71" s="76">
        <v>4281</v>
      </c>
      <c r="AP71" s="76">
        <v>0</v>
      </c>
      <c r="AQ71" s="76">
        <v>208</v>
      </c>
      <c r="AR71" s="76">
        <v>18635</v>
      </c>
      <c r="AS71" s="76">
        <v>11610</v>
      </c>
      <c r="AT71" s="76">
        <v>251</v>
      </c>
      <c r="AU71" s="76">
        <v>109353</v>
      </c>
      <c r="AV71" s="76">
        <v>0</v>
      </c>
      <c r="AW71" s="76">
        <v>3883</v>
      </c>
      <c r="AX71" s="76">
        <v>0</v>
      </c>
      <c r="AY71" s="76">
        <v>0</v>
      </c>
      <c r="AZ71" s="76">
        <v>0</v>
      </c>
      <c r="BA71" s="76">
        <v>0</v>
      </c>
      <c r="BB71" s="76">
        <v>0</v>
      </c>
      <c r="BC71" s="76">
        <v>0</v>
      </c>
      <c r="BD71" s="76">
        <v>0</v>
      </c>
      <c r="BE71" s="76">
        <v>113236</v>
      </c>
      <c r="BF71" s="76">
        <v>0</v>
      </c>
      <c r="BG71" s="76">
        <v>1623</v>
      </c>
      <c r="BH71" s="76">
        <v>6644</v>
      </c>
      <c r="BI71" s="76">
        <v>0</v>
      </c>
      <c r="BJ71" s="76">
        <v>390</v>
      </c>
      <c r="BK71" s="76">
        <v>8657</v>
      </c>
      <c r="BL71" s="76">
        <v>0</v>
      </c>
      <c r="BM71" s="76">
        <v>0</v>
      </c>
      <c r="BN71" s="76">
        <v>76</v>
      </c>
      <c r="BO71" s="76">
        <v>2802</v>
      </c>
      <c r="BP71" s="76">
        <v>2878</v>
      </c>
      <c r="BQ71" s="76">
        <v>5779</v>
      </c>
      <c r="BR71" s="76">
        <v>119015</v>
      </c>
      <c r="BS71" s="76">
        <v>61500</v>
      </c>
      <c r="BT71" s="76">
        <v>0</v>
      </c>
      <c r="BU71" s="76">
        <v>0</v>
      </c>
      <c r="BV71" s="76">
        <v>5866</v>
      </c>
      <c r="BW71" s="76">
        <v>0</v>
      </c>
      <c r="BX71" s="76">
        <v>0</v>
      </c>
      <c r="BY71" s="76">
        <v>654</v>
      </c>
      <c r="BZ71" s="76">
        <v>68020</v>
      </c>
      <c r="CA71" s="76">
        <v>5805</v>
      </c>
      <c r="CB71" s="76">
        <v>0</v>
      </c>
      <c r="CC71" s="76">
        <v>45190</v>
      </c>
      <c r="CD71" s="76">
        <v>45190</v>
      </c>
      <c r="CE71" s="76">
        <v>0</v>
      </c>
      <c r="CF71" s="76">
        <v>0</v>
      </c>
      <c r="CG71" s="76">
        <v>0</v>
      </c>
      <c r="CH71" s="76">
        <v>0</v>
      </c>
      <c r="CI71" s="76">
        <v>45190</v>
      </c>
      <c r="CJ71" s="76">
        <v>130</v>
      </c>
      <c r="CK71" s="76">
        <v>0</v>
      </c>
      <c r="CL71" s="76">
        <v>55</v>
      </c>
      <c r="CM71" s="76">
        <v>75</v>
      </c>
      <c r="CN71" s="76">
        <v>0</v>
      </c>
      <c r="CO71" s="76">
        <v>0</v>
      </c>
      <c r="CP71" s="76">
        <v>0</v>
      </c>
      <c r="CQ71" s="76">
        <v>0</v>
      </c>
      <c r="CR71" s="76">
        <v>0</v>
      </c>
      <c r="CS71" s="76">
        <v>0</v>
      </c>
      <c r="CT71" s="76">
        <v>0</v>
      </c>
      <c r="CU71" s="76">
        <v>0</v>
      </c>
      <c r="CV71" s="76">
        <v>144</v>
      </c>
      <c r="CW71" s="76">
        <v>0</v>
      </c>
      <c r="CX71" s="76">
        <v>0</v>
      </c>
      <c r="CY71" s="76">
        <v>144</v>
      </c>
      <c r="CZ71" s="76">
        <v>99</v>
      </c>
      <c r="DA71" s="76">
        <v>0</v>
      </c>
      <c r="DB71" s="76">
        <v>0</v>
      </c>
      <c r="DC71" s="76">
        <v>99</v>
      </c>
      <c r="DD71" s="76">
        <v>373</v>
      </c>
      <c r="DE71" s="76">
        <v>0</v>
      </c>
      <c r="DF71" s="76">
        <v>55</v>
      </c>
      <c r="DG71" s="76">
        <v>318</v>
      </c>
      <c r="DH71" s="76">
        <v>0</v>
      </c>
      <c r="DI71" s="76">
        <v>0</v>
      </c>
      <c r="DJ71" s="76">
        <v>0</v>
      </c>
      <c r="DK71" s="76">
        <v>0</v>
      </c>
      <c r="DL71" s="76">
        <v>0</v>
      </c>
      <c r="DM71" s="76">
        <v>0</v>
      </c>
      <c r="DN71" s="76">
        <v>0</v>
      </c>
      <c r="DO71" s="76">
        <v>0</v>
      </c>
      <c r="DP71" s="76">
        <v>0</v>
      </c>
      <c r="DQ71" s="76">
        <v>0</v>
      </c>
      <c r="DR71" s="76">
        <v>0</v>
      </c>
      <c r="DS71" s="76">
        <v>0</v>
      </c>
      <c r="DT71" s="76">
        <v>0</v>
      </c>
      <c r="DU71" s="76">
        <v>0</v>
      </c>
      <c r="DV71" s="76">
        <v>0</v>
      </c>
      <c r="DW71" s="76">
        <v>0</v>
      </c>
      <c r="DX71" s="76">
        <v>0</v>
      </c>
      <c r="DY71" s="76">
        <v>0</v>
      </c>
      <c r="DZ71" s="76">
        <v>0</v>
      </c>
      <c r="EA71" s="76">
        <v>0</v>
      </c>
      <c r="EB71" s="76">
        <v>474</v>
      </c>
      <c r="EC71" s="76">
        <v>252</v>
      </c>
      <c r="ED71" s="76">
        <v>0</v>
      </c>
      <c r="EE71" s="76">
        <v>222</v>
      </c>
      <c r="EF71" s="76">
        <v>474</v>
      </c>
      <c r="EG71" s="76">
        <v>252</v>
      </c>
      <c r="EH71" s="76">
        <v>0</v>
      </c>
      <c r="EI71" s="76">
        <v>222</v>
      </c>
      <c r="EJ71" s="76">
        <v>847</v>
      </c>
      <c r="EK71" s="76">
        <v>252</v>
      </c>
      <c r="EL71" s="76">
        <v>55</v>
      </c>
      <c r="EM71" s="76">
        <v>540</v>
      </c>
      <c r="EN71" s="76">
        <v>1142</v>
      </c>
      <c r="EO71" s="76">
        <v>337</v>
      </c>
      <c r="EP71" s="76">
        <v>374</v>
      </c>
      <c r="EQ71" s="76">
        <v>337</v>
      </c>
      <c r="ER71" s="76">
        <v>131891</v>
      </c>
      <c r="ES71" s="76">
        <v>0</v>
      </c>
      <c r="ET71" s="76">
        <v>131891</v>
      </c>
      <c r="EU71" s="76">
        <v>10078</v>
      </c>
      <c r="EV71" s="76">
        <v>-1339</v>
      </c>
      <c r="EW71" s="76">
        <v>0</v>
      </c>
      <c r="EX71" s="76">
        <v>0</v>
      </c>
      <c r="EY71" s="76">
        <v>999</v>
      </c>
      <c r="EZ71" s="76">
        <v>141629</v>
      </c>
      <c r="FA71" s="76">
        <v>28300</v>
      </c>
      <c r="FB71" s="76">
        <v>4281</v>
      </c>
      <c r="FC71" s="76">
        <v>0</v>
      </c>
      <c r="FD71" s="76">
        <v>0</v>
      </c>
      <c r="FE71" s="76">
        <v>-305</v>
      </c>
      <c r="FF71" s="76">
        <v>0</v>
      </c>
      <c r="FG71" s="76">
        <v>0</v>
      </c>
      <c r="FH71" s="76">
        <v>32276</v>
      </c>
      <c r="FI71" s="76">
        <v>109353</v>
      </c>
      <c r="FJ71" s="76">
        <v>103591</v>
      </c>
      <c r="FK71" s="76">
        <v>0</v>
      </c>
      <c r="FL71" s="76">
        <v>0</v>
      </c>
      <c r="FM71" s="76">
        <v>0</v>
      </c>
      <c r="FN71" s="76">
        <v>676</v>
      </c>
      <c r="FO71" s="76">
        <v>735</v>
      </c>
      <c r="FP71" s="76">
        <v>-59</v>
      </c>
      <c r="FQ71" s="76">
        <v>0</v>
      </c>
      <c r="FR71" s="76">
        <v>0</v>
      </c>
      <c r="FS71" s="76">
        <v>0</v>
      </c>
      <c r="FT71" s="76">
        <v>0</v>
      </c>
      <c r="FU71" s="76">
        <v>0</v>
      </c>
      <c r="FV71" s="76">
        <v>0</v>
      </c>
      <c r="FW71" s="76">
        <v>0</v>
      </c>
      <c r="FX71" s="76">
        <v>0</v>
      </c>
      <c r="FY71" s="76">
        <v>0</v>
      </c>
      <c r="FZ71" s="76">
        <v>0</v>
      </c>
      <c r="GA71" s="76">
        <v>0</v>
      </c>
      <c r="GB71" s="76">
        <v>0</v>
      </c>
      <c r="GC71" s="76">
        <v>676</v>
      </c>
      <c r="GD71" s="76">
        <v>735</v>
      </c>
      <c r="GE71" s="76">
        <v>-59</v>
      </c>
      <c r="GF71" s="76">
        <v>0</v>
      </c>
      <c r="GG71" s="76">
        <v>0</v>
      </c>
      <c r="GH71" s="76">
        <v>0</v>
      </c>
      <c r="GI71" s="76">
        <v>0</v>
      </c>
      <c r="GJ71" s="76">
        <v>0</v>
      </c>
      <c r="GK71" s="76">
        <v>390</v>
      </c>
      <c r="GL71" s="76">
        <v>390</v>
      </c>
      <c r="GM71" s="76">
        <v>356</v>
      </c>
      <c r="GN71" s="76">
        <v>187</v>
      </c>
      <c r="GO71" s="76">
        <v>0</v>
      </c>
      <c r="GP71" s="76">
        <v>0</v>
      </c>
      <c r="GQ71" s="76">
        <v>0</v>
      </c>
      <c r="GR71" s="76">
        <v>1917</v>
      </c>
      <c r="GS71" s="76">
        <v>0</v>
      </c>
      <c r="GT71" s="76">
        <v>0</v>
      </c>
      <c r="GU71" s="76">
        <v>0</v>
      </c>
      <c r="GV71" s="76">
        <v>0</v>
      </c>
      <c r="GW71" s="76">
        <v>342</v>
      </c>
      <c r="GX71" s="76">
        <v>2802</v>
      </c>
      <c r="GY71" s="76">
        <v>27</v>
      </c>
      <c r="GZ71" s="76">
        <v>627</v>
      </c>
      <c r="HA71" s="76">
        <v>0</v>
      </c>
      <c r="HB71" s="76">
        <v>0</v>
      </c>
      <c r="HC71" s="76">
        <v>654</v>
      </c>
      <c r="HD71" s="76">
        <v>0</v>
      </c>
      <c r="HE71" s="76">
        <v>0</v>
      </c>
      <c r="HF71" s="76">
        <v>0</v>
      </c>
      <c r="HG71" s="76">
        <v>0</v>
      </c>
      <c r="HH71" s="76">
        <v>0</v>
      </c>
      <c r="HI71" s="76">
        <v>0</v>
      </c>
      <c r="HJ71" s="76">
        <v>0</v>
      </c>
      <c r="HK71" s="76">
        <v>3056</v>
      </c>
      <c r="HL71" s="76">
        <v>0</v>
      </c>
      <c r="HM71" s="76">
        <v>3056</v>
      </c>
      <c r="HN71" s="76">
        <v>8022</v>
      </c>
      <c r="HO71" s="76">
        <v>4489</v>
      </c>
      <c r="HP71" s="76">
        <v>0</v>
      </c>
      <c r="HQ71" s="76">
        <v>11</v>
      </c>
      <c r="HR71" s="76">
        <v>-35</v>
      </c>
      <c r="HS71" s="76">
        <v>0</v>
      </c>
      <c r="HT71" s="76">
        <v>6826</v>
      </c>
      <c r="HU71" s="76">
        <v>0</v>
      </c>
      <c r="HV71" s="76">
        <v>0</v>
      </c>
      <c r="HW71" s="76">
        <v>0</v>
      </c>
      <c r="HX71" s="76">
        <v>0</v>
      </c>
    </row>
    <row r="72" spans="1:232" x14ac:dyDescent="0.2">
      <c r="A72" s="74" t="s">
        <v>382</v>
      </c>
      <c r="B72" s="74" t="s">
        <v>383</v>
      </c>
      <c r="C72" s="75" t="s">
        <v>200</v>
      </c>
      <c r="D72" s="75">
        <v>12</v>
      </c>
      <c r="E72" s="76">
        <v>46577</v>
      </c>
      <c r="F72" s="76">
        <v>-907</v>
      </c>
      <c r="G72" s="76">
        <v>-30659</v>
      </c>
      <c r="H72" s="76">
        <v>15011</v>
      </c>
      <c r="I72" s="76">
        <v>1774</v>
      </c>
      <c r="J72" s="76">
        <v>0</v>
      </c>
      <c r="K72" s="76">
        <v>-316</v>
      </c>
      <c r="L72" s="76">
        <v>0</v>
      </c>
      <c r="M72" s="76">
        <v>1</v>
      </c>
      <c r="N72" s="76">
        <v>-5637</v>
      </c>
      <c r="O72" s="76">
        <v>831</v>
      </c>
      <c r="P72" s="76">
        <v>0</v>
      </c>
      <c r="Q72" s="76">
        <v>0</v>
      </c>
      <c r="R72" s="76">
        <v>0</v>
      </c>
      <c r="S72" s="76">
        <v>11664</v>
      </c>
      <c r="T72" s="76">
        <v>-12</v>
      </c>
      <c r="U72" s="76">
        <v>11652</v>
      </c>
      <c r="V72" s="76">
        <v>0</v>
      </c>
      <c r="W72" s="76">
        <v>-2888</v>
      </c>
      <c r="X72" s="76">
        <v>0</v>
      </c>
      <c r="Y72" s="76">
        <v>0</v>
      </c>
      <c r="Z72" s="76">
        <v>8764</v>
      </c>
      <c r="AA72" s="76">
        <v>40987</v>
      </c>
      <c r="AB72" s="76">
        <v>1034</v>
      </c>
      <c r="AC72" s="76">
        <v>42021</v>
      </c>
      <c r="AD72" s="76">
        <v>518</v>
      </c>
      <c r="AE72" s="76">
        <v>0</v>
      </c>
      <c r="AF72" s="76">
        <v>0</v>
      </c>
      <c r="AG72" s="76">
        <v>806</v>
      </c>
      <c r="AH72" s="76">
        <v>43345</v>
      </c>
      <c r="AI72" s="76">
        <v>10982</v>
      </c>
      <c r="AJ72" s="76">
        <v>1006</v>
      </c>
      <c r="AK72" s="76">
        <v>4483</v>
      </c>
      <c r="AL72" s="76">
        <v>3596</v>
      </c>
      <c r="AM72" s="76">
        <v>2043</v>
      </c>
      <c r="AN72" s="76">
        <v>299</v>
      </c>
      <c r="AO72" s="76">
        <v>5060</v>
      </c>
      <c r="AP72" s="76">
        <v>0</v>
      </c>
      <c r="AQ72" s="76">
        <v>2187</v>
      </c>
      <c r="AR72" s="76">
        <v>29656</v>
      </c>
      <c r="AS72" s="76">
        <v>13689</v>
      </c>
      <c r="AT72" s="76">
        <v>353</v>
      </c>
      <c r="AU72" s="76">
        <v>157196</v>
      </c>
      <c r="AV72" s="76">
        <v>0</v>
      </c>
      <c r="AW72" s="76">
        <v>1078</v>
      </c>
      <c r="AX72" s="76">
        <v>0</v>
      </c>
      <c r="AY72" s="76">
        <v>0</v>
      </c>
      <c r="AZ72" s="76">
        <v>12579</v>
      </c>
      <c r="BA72" s="76">
        <v>0</v>
      </c>
      <c r="BB72" s="76">
        <v>151</v>
      </c>
      <c r="BC72" s="76">
        <v>0</v>
      </c>
      <c r="BD72" s="76">
        <v>0</v>
      </c>
      <c r="BE72" s="76">
        <v>171004</v>
      </c>
      <c r="BF72" s="76">
        <v>5271</v>
      </c>
      <c r="BG72" s="76">
        <v>322</v>
      </c>
      <c r="BH72" s="76">
        <v>8962</v>
      </c>
      <c r="BI72" s="76">
        <v>0</v>
      </c>
      <c r="BJ72" s="76">
        <v>1684</v>
      </c>
      <c r="BK72" s="76">
        <v>16239</v>
      </c>
      <c r="BL72" s="76">
        <v>0</v>
      </c>
      <c r="BM72" s="76">
        <v>0</v>
      </c>
      <c r="BN72" s="76">
        <v>518</v>
      </c>
      <c r="BO72" s="76">
        <v>8955</v>
      </c>
      <c r="BP72" s="76">
        <v>9473</v>
      </c>
      <c r="BQ72" s="76">
        <v>6766</v>
      </c>
      <c r="BR72" s="76">
        <v>177770</v>
      </c>
      <c r="BS72" s="76">
        <v>139429</v>
      </c>
      <c r="BT72" s="76">
        <v>0</v>
      </c>
      <c r="BU72" s="76">
        <v>0</v>
      </c>
      <c r="BV72" s="76">
        <v>17608</v>
      </c>
      <c r="BW72" s="76">
        <v>0</v>
      </c>
      <c r="BX72" s="76">
        <v>0</v>
      </c>
      <c r="BY72" s="76">
        <v>0</v>
      </c>
      <c r="BZ72" s="76">
        <v>157037</v>
      </c>
      <c r="CA72" s="76">
        <v>12377</v>
      </c>
      <c r="CB72" s="76">
        <v>0</v>
      </c>
      <c r="CC72" s="76">
        <v>8356</v>
      </c>
      <c r="CD72" s="76">
        <v>8356</v>
      </c>
      <c r="CE72" s="76">
        <v>0</v>
      </c>
      <c r="CF72" s="76">
        <v>0</v>
      </c>
      <c r="CG72" s="76">
        <v>0</v>
      </c>
      <c r="CH72" s="76">
        <v>0</v>
      </c>
      <c r="CI72" s="76">
        <v>8356</v>
      </c>
      <c r="CJ72" s="76">
        <v>610</v>
      </c>
      <c r="CK72" s="76">
        <v>412</v>
      </c>
      <c r="CL72" s="76">
        <v>0</v>
      </c>
      <c r="CM72" s="76">
        <v>198</v>
      </c>
      <c r="CN72" s="76">
        <v>0</v>
      </c>
      <c r="CO72" s="76">
        <v>0</v>
      </c>
      <c r="CP72" s="76">
        <v>0</v>
      </c>
      <c r="CQ72" s="76">
        <v>0</v>
      </c>
      <c r="CR72" s="76">
        <v>0</v>
      </c>
      <c r="CS72" s="76">
        <v>0</v>
      </c>
      <c r="CT72" s="76">
        <v>0</v>
      </c>
      <c r="CU72" s="76">
        <v>0</v>
      </c>
      <c r="CV72" s="76">
        <v>0</v>
      </c>
      <c r="CW72" s="76">
        <v>0</v>
      </c>
      <c r="CX72" s="76">
        <v>0</v>
      </c>
      <c r="CY72" s="76">
        <v>0</v>
      </c>
      <c r="CZ72" s="76">
        <v>1029</v>
      </c>
      <c r="DA72" s="76">
        <v>0</v>
      </c>
      <c r="DB72" s="76">
        <v>808</v>
      </c>
      <c r="DC72" s="76">
        <v>221</v>
      </c>
      <c r="DD72" s="76">
        <v>1639</v>
      </c>
      <c r="DE72" s="76">
        <v>412</v>
      </c>
      <c r="DF72" s="76">
        <v>808</v>
      </c>
      <c r="DG72" s="76">
        <v>419</v>
      </c>
      <c r="DH72" s="76">
        <v>601</v>
      </c>
      <c r="DI72" s="76">
        <v>495</v>
      </c>
      <c r="DJ72" s="76">
        <v>0</v>
      </c>
      <c r="DK72" s="76">
        <v>106</v>
      </c>
      <c r="DL72" s="76">
        <v>0</v>
      </c>
      <c r="DM72" s="76">
        <v>0</v>
      </c>
      <c r="DN72" s="76">
        <v>0</v>
      </c>
      <c r="DO72" s="76">
        <v>0</v>
      </c>
      <c r="DP72" s="76">
        <v>0</v>
      </c>
      <c r="DQ72" s="76">
        <v>0</v>
      </c>
      <c r="DR72" s="76">
        <v>0</v>
      </c>
      <c r="DS72" s="76">
        <v>0</v>
      </c>
      <c r="DT72" s="76">
        <v>519</v>
      </c>
      <c r="DU72" s="76">
        <v>0</v>
      </c>
      <c r="DV72" s="76">
        <v>68</v>
      </c>
      <c r="DW72" s="76">
        <v>451</v>
      </c>
      <c r="DX72" s="76">
        <v>0</v>
      </c>
      <c r="DY72" s="76">
        <v>0</v>
      </c>
      <c r="DZ72" s="76">
        <v>0</v>
      </c>
      <c r="EA72" s="76">
        <v>0</v>
      </c>
      <c r="EB72" s="76">
        <v>473</v>
      </c>
      <c r="EC72" s="76">
        <v>0</v>
      </c>
      <c r="ED72" s="76">
        <v>127</v>
      </c>
      <c r="EE72" s="76">
        <v>346</v>
      </c>
      <c r="EF72" s="76">
        <v>1593</v>
      </c>
      <c r="EG72" s="76">
        <v>495</v>
      </c>
      <c r="EH72" s="76">
        <v>195</v>
      </c>
      <c r="EI72" s="76">
        <v>903</v>
      </c>
      <c r="EJ72" s="76">
        <v>3232</v>
      </c>
      <c r="EK72" s="76">
        <v>907</v>
      </c>
      <c r="EL72" s="76">
        <v>1003</v>
      </c>
      <c r="EM72" s="76">
        <v>1322</v>
      </c>
      <c r="EN72" s="76">
        <v>487</v>
      </c>
      <c r="EO72" s="76">
        <v>0</v>
      </c>
      <c r="EP72" s="76">
        <v>165</v>
      </c>
      <c r="EQ72" s="76">
        <v>0</v>
      </c>
      <c r="ER72" s="76">
        <v>171323</v>
      </c>
      <c r="ES72" s="76">
        <v>0</v>
      </c>
      <c r="ET72" s="76">
        <v>171323</v>
      </c>
      <c r="EU72" s="76">
        <v>24764</v>
      </c>
      <c r="EV72" s="76">
        <v>-1579</v>
      </c>
      <c r="EW72" s="76">
        <v>0</v>
      </c>
      <c r="EX72" s="76">
        <v>0</v>
      </c>
      <c r="EY72" s="76">
        <v>0</v>
      </c>
      <c r="EZ72" s="76">
        <v>194508</v>
      </c>
      <c r="FA72" s="76">
        <v>33221</v>
      </c>
      <c r="FB72" s="76">
        <v>4486</v>
      </c>
      <c r="FC72" s="76">
        <v>0</v>
      </c>
      <c r="FD72" s="76">
        <v>0</v>
      </c>
      <c r="FE72" s="76">
        <v>-395</v>
      </c>
      <c r="FF72" s="76">
        <v>0</v>
      </c>
      <c r="FG72" s="76">
        <v>0</v>
      </c>
      <c r="FH72" s="76">
        <v>37312</v>
      </c>
      <c r="FI72" s="76">
        <v>157196</v>
      </c>
      <c r="FJ72" s="76">
        <v>138102</v>
      </c>
      <c r="FK72" s="76">
        <v>119</v>
      </c>
      <c r="FL72" s="76">
        <v>63</v>
      </c>
      <c r="FM72" s="76">
        <v>56</v>
      </c>
      <c r="FN72" s="76">
        <v>1091</v>
      </c>
      <c r="FO72" s="76">
        <v>408</v>
      </c>
      <c r="FP72" s="76">
        <v>683</v>
      </c>
      <c r="FQ72" s="76">
        <v>128</v>
      </c>
      <c r="FR72" s="76">
        <v>112</v>
      </c>
      <c r="FS72" s="76">
        <v>16</v>
      </c>
      <c r="FT72" s="76">
        <v>1043</v>
      </c>
      <c r="FU72" s="76">
        <v>46</v>
      </c>
      <c r="FV72" s="76">
        <v>997</v>
      </c>
      <c r="FW72" s="76">
        <v>0</v>
      </c>
      <c r="FX72" s="76">
        <v>0</v>
      </c>
      <c r="FY72" s="76">
        <v>0</v>
      </c>
      <c r="FZ72" s="76">
        <v>22</v>
      </c>
      <c r="GA72" s="76">
        <v>0</v>
      </c>
      <c r="GB72" s="76">
        <v>22</v>
      </c>
      <c r="GC72" s="76">
        <v>2403</v>
      </c>
      <c r="GD72" s="76">
        <v>629</v>
      </c>
      <c r="GE72" s="76">
        <v>1774</v>
      </c>
      <c r="GF72" s="76">
        <v>0</v>
      </c>
      <c r="GG72" s="76">
        <v>0</v>
      </c>
      <c r="GH72" s="76">
        <v>0</v>
      </c>
      <c r="GI72" s="76">
        <v>0</v>
      </c>
      <c r="GJ72" s="76">
        <v>0</v>
      </c>
      <c r="GK72" s="76">
        <v>1684</v>
      </c>
      <c r="GL72" s="76">
        <v>1684</v>
      </c>
      <c r="GM72" s="76">
        <v>750</v>
      </c>
      <c r="GN72" s="76">
        <v>676</v>
      </c>
      <c r="GO72" s="76">
        <v>0</v>
      </c>
      <c r="GP72" s="76">
        <v>0</v>
      </c>
      <c r="GQ72" s="76">
        <v>0</v>
      </c>
      <c r="GR72" s="76">
        <v>4669</v>
      </c>
      <c r="GS72" s="76">
        <v>0</v>
      </c>
      <c r="GT72" s="76">
        <v>0</v>
      </c>
      <c r="GU72" s="76">
        <v>0</v>
      </c>
      <c r="GV72" s="76">
        <v>0</v>
      </c>
      <c r="GW72" s="76">
        <v>2860</v>
      </c>
      <c r="GX72" s="76">
        <v>8955</v>
      </c>
      <c r="GY72" s="76">
        <v>0</v>
      </c>
      <c r="GZ72" s="76">
        <v>0</v>
      </c>
      <c r="HA72" s="76">
        <v>0</v>
      </c>
      <c r="HB72" s="76">
        <v>0</v>
      </c>
      <c r="HC72" s="76">
        <v>0</v>
      </c>
      <c r="HD72" s="76">
        <v>0</v>
      </c>
      <c r="HE72" s="76">
        <v>0</v>
      </c>
      <c r="HF72" s="76">
        <v>0</v>
      </c>
      <c r="HG72" s="76">
        <v>5527</v>
      </c>
      <c r="HH72" s="76">
        <v>111</v>
      </c>
      <c r="HI72" s="76">
        <v>0</v>
      </c>
      <c r="HJ72" s="76">
        <v>0</v>
      </c>
      <c r="HK72" s="76">
        <v>0</v>
      </c>
      <c r="HL72" s="76">
        <v>0</v>
      </c>
      <c r="HM72" s="76">
        <v>5638</v>
      </c>
      <c r="HN72" s="76">
        <v>2224</v>
      </c>
      <c r="HO72" s="76">
        <v>5175</v>
      </c>
      <c r="HP72" s="76">
        <v>0</v>
      </c>
      <c r="HQ72" s="76">
        <v>82</v>
      </c>
      <c r="HR72" s="76">
        <v>-54</v>
      </c>
      <c r="HS72" s="76">
        <v>0</v>
      </c>
      <c r="HT72" s="76">
        <v>8928</v>
      </c>
      <c r="HU72" s="76">
        <v>67</v>
      </c>
      <c r="HV72" s="76">
        <v>0</v>
      </c>
      <c r="HW72" s="76">
        <v>0</v>
      </c>
      <c r="HX72" s="76">
        <v>113</v>
      </c>
    </row>
    <row r="73" spans="1:232" x14ac:dyDescent="0.2">
      <c r="A73" s="74" t="s">
        <v>386</v>
      </c>
      <c r="B73" s="74" t="s">
        <v>76</v>
      </c>
      <c r="C73" s="75" t="s">
        <v>200</v>
      </c>
      <c r="D73" s="75">
        <v>12</v>
      </c>
      <c r="E73" s="76">
        <v>27445</v>
      </c>
      <c r="F73" s="76">
        <v>-2509</v>
      </c>
      <c r="G73" s="76">
        <v>-15818</v>
      </c>
      <c r="H73" s="76">
        <v>9118</v>
      </c>
      <c r="I73" s="76">
        <v>3770</v>
      </c>
      <c r="J73" s="76">
        <v>0</v>
      </c>
      <c r="K73" s="76">
        <v>0</v>
      </c>
      <c r="L73" s="76">
        <v>0</v>
      </c>
      <c r="M73" s="76">
        <v>170</v>
      </c>
      <c r="N73" s="76">
        <v>-2776</v>
      </c>
      <c r="O73" s="76">
        <v>0</v>
      </c>
      <c r="P73" s="76">
        <v>0</v>
      </c>
      <c r="Q73" s="76">
        <v>0</v>
      </c>
      <c r="R73" s="76">
        <v>0</v>
      </c>
      <c r="S73" s="76">
        <v>10282</v>
      </c>
      <c r="T73" s="76">
        <v>0</v>
      </c>
      <c r="U73" s="76">
        <v>10282</v>
      </c>
      <c r="V73" s="76">
        <v>0</v>
      </c>
      <c r="W73" s="76">
        <v>-135</v>
      </c>
      <c r="X73" s="76">
        <v>0</v>
      </c>
      <c r="Y73" s="76">
        <v>0</v>
      </c>
      <c r="Z73" s="76">
        <v>10147</v>
      </c>
      <c r="AA73" s="76">
        <v>16012</v>
      </c>
      <c r="AB73" s="76">
        <v>1528</v>
      </c>
      <c r="AC73" s="76">
        <v>17540</v>
      </c>
      <c r="AD73" s="76">
        <v>1252</v>
      </c>
      <c r="AE73" s="76">
        <v>0</v>
      </c>
      <c r="AF73" s="76">
        <v>0</v>
      </c>
      <c r="AG73" s="76">
        <v>566</v>
      </c>
      <c r="AH73" s="76">
        <v>19358</v>
      </c>
      <c r="AI73" s="76">
        <v>3251</v>
      </c>
      <c r="AJ73" s="76">
        <v>2346</v>
      </c>
      <c r="AK73" s="76">
        <v>3215</v>
      </c>
      <c r="AL73" s="76">
        <v>692</v>
      </c>
      <c r="AM73" s="76">
        <v>161</v>
      </c>
      <c r="AN73" s="76">
        <v>89</v>
      </c>
      <c r="AO73" s="76">
        <v>2691</v>
      </c>
      <c r="AP73" s="76">
        <v>0</v>
      </c>
      <c r="AQ73" s="76">
        <v>0</v>
      </c>
      <c r="AR73" s="76">
        <v>12445</v>
      </c>
      <c r="AS73" s="76">
        <v>6913</v>
      </c>
      <c r="AT73" s="76">
        <v>104</v>
      </c>
      <c r="AU73" s="76">
        <v>220449</v>
      </c>
      <c r="AV73" s="76">
        <v>0</v>
      </c>
      <c r="AW73" s="76">
        <v>589</v>
      </c>
      <c r="AX73" s="76">
        <v>0</v>
      </c>
      <c r="AY73" s="76">
        <v>0</v>
      </c>
      <c r="AZ73" s="76">
        <v>995</v>
      </c>
      <c r="BA73" s="76">
        <v>0</v>
      </c>
      <c r="BB73" s="76">
        <v>0</v>
      </c>
      <c r="BC73" s="76">
        <v>0</v>
      </c>
      <c r="BD73" s="76">
        <v>0</v>
      </c>
      <c r="BE73" s="76">
        <v>222033</v>
      </c>
      <c r="BF73" s="76">
        <v>1204</v>
      </c>
      <c r="BG73" s="76">
        <v>2270</v>
      </c>
      <c r="BH73" s="76">
        <v>55879</v>
      </c>
      <c r="BI73" s="76">
        <v>0</v>
      </c>
      <c r="BJ73" s="76">
        <v>8</v>
      </c>
      <c r="BK73" s="76">
        <v>59361</v>
      </c>
      <c r="BL73" s="76">
        <v>2704</v>
      </c>
      <c r="BM73" s="76">
        <v>0</v>
      </c>
      <c r="BN73" s="76">
        <v>1361</v>
      </c>
      <c r="BO73" s="76">
        <v>9447</v>
      </c>
      <c r="BP73" s="76">
        <v>13512</v>
      </c>
      <c r="BQ73" s="76">
        <v>45849</v>
      </c>
      <c r="BR73" s="76">
        <v>267882</v>
      </c>
      <c r="BS73" s="76">
        <v>86650</v>
      </c>
      <c r="BT73" s="76">
        <v>0</v>
      </c>
      <c r="BU73" s="76">
        <v>0</v>
      </c>
      <c r="BV73" s="76">
        <v>101133</v>
      </c>
      <c r="BW73" s="76">
        <v>0</v>
      </c>
      <c r="BX73" s="76">
        <v>0</v>
      </c>
      <c r="BY73" s="76">
        <v>4640</v>
      </c>
      <c r="BZ73" s="76">
        <v>192423</v>
      </c>
      <c r="CA73" s="76">
        <v>500</v>
      </c>
      <c r="CB73" s="76">
        <v>0</v>
      </c>
      <c r="CC73" s="76">
        <v>74959</v>
      </c>
      <c r="CD73" s="76">
        <v>74959</v>
      </c>
      <c r="CE73" s="76">
        <v>0</v>
      </c>
      <c r="CF73" s="76">
        <v>0</v>
      </c>
      <c r="CG73" s="76">
        <v>0</v>
      </c>
      <c r="CH73" s="76">
        <v>0</v>
      </c>
      <c r="CI73" s="76">
        <v>74959</v>
      </c>
      <c r="CJ73" s="76">
        <v>3116</v>
      </c>
      <c r="CK73" s="76">
        <v>1519</v>
      </c>
      <c r="CL73" s="76">
        <v>0</v>
      </c>
      <c r="CM73" s="76">
        <v>1597</v>
      </c>
      <c r="CN73" s="76">
        <v>2366</v>
      </c>
      <c r="CO73" s="76">
        <v>0</v>
      </c>
      <c r="CP73" s="76">
        <v>2902</v>
      </c>
      <c r="CQ73" s="76">
        <v>-536</v>
      </c>
      <c r="CR73" s="76">
        <v>0</v>
      </c>
      <c r="CS73" s="76">
        <v>0</v>
      </c>
      <c r="CT73" s="76">
        <v>540</v>
      </c>
      <c r="CU73" s="76">
        <v>-540</v>
      </c>
      <c r="CV73" s="76">
        <v>0</v>
      </c>
      <c r="CW73" s="76">
        <v>0</v>
      </c>
      <c r="CX73" s="76">
        <v>0</v>
      </c>
      <c r="CY73" s="76">
        <v>0</v>
      </c>
      <c r="CZ73" s="76">
        <v>0</v>
      </c>
      <c r="DA73" s="76">
        <v>0</v>
      </c>
      <c r="DB73" s="76">
        <v>0</v>
      </c>
      <c r="DC73" s="76">
        <v>0</v>
      </c>
      <c r="DD73" s="76">
        <v>5482</v>
      </c>
      <c r="DE73" s="76">
        <v>1519</v>
      </c>
      <c r="DF73" s="76">
        <v>3442</v>
      </c>
      <c r="DG73" s="76">
        <v>521</v>
      </c>
      <c r="DH73" s="76">
        <v>2420</v>
      </c>
      <c r="DI73" s="76">
        <v>990</v>
      </c>
      <c r="DJ73" s="76">
        <v>7</v>
      </c>
      <c r="DK73" s="76">
        <v>1423</v>
      </c>
      <c r="DL73" s="76">
        <v>0</v>
      </c>
      <c r="DM73" s="76">
        <v>0</v>
      </c>
      <c r="DN73" s="76">
        <v>0</v>
      </c>
      <c r="DO73" s="76">
        <v>0</v>
      </c>
      <c r="DP73" s="76">
        <v>0</v>
      </c>
      <c r="DQ73" s="76">
        <v>0</v>
      </c>
      <c r="DR73" s="76">
        <v>0</v>
      </c>
      <c r="DS73" s="76">
        <v>0</v>
      </c>
      <c r="DT73" s="76">
        <v>0</v>
      </c>
      <c r="DU73" s="76">
        <v>0</v>
      </c>
      <c r="DV73" s="76">
        <v>0</v>
      </c>
      <c r="DW73" s="76">
        <v>0</v>
      </c>
      <c r="DX73" s="76">
        <v>0</v>
      </c>
      <c r="DY73" s="76">
        <v>0</v>
      </c>
      <c r="DZ73" s="76">
        <v>0</v>
      </c>
      <c r="EA73" s="76">
        <v>0</v>
      </c>
      <c r="EB73" s="76">
        <v>185</v>
      </c>
      <c r="EC73" s="76">
        <v>0</v>
      </c>
      <c r="ED73" s="76">
        <v>-76</v>
      </c>
      <c r="EE73" s="76">
        <v>261</v>
      </c>
      <c r="EF73" s="76">
        <v>2605</v>
      </c>
      <c r="EG73" s="76">
        <v>990</v>
      </c>
      <c r="EH73" s="76">
        <v>-69</v>
      </c>
      <c r="EI73" s="76">
        <v>1684</v>
      </c>
      <c r="EJ73" s="76">
        <v>8087</v>
      </c>
      <c r="EK73" s="76">
        <v>2509</v>
      </c>
      <c r="EL73" s="76">
        <v>3373</v>
      </c>
      <c r="EM73" s="76">
        <v>2205</v>
      </c>
      <c r="EN73" s="76">
        <v>1059</v>
      </c>
      <c r="EO73" s="76">
        <v>320</v>
      </c>
      <c r="EP73" s="76">
        <v>230</v>
      </c>
      <c r="EQ73" s="76">
        <v>228</v>
      </c>
      <c r="ER73" s="76">
        <v>238040</v>
      </c>
      <c r="ES73" s="76">
        <v>0</v>
      </c>
      <c r="ET73" s="76">
        <v>238040</v>
      </c>
      <c r="EU73" s="76">
        <v>12504</v>
      </c>
      <c r="EV73" s="76">
        <v>-1473</v>
      </c>
      <c r="EW73" s="76">
        <v>0</v>
      </c>
      <c r="EX73" s="76">
        <v>0</v>
      </c>
      <c r="EY73" s="76">
        <v>535</v>
      </c>
      <c r="EZ73" s="76">
        <v>249606</v>
      </c>
      <c r="FA73" s="76">
        <v>26584</v>
      </c>
      <c r="FB73" s="76">
        <v>2747</v>
      </c>
      <c r="FC73" s="76">
        <v>0</v>
      </c>
      <c r="FD73" s="76">
        <v>0</v>
      </c>
      <c r="FE73" s="76">
        <v>-174</v>
      </c>
      <c r="FF73" s="76">
        <v>0</v>
      </c>
      <c r="FG73" s="76">
        <v>0</v>
      </c>
      <c r="FH73" s="76">
        <v>29157</v>
      </c>
      <c r="FI73" s="76">
        <v>220449</v>
      </c>
      <c r="FJ73" s="76">
        <v>211456</v>
      </c>
      <c r="FK73" s="76">
        <v>3408</v>
      </c>
      <c r="FL73" s="76">
        <v>1024</v>
      </c>
      <c r="FM73" s="76">
        <v>2384</v>
      </c>
      <c r="FN73" s="76">
        <v>0</v>
      </c>
      <c r="FO73" s="76">
        <v>0</v>
      </c>
      <c r="FP73" s="76">
        <v>0</v>
      </c>
      <c r="FQ73" s="76">
        <v>244</v>
      </c>
      <c r="FR73" s="76">
        <v>244</v>
      </c>
      <c r="FS73" s="76">
        <v>0</v>
      </c>
      <c r="FT73" s="76">
        <v>1585</v>
      </c>
      <c r="FU73" s="76">
        <v>199</v>
      </c>
      <c r="FV73" s="76">
        <v>1386</v>
      </c>
      <c r="FW73" s="76">
        <v>0</v>
      </c>
      <c r="FX73" s="76">
        <v>0</v>
      </c>
      <c r="FY73" s="76">
        <v>0</v>
      </c>
      <c r="FZ73" s="76">
        <v>0</v>
      </c>
      <c r="GA73" s="76">
        <v>0</v>
      </c>
      <c r="GB73" s="76">
        <v>0</v>
      </c>
      <c r="GC73" s="76">
        <v>5237</v>
      </c>
      <c r="GD73" s="76">
        <v>1467</v>
      </c>
      <c r="GE73" s="76">
        <v>3770</v>
      </c>
      <c r="GF73" s="76">
        <v>0</v>
      </c>
      <c r="GG73" s="76">
        <v>8</v>
      </c>
      <c r="GH73" s="76">
        <v>0</v>
      </c>
      <c r="GI73" s="76">
        <v>0</v>
      </c>
      <c r="GJ73" s="76">
        <v>0</v>
      </c>
      <c r="GK73" s="76">
        <v>0</v>
      </c>
      <c r="GL73" s="76">
        <v>8</v>
      </c>
      <c r="GM73" s="76">
        <v>544</v>
      </c>
      <c r="GN73" s="76">
        <v>732</v>
      </c>
      <c r="GO73" s="76">
        <v>0</v>
      </c>
      <c r="GP73" s="76">
        <v>598</v>
      </c>
      <c r="GQ73" s="76">
        <v>460</v>
      </c>
      <c r="GR73" s="76">
        <v>5183</v>
      </c>
      <c r="GS73" s="76">
        <v>0</v>
      </c>
      <c r="GT73" s="76">
        <v>0</v>
      </c>
      <c r="GU73" s="76">
        <v>0</v>
      </c>
      <c r="GV73" s="76">
        <v>0</v>
      </c>
      <c r="GW73" s="76">
        <v>1930</v>
      </c>
      <c r="GX73" s="76">
        <v>9447</v>
      </c>
      <c r="GY73" s="76">
        <v>1104</v>
      </c>
      <c r="GZ73" s="76">
        <v>183</v>
      </c>
      <c r="HA73" s="76">
        <v>1827</v>
      </c>
      <c r="HB73" s="76">
        <v>1526</v>
      </c>
      <c r="HC73" s="76">
        <v>4640</v>
      </c>
      <c r="HD73" s="76">
        <v>0</v>
      </c>
      <c r="HE73" s="76">
        <v>0</v>
      </c>
      <c r="HF73" s="76">
        <v>0</v>
      </c>
      <c r="HG73" s="76">
        <v>2715</v>
      </c>
      <c r="HH73" s="76">
        <v>116</v>
      </c>
      <c r="HI73" s="76">
        <v>44</v>
      </c>
      <c r="HJ73" s="76">
        <v>8</v>
      </c>
      <c r="HK73" s="76">
        <v>0</v>
      </c>
      <c r="HL73" s="76">
        <v>-107</v>
      </c>
      <c r="HM73" s="76">
        <v>2776</v>
      </c>
      <c r="HN73" s="76">
        <v>2823</v>
      </c>
      <c r="HO73" s="76">
        <v>3113</v>
      </c>
      <c r="HP73" s="76">
        <v>0</v>
      </c>
      <c r="HQ73" s="76">
        <v>127</v>
      </c>
      <c r="HR73" s="76">
        <v>-26</v>
      </c>
      <c r="HS73" s="76">
        <v>0</v>
      </c>
      <c r="HT73" s="76">
        <v>2868</v>
      </c>
      <c r="HU73" s="76">
        <v>0</v>
      </c>
      <c r="HV73" s="76">
        <v>0</v>
      </c>
      <c r="HW73" s="76">
        <v>0</v>
      </c>
      <c r="HX73" s="76">
        <v>0</v>
      </c>
    </row>
    <row r="74" spans="1:232" x14ac:dyDescent="0.2">
      <c r="A74" s="74" t="s">
        <v>391</v>
      </c>
      <c r="B74" s="74" t="s">
        <v>390</v>
      </c>
      <c r="C74" s="75" t="s">
        <v>200</v>
      </c>
      <c r="D74" s="75">
        <v>12</v>
      </c>
      <c r="E74" s="76">
        <v>264300</v>
      </c>
      <c r="F74" s="76">
        <v>-7300</v>
      </c>
      <c r="G74" s="76">
        <v>-204200</v>
      </c>
      <c r="H74" s="76">
        <v>52800</v>
      </c>
      <c r="I74" s="76">
        <v>27100</v>
      </c>
      <c r="J74" s="76">
        <v>0</v>
      </c>
      <c r="K74" s="76">
        <v>0</v>
      </c>
      <c r="L74" s="76">
        <v>0</v>
      </c>
      <c r="M74" s="76">
        <v>200</v>
      </c>
      <c r="N74" s="76">
        <v>-63200</v>
      </c>
      <c r="O74" s="76">
        <v>12300</v>
      </c>
      <c r="P74" s="76">
        <v>-4200</v>
      </c>
      <c r="Q74" s="76">
        <v>0</v>
      </c>
      <c r="R74" s="76">
        <v>0</v>
      </c>
      <c r="S74" s="76">
        <v>25000</v>
      </c>
      <c r="T74" s="76">
        <v>-200</v>
      </c>
      <c r="U74" s="76">
        <v>24800</v>
      </c>
      <c r="V74" s="76">
        <v>0</v>
      </c>
      <c r="W74" s="76">
        <v>-1500</v>
      </c>
      <c r="X74" s="76">
        <v>5200</v>
      </c>
      <c r="Y74" s="76">
        <v>0</v>
      </c>
      <c r="Z74" s="76">
        <v>28500</v>
      </c>
      <c r="AA74" s="76">
        <v>191700</v>
      </c>
      <c r="AB74" s="76">
        <v>29700</v>
      </c>
      <c r="AC74" s="76">
        <v>221400</v>
      </c>
      <c r="AD74" s="76">
        <v>5700</v>
      </c>
      <c r="AE74" s="76">
        <v>0</v>
      </c>
      <c r="AF74" s="76">
        <v>8700</v>
      </c>
      <c r="AG74" s="76">
        <v>4700</v>
      </c>
      <c r="AH74" s="76">
        <v>240500</v>
      </c>
      <c r="AI74" s="76">
        <v>76600</v>
      </c>
      <c r="AJ74" s="76">
        <v>27300</v>
      </c>
      <c r="AK74" s="76">
        <v>16400</v>
      </c>
      <c r="AL74" s="76">
        <v>8600</v>
      </c>
      <c r="AM74" s="76">
        <v>0</v>
      </c>
      <c r="AN74" s="76">
        <v>3100</v>
      </c>
      <c r="AO74" s="76">
        <v>19100</v>
      </c>
      <c r="AP74" s="76">
        <v>0</v>
      </c>
      <c r="AQ74" s="76">
        <v>42200</v>
      </c>
      <c r="AR74" s="76">
        <v>193300</v>
      </c>
      <c r="AS74" s="76">
        <v>47200</v>
      </c>
      <c r="AT74" s="76">
        <v>4500</v>
      </c>
      <c r="AU74" s="76">
        <v>3072900</v>
      </c>
      <c r="AV74" s="76">
        <v>0</v>
      </c>
      <c r="AW74" s="76">
        <v>30000</v>
      </c>
      <c r="AX74" s="76">
        <v>0</v>
      </c>
      <c r="AY74" s="76">
        <v>0</v>
      </c>
      <c r="AZ74" s="76">
        <v>139300</v>
      </c>
      <c r="BA74" s="76">
        <v>0</v>
      </c>
      <c r="BB74" s="76">
        <v>2500</v>
      </c>
      <c r="BC74" s="76">
        <v>0</v>
      </c>
      <c r="BD74" s="76">
        <v>2400</v>
      </c>
      <c r="BE74" s="76">
        <v>3247100</v>
      </c>
      <c r="BF74" s="76">
        <v>91100</v>
      </c>
      <c r="BG74" s="76">
        <v>48100</v>
      </c>
      <c r="BH74" s="76">
        <v>67600</v>
      </c>
      <c r="BI74" s="76">
        <v>33500</v>
      </c>
      <c r="BJ74" s="76">
        <v>4000</v>
      </c>
      <c r="BK74" s="76">
        <v>244300</v>
      </c>
      <c r="BL74" s="76">
        <v>57600</v>
      </c>
      <c r="BM74" s="76">
        <v>0</v>
      </c>
      <c r="BN74" s="76">
        <v>5700</v>
      </c>
      <c r="BO74" s="76">
        <v>79900</v>
      </c>
      <c r="BP74" s="76">
        <v>143200</v>
      </c>
      <c r="BQ74" s="76">
        <v>101100</v>
      </c>
      <c r="BR74" s="76">
        <v>3348200</v>
      </c>
      <c r="BS74" s="76">
        <v>1475300</v>
      </c>
      <c r="BT74" s="76">
        <v>0</v>
      </c>
      <c r="BU74" s="76">
        <v>0</v>
      </c>
      <c r="BV74" s="76">
        <v>868700</v>
      </c>
      <c r="BW74" s="76">
        <v>0</v>
      </c>
      <c r="BX74" s="76">
        <v>119000</v>
      </c>
      <c r="BY74" s="76">
        <v>44100</v>
      </c>
      <c r="BZ74" s="76">
        <v>2507100</v>
      </c>
      <c r="CA74" s="76">
        <v>32900</v>
      </c>
      <c r="CB74" s="76">
        <v>1400</v>
      </c>
      <c r="CC74" s="76">
        <v>806800</v>
      </c>
      <c r="CD74" s="76">
        <v>407700</v>
      </c>
      <c r="CE74" s="76">
        <v>418300</v>
      </c>
      <c r="CF74" s="76">
        <v>3100</v>
      </c>
      <c r="CG74" s="76">
        <v>-22300</v>
      </c>
      <c r="CH74" s="76">
        <v>0</v>
      </c>
      <c r="CI74" s="76">
        <v>806800</v>
      </c>
      <c r="CJ74" s="76">
        <v>6300</v>
      </c>
      <c r="CK74" s="76">
        <v>5800</v>
      </c>
      <c r="CL74" s="76">
        <v>0</v>
      </c>
      <c r="CM74" s="76">
        <v>500</v>
      </c>
      <c r="CN74" s="76">
        <v>0</v>
      </c>
      <c r="CO74" s="76">
        <v>0</v>
      </c>
      <c r="CP74" s="76">
        <v>0</v>
      </c>
      <c r="CQ74" s="76">
        <v>0</v>
      </c>
      <c r="CR74" s="76">
        <v>0</v>
      </c>
      <c r="CS74" s="76">
        <v>0</v>
      </c>
      <c r="CT74" s="76">
        <v>0</v>
      </c>
      <c r="CU74" s="76">
        <v>0</v>
      </c>
      <c r="CV74" s="76">
        <v>0</v>
      </c>
      <c r="CW74" s="76">
        <v>0</v>
      </c>
      <c r="CX74" s="76">
        <v>0</v>
      </c>
      <c r="CY74" s="76">
        <v>0</v>
      </c>
      <c r="CZ74" s="76">
        <v>0</v>
      </c>
      <c r="DA74" s="76">
        <v>0</v>
      </c>
      <c r="DB74" s="76">
        <v>0</v>
      </c>
      <c r="DC74" s="76">
        <v>0</v>
      </c>
      <c r="DD74" s="76">
        <v>6300</v>
      </c>
      <c r="DE74" s="76">
        <v>5800</v>
      </c>
      <c r="DF74" s="76">
        <v>0</v>
      </c>
      <c r="DG74" s="76">
        <v>500</v>
      </c>
      <c r="DH74" s="76">
        <v>4400</v>
      </c>
      <c r="DI74" s="76">
        <v>1500</v>
      </c>
      <c r="DJ74" s="76">
        <v>0</v>
      </c>
      <c r="DK74" s="76">
        <v>2900</v>
      </c>
      <c r="DL74" s="76">
        <v>0</v>
      </c>
      <c r="DM74" s="76">
        <v>0</v>
      </c>
      <c r="DN74" s="76">
        <v>0</v>
      </c>
      <c r="DO74" s="76">
        <v>0</v>
      </c>
      <c r="DP74" s="76">
        <v>0</v>
      </c>
      <c r="DQ74" s="76">
        <v>0</v>
      </c>
      <c r="DR74" s="76">
        <v>0</v>
      </c>
      <c r="DS74" s="76">
        <v>0</v>
      </c>
      <c r="DT74" s="76">
        <v>13100</v>
      </c>
      <c r="DU74" s="76">
        <v>0</v>
      </c>
      <c r="DV74" s="76">
        <v>10900</v>
      </c>
      <c r="DW74" s="76">
        <v>2200</v>
      </c>
      <c r="DX74" s="76">
        <v>0</v>
      </c>
      <c r="DY74" s="76">
        <v>0</v>
      </c>
      <c r="DZ74" s="76">
        <v>0</v>
      </c>
      <c r="EA74" s="76">
        <v>0</v>
      </c>
      <c r="EB74" s="76">
        <v>0</v>
      </c>
      <c r="EC74" s="76">
        <v>0</v>
      </c>
      <c r="ED74" s="76">
        <v>0</v>
      </c>
      <c r="EE74" s="76">
        <v>0</v>
      </c>
      <c r="EF74" s="76">
        <v>17500</v>
      </c>
      <c r="EG74" s="76">
        <v>1500</v>
      </c>
      <c r="EH74" s="76">
        <v>10900</v>
      </c>
      <c r="EI74" s="76">
        <v>5100</v>
      </c>
      <c r="EJ74" s="76">
        <v>23800</v>
      </c>
      <c r="EK74" s="76">
        <v>7300</v>
      </c>
      <c r="EL74" s="76">
        <v>10900</v>
      </c>
      <c r="EM74" s="76">
        <v>5600</v>
      </c>
      <c r="EN74" s="76">
        <v>16441</v>
      </c>
      <c r="EO74" s="76">
        <v>6926</v>
      </c>
      <c r="EP74" s="76">
        <v>1745</v>
      </c>
      <c r="EQ74" s="76">
        <v>6926</v>
      </c>
      <c r="ER74" s="76">
        <v>3249900</v>
      </c>
      <c r="ES74" s="76">
        <v>0</v>
      </c>
      <c r="ET74" s="76">
        <v>3249900</v>
      </c>
      <c r="EU74" s="76">
        <v>78600</v>
      </c>
      <c r="EV74" s="76">
        <v>-37700</v>
      </c>
      <c r="EW74" s="76">
        <v>0</v>
      </c>
      <c r="EX74" s="76">
        <v>0</v>
      </c>
      <c r="EY74" s="76">
        <v>13200</v>
      </c>
      <c r="EZ74" s="76">
        <v>3304000</v>
      </c>
      <c r="FA74" s="76">
        <v>214800</v>
      </c>
      <c r="FB74" s="76">
        <v>19100</v>
      </c>
      <c r="FC74" s="76">
        <v>0</v>
      </c>
      <c r="FD74" s="76">
        <v>0</v>
      </c>
      <c r="FE74" s="76">
        <v>-2800</v>
      </c>
      <c r="FF74" s="76">
        <v>0</v>
      </c>
      <c r="FG74" s="76">
        <v>0</v>
      </c>
      <c r="FH74" s="76">
        <v>231100</v>
      </c>
      <c r="FI74" s="76">
        <v>3072900</v>
      </c>
      <c r="FJ74" s="76">
        <v>3035100</v>
      </c>
      <c r="FK74" s="76">
        <v>32300</v>
      </c>
      <c r="FL74" s="76">
        <v>23300</v>
      </c>
      <c r="FM74" s="76">
        <v>9000</v>
      </c>
      <c r="FN74" s="76">
        <v>300</v>
      </c>
      <c r="FO74" s="76">
        <v>300</v>
      </c>
      <c r="FP74" s="76">
        <v>0</v>
      </c>
      <c r="FQ74" s="76">
        <v>0</v>
      </c>
      <c r="FR74" s="76">
        <v>0</v>
      </c>
      <c r="FS74" s="76">
        <v>0</v>
      </c>
      <c r="FT74" s="76">
        <v>19800</v>
      </c>
      <c r="FU74" s="76">
        <v>9800</v>
      </c>
      <c r="FV74" s="76">
        <v>10000</v>
      </c>
      <c r="FW74" s="76">
        <v>16300</v>
      </c>
      <c r="FX74" s="76">
        <v>8000</v>
      </c>
      <c r="FY74" s="76">
        <v>8300</v>
      </c>
      <c r="FZ74" s="76">
        <v>1100</v>
      </c>
      <c r="GA74" s="76">
        <v>1300</v>
      </c>
      <c r="GB74" s="76">
        <v>-200</v>
      </c>
      <c r="GC74" s="76">
        <v>69800</v>
      </c>
      <c r="GD74" s="76">
        <v>42700</v>
      </c>
      <c r="GE74" s="76">
        <v>27100</v>
      </c>
      <c r="GF74" s="76">
        <v>0</v>
      </c>
      <c r="GG74" s="76">
        <v>0</v>
      </c>
      <c r="GH74" s="76">
        <v>0</v>
      </c>
      <c r="GI74" s="76">
        <v>0</v>
      </c>
      <c r="GJ74" s="76">
        <v>0</v>
      </c>
      <c r="GK74" s="76">
        <v>4000</v>
      </c>
      <c r="GL74" s="76">
        <v>4000</v>
      </c>
      <c r="GM74" s="76">
        <v>6600</v>
      </c>
      <c r="GN74" s="76">
        <v>10910</v>
      </c>
      <c r="GO74" s="76">
        <v>0</v>
      </c>
      <c r="GP74" s="76">
        <v>5900</v>
      </c>
      <c r="GQ74" s="76">
        <v>300</v>
      </c>
      <c r="GR74" s="76">
        <v>41100</v>
      </c>
      <c r="GS74" s="76">
        <v>0</v>
      </c>
      <c r="GT74" s="76">
        <v>0</v>
      </c>
      <c r="GU74" s="76">
        <v>0</v>
      </c>
      <c r="GV74" s="76">
        <v>0</v>
      </c>
      <c r="GW74" s="76">
        <v>15090</v>
      </c>
      <c r="GX74" s="76">
        <v>79900</v>
      </c>
      <c r="GY74" s="76">
        <v>26900</v>
      </c>
      <c r="GZ74" s="76">
        <v>3400</v>
      </c>
      <c r="HA74" s="76">
        <v>0</v>
      </c>
      <c r="HB74" s="76">
        <v>13800</v>
      </c>
      <c r="HC74" s="76">
        <v>44100</v>
      </c>
      <c r="HD74" s="76">
        <v>1400</v>
      </c>
      <c r="HE74" s="76">
        <v>0</v>
      </c>
      <c r="HF74" s="76">
        <v>1400</v>
      </c>
      <c r="HG74" s="76">
        <v>67700</v>
      </c>
      <c r="HH74" s="76">
        <v>800</v>
      </c>
      <c r="HI74" s="76">
        <v>1000</v>
      </c>
      <c r="HJ74" s="76">
        <v>0</v>
      </c>
      <c r="HK74" s="76">
        <v>0</v>
      </c>
      <c r="HL74" s="76">
        <v>-6300</v>
      </c>
      <c r="HM74" s="76">
        <v>63200</v>
      </c>
      <c r="HN74" s="76">
        <v>25000</v>
      </c>
      <c r="HO74" s="76">
        <v>23600</v>
      </c>
      <c r="HP74" s="76">
        <v>0</v>
      </c>
      <c r="HQ74" s="76">
        <v>70</v>
      </c>
      <c r="HR74" s="76">
        <v>-75</v>
      </c>
      <c r="HS74" s="76">
        <v>-279</v>
      </c>
      <c r="HT74" s="76">
        <v>29623</v>
      </c>
      <c r="HU74" s="76">
        <v>125</v>
      </c>
      <c r="HV74" s="76">
        <v>0</v>
      </c>
      <c r="HW74" s="76">
        <v>-130</v>
      </c>
      <c r="HX74" s="76">
        <v>1154</v>
      </c>
    </row>
    <row r="75" spans="1:232" x14ac:dyDescent="0.2">
      <c r="A75" s="74" t="s">
        <v>79</v>
      </c>
      <c r="B75" s="74" t="s">
        <v>78</v>
      </c>
      <c r="C75" s="75" t="s">
        <v>200</v>
      </c>
      <c r="D75" s="75">
        <v>12</v>
      </c>
      <c r="E75" s="76">
        <v>193322</v>
      </c>
      <c r="F75" s="76">
        <v>-38038</v>
      </c>
      <c r="G75" s="76">
        <v>-115017</v>
      </c>
      <c r="H75" s="76">
        <v>40267</v>
      </c>
      <c r="I75" s="76">
        <v>-1603</v>
      </c>
      <c r="J75" s="76">
        <v>0</v>
      </c>
      <c r="K75" s="76">
        <v>-4304</v>
      </c>
      <c r="L75" s="76">
        <v>0</v>
      </c>
      <c r="M75" s="76">
        <v>1450</v>
      </c>
      <c r="N75" s="76">
        <v>-26642</v>
      </c>
      <c r="O75" s="76">
        <v>-650</v>
      </c>
      <c r="P75" s="76">
        <v>0</v>
      </c>
      <c r="Q75" s="76">
        <v>0</v>
      </c>
      <c r="R75" s="76">
        <v>0</v>
      </c>
      <c r="S75" s="76">
        <v>8518</v>
      </c>
      <c r="T75" s="76">
        <v>-169</v>
      </c>
      <c r="U75" s="76">
        <v>8349</v>
      </c>
      <c r="V75" s="76">
        <v>0</v>
      </c>
      <c r="W75" s="76">
        <v>-11220</v>
      </c>
      <c r="X75" s="76">
        <v>0</v>
      </c>
      <c r="Y75" s="76">
        <v>718</v>
      </c>
      <c r="Z75" s="76">
        <v>-2153</v>
      </c>
      <c r="AA75" s="76">
        <v>135372</v>
      </c>
      <c r="AB75" s="76">
        <v>2664</v>
      </c>
      <c r="AC75" s="76">
        <v>138036</v>
      </c>
      <c r="AD75" s="76">
        <v>3631</v>
      </c>
      <c r="AE75" s="76">
        <v>0</v>
      </c>
      <c r="AF75" s="76">
        <v>30</v>
      </c>
      <c r="AG75" s="76">
        <v>0</v>
      </c>
      <c r="AH75" s="76">
        <v>141697</v>
      </c>
      <c r="AI75" s="76">
        <v>36924</v>
      </c>
      <c r="AJ75" s="76">
        <v>2357</v>
      </c>
      <c r="AK75" s="76">
        <v>26351</v>
      </c>
      <c r="AL75" s="76">
        <v>0</v>
      </c>
      <c r="AM75" s="76">
        <v>9806</v>
      </c>
      <c r="AN75" s="76">
        <v>304</v>
      </c>
      <c r="AO75" s="76">
        <v>30120</v>
      </c>
      <c r="AP75" s="76">
        <v>176</v>
      </c>
      <c r="AQ75" s="76">
        <v>-1870</v>
      </c>
      <c r="AR75" s="76">
        <v>104168</v>
      </c>
      <c r="AS75" s="76">
        <v>37529</v>
      </c>
      <c r="AT75" s="76">
        <v>1352</v>
      </c>
      <c r="AU75" s="76">
        <v>1227131</v>
      </c>
      <c r="AV75" s="76">
        <v>0</v>
      </c>
      <c r="AW75" s="76">
        <v>19770</v>
      </c>
      <c r="AX75" s="76">
        <v>90</v>
      </c>
      <c r="AY75" s="76">
        <v>879</v>
      </c>
      <c r="AZ75" s="76">
        <v>15043</v>
      </c>
      <c r="BA75" s="76">
        <v>0</v>
      </c>
      <c r="BB75" s="76">
        <v>0</v>
      </c>
      <c r="BC75" s="76">
        <v>0</v>
      </c>
      <c r="BD75" s="76">
        <v>40180</v>
      </c>
      <c r="BE75" s="76">
        <v>1303093</v>
      </c>
      <c r="BF75" s="76">
        <v>49755</v>
      </c>
      <c r="BG75" s="76">
        <v>24780</v>
      </c>
      <c r="BH75" s="76">
        <v>16486</v>
      </c>
      <c r="BI75" s="76">
        <v>0</v>
      </c>
      <c r="BJ75" s="76">
        <v>602</v>
      </c>
      <c r="BK75" s="76">
        <v>91623</v>
      </c>
      <c r="BL75" s="76">
        <v>26109</v>
      </c>
      <c r="BM75" s="76">
        <v>4872</v>
      </c>
      <c r="BN75" s="76">
        <v>0</v>
      </c>
      <c r="BO75" s="76">
        <v>24645</v>
      </c>
      <c r="BP75" s="76">
        <v>55626</v>
      </c>
      <c r="BQ75" s="76">
        <v>35997</v>
      </c>
      <c r="BR75" s="76">
        <v>1339090</v>
      </c>
      <c r="BS75" s="76">
        <v>628862</v>
      </c>
      <c r="BT75" s="76">
        <v>0</v>
      </c>
      <c r="BU75" s="76">
        <v>0</v>
      </c>
      <c r="BV75" s="76">
        <v>145326</v>
      </c>
      <c r="BW75" s="76">
        <v>0</v>
      </c>
      <c r="BX75" s="76">
        <v>0</v>
      </c>
      <c r="BY75" s="76">
        <v>2289</v>
      </c>
      <c r="BZ75" s="76">
        <v>776477</v>
      </c>
      <c r="CA75" s="76">
        <v>18620</v>
      </c>
      <c r="CB75" s="76">
        <v>0</v>
      </c>
      <c r="CC75" s="76">
        <v>543993</v>
      </c>
      <c r="CD75" s="76">
        <v>84437</v>
      </c>
      <c r="CE75" s="76">
        <v>165690</v>
      </c>
      <c r="CF75" s="76">
        <v>293866</v>
      </c>
      <c r="CG75" s="76">
        <v>0</v>
      </c>
      <c r="CH75" s="76">
        <v>0</v>
      </c>
      <c r="CI75" s="76">
        <v>543993</v>
      </c>
      <c r="CJ75" s="76">
        <v>0</v>
      </c>
      <c r="CK75" s="76">
        <v>0</v>
      </c>
      <c r="CL75" s="76">
        <v>0</v>
      </c>
      <c r="CM75" s="76">
        <v>0</v>
      </c>
      <c r="CN75" s="76">
        <v>776</v>
      </c>
      <c r="CO75" s="76">
        <v>0</v>
      </c>
      <c r="CP75" s="76">
        <v>1870</v>
      </c>
      <c r="CQ75" s="76">
        <v>-1094</v>
      </c>
      <c r="CR75" s="76">
        <v>0</v>
      </c>
      <c r="CS75" s="76">
        <v>0</v>
      </c>
      <c r="CT75" s="76">
        <v>0</v>
      </c>
      <c r="CU75" s="76">
        <v>0</v>
      </c>
      <c r="CV75" s="76">
        <v>0</v>
      </c>
      <c r="CW75" s="76">
        <v>0</v>
      </c>
      <c r="CX75" s="76">
        <v>0</v>
      </c>
      <c r="CY75" s="76">
        <v>0</v>
      </c>
      <c r="CZ75" s="76">
        <v>1151</v>
      </c>
      <c r="DA75" s="76">
        <v>0</v>
      </c>
      <c r="DB75" s="76">
        <v>2128</v>
      </c>
      <c r="DC75" s="76">
        <v>-977</v>
      </c>
      <c r="DD75" s="76">
        <v>1927</v>
      </c>
      <c r="DE75" s="76">
        <v>0</v>
      </c>
      <c r="DF75" s="76">
        <v>3998</v>
      </c>
      <c r="DG75" s="76">
        <v>-2071</v>
      </c>
      <c r="DH75" s="76">
        <v>35383</v>
      </c>
      <c r="DI75" s="76">
        <v>28430</v>
      </c>
      <c r="DJ75" s="76">
        <v>2454</v>
      </c>
      <c r="DK75" s="76">
        <v>4499</v>
      </c>
      <c r="DL75" s="76">
        <v>0</v>
      </c>
      <c r="DM75" s="76">
        <v>0</v>
      </c>
      <c r="DN75" s="76">
        <v>0</v>
      </c>
      <c r="DO75" s="76">
        <v>0</v>
      </c>
      <c r="DP75" s="76">
        <v>0</v>
      </c>
      <c r="DQ75" s="76">
        <v>0</v>
      </c>
      <c r="DR75" s="76">
        <v>0</v>
      </c>
      <c r="DS75" s="76">
        <v>0</v>
      </c>
      <c r="DT75" s="76">
        <v>390</v>
      </c>
      <c r="DU75" s="76">
        <v>0</v>
      </c>
      <c r="DV75" s="76">
        <v>142</v>
      </c>
      <c r="DW75" s="76">
        <v>248</v>
      </c>
      <c r="DX75" s="76">
        <v>0</v>
      </c>
      <c r="DY75" s="76">
        <v>0</v>
      </c>
      <c r="DZ75" s="76">
        <v>0</v>
      </c>
      <c r="EA75" s="76">
        <v>0</v>
      </c>
      <c r="EB75" s="76">
        <v>13925</v>
      </c>
      <c r="EC75" s="76">
        <v>9608</v>
      </c>
      <c r="ED75" s="76">
        <v>4255</v>
      </c>
      <c r="EE75" s="76">
        <v>62</v>
      </c>
      <c r="EF75" s="76">
        <v>49698</v>
      </c>
      <c r="EG75" s="76">
        <v>38038</v>
      </c>
      <c r="EH75" s="76">
        <v>6851</v>
      </c>
      <c r="EI75" s="76">
        <v>4809</v>
      </c>
      <c r="EJ75" s="76">
        <v>51625</v>
      </c>
      <c r="EK75" s="76">
        <v>38038</v>
      </c>
      <c r="EL75" s="76">
        <v>10849</v>
      </c>
      <c r="EM75" s="76">
        <v>2738</v>
      </c>
      <c r="EN75" s="76">
        <v>5154</v>
      </c>
      <c r="EO75" s="76">
        <v>2747</v>
      </c>
      <c r="EP75" s="76">
        <v>1381</v>
      </c>
      <c r="EQ75" s="76">
        <v>2365</v>
      </c>
      <c r="ER75" s="76">
        <v>1425260</v>
      </c>
      <c r="ES75" s="76">
        <v>0</v>
      </c>
      <c r="ET75" s="76">
        <v>1425260</v>
      </c>
      <c r="EU75" s="76">
        <v>28153</v>
      </c>
      <c r="EV75" s="76">
        <v>-7452</v>
      </c>
      <c r="EW75" s="76">
        <v>0</v>
      </c>
      <c r="EX75" s="76">
        <v>0</v>
      </c>
      <c r="EY75" s="76">
        <v>-246</v>
      </c>
      <c r="EZ75" s="76">
        <v>1445715</v>
      </c>
      <c r="FA75" s="76">
        <v>189694</v>
      </c>
      <c r="FB75" s="76">
        <v>30120</v>
      </c>
      <c r="FC75" s="76">
        <v>176</v>
      </c>
      <c r="FD75" s="76">
        <v>0</v>
      </c>
      <c r="FE75" s="76">
        <v>-1218</v>
      </c>
      <c r="FF75" s="76">
        <v>0</v>
      </c>
      <c r="FG75" s="76">
        <v>-188</v>
      </c>
      <c r="FH75" s="76">
        <v>218584</v>
      </c>
      <c r="FI75" s="76">
        <v>1227131</v>
      </c>
      <c r="FJ75" s="76">
        <v>1235566</v>
      </c>
      <c r="FK75" s="76">
        <v>193</v>
      </c>
      <c r="FL75" s="76">
        <v>227</v>
      </c>
      <c r="FM75" s="76">
        <v>-34</v>
      </c>
      <c r="FN75" s="76">
        <v>3871</v>
      </c>
      <c r="FO75" s="76">
        <v>3938</v>
      </c>
      <c r="FP75" s="76">
        <v>-67</v>
      </c>
      <c r="FQ75" s="76">
        <v>1149</v>
      </c>
      <c r="FR75" s="76">
        <v>1529</v>
      </c>
      <c r="FS75" s="76">
        <v>-380</v>
      </c>
      <c r="FT75" s="76">
        <v>239</v>
      </c>
      <c r="FU75" s="76">
        <v>1415</v>
      </c>
      <c r="FV75" s="76">
        <v>-1176</v>
      </c>
      <c r="FW75" s="76">
        <v>0</v>
      </c>
      <c r="FX75" s="76">
        <v>0</v>
      </c>
      <c r="FY75" s="76">
        <v>0</v>
      </c>
      <c r="FZ75" s="76">
        <v>77</v>
      </c>
      <c r="GA75" s="76">
        <v>23</v>
      </c>
      <c r="GB75" s="76">
        <v>54</v>
      </c>
      <c r="GC75" s="76">
        <v>5529</v>
      </c>
      <c r="GD75" s="76">
        <v>7132</v>
      </c>
      <c r="GE75" s="76">
        <v>-1603</v>
      </c>
      <c r="GF75" s="76">
        <v>0</v>
      </c>
      <c r="GG75" s="76">
        <v>0</v>
      </c>
      <c r="GH75" s="76">
        <v>0</v>
      </c>
      <c r="GI75" s="76">
        <v>0</v>
      </c>
      <c r="GJ75" s="76">
        <v>0</v>
      </c>
      <c r="GK75" s="76">
        <v>602</v>
      </c>
      <c r="GL75" s="76">
        <v>602</v>
      </c>
      <c r="GM75" s="76">
        <v>2546</v>
      </c>
      <c r="GN75" s="76">
        <v>2270</v>
      </c>
      <c r="GO75" s="76">
        <v>0</v>
      </c>
      <c r="GP75" s="76">
        <v>49</v>
      </c>
      <c r="GQ75" s="76">
        <v>1627</v>
      </c>
      <c r="GR75" s="76">
        <v>12803</v>
      </c>
      <c r="GS75" s="76">
        <v>0</v>
      </c>
      <c r="GT75" s="76">
        <v>0</v>
      </c>
      <c r="GU75" s="76">
        <v>504</v>
      </c>
      <c r="GV75" s="76">
        <v>0</v>
      </c>
      <c r="GW75" s="76">
        <v>4846</v>
      </c>
      <c r="GX75" s="76">
        <v>24645</v>
      </c>
      <c r="GY75" s="76">
        <v>0</v>
      </c>
      <c r="GZ75" s="76">
        <v>0</v>
      </c>
      <c r="HA75" s="76">
        <v>2055</v>
      </c>
      <c r="HB75" s="76">
        <v>234</v>
      </c>
      <c r="HC75" s="76">
        <v>2289</v>
      </c>
      <c r="HD75" s="76">
        <v>0</v>
      </c>
      <c r="HE75" s="76">
        <v>0</v>
      </c>
      <c r="HF75" s="76">
        <v>0</v>
      </c>
      <c r="HG75" s="76">
        <v>26053</v>
      </c>
      <c r="HH75" s="76">
        <v>29</v>
      </c>
      <c r="HI75" s="76">
        <v>344</v>
      </c>
      <c r="HJ75" s="76">
        <v>5</v>
      </c>
      <c r="HK75" s="76">
        <v>211</v>
      </c>
      <c r="HL75" s="76">
        <v>0</v>
      </c>
      <c r="HM75" s="76">
        <v>26642</v>
      </c>
      <c r="HN75" s="76">
        <v>18907</v>
      </c>
      <c r="HO75" s="76">
        <v>31682</v>
      </c>
      <c r="HP75" s="76">
        <v>176</v>
      </c>
      <c r="HQ75" s="76">
        <v>99</v>
      </c>
      <c r="HR75" s="76">
        <v>-171</v>
      </c>
      <c r="HS75" s="76">
        <v>58</v>
      </c>
      <c r="HT75" s="76">
        <v>33570</v>
      </c>
      <c r="HU75" s="76">
        <v>3</v>
      </c>
      <c r="HV75" s="76">
        <v>0</v>
      </c>
      <c r="HW75" s="76">
        <v>-1</v>
      </c>
      <c r="HX75" s="76">
        <v>316</v>
      </c>
    </row>
    <row r="76" spans="1:232" x14ac:dyDescent="0.2">
      <c r="A76" s="74" t="s">
        <v>395</v>
      </c>
      <c r="B76" s="74" t="s">
        <v>396</v>
      </c>
      <c r="C76" s="75" t="s">
        <v>200</v>
      </c>
      <c r="D76" s="75">
        <v>12</v>
      </c>
      <c r="E76" s="76">
        <v>21461</v>
      </c>
      <c r="F76" s="76">
        <v>-675</v>
      </c>
      <c r="G76" s="76">
        <v>-14945</v>
      </c>
      <c r="H76" s="76">
        <v>5841</v>
      </c>
      <c r="I76" s="76">
        <v>2481</v>
      </c>
      <c r="J76" s="76">
        <v>0</v>
      </c>
      <c r="K76" s="76">
        <v>0</v>
      </c>
      <c r="L76" s="76">
        <v>0</v>
      </c>
      <c r="M76" s="76">
        <v>12</v>
      </c>
      <c r="N76" s="76">
        <v>-1140</v>
      </c>
      <c r="O76" s="76">
        <v>0</v>
      </c>
      <c r="P76" s="76">
        <v>0</v>
      </c>
      <c r="Q76" s="76">
        <v>0</v>
      </c>
      <c r="R76" s="76">
        <v>0</v>
      </c>
      <c r="S76" s="76">
        <v>7194</v>
      </c>
      <c r="T76" s="76">
        <v>0</v>
      </c>
      <c r="U76" s="76">
        <v>7194</v>
      </c>
      <c r="V76" s="76">
        <v>0</v>
      </c>
      <c r="W76" s="76">
        <v>-1077</v>
      </c>
      <c r="X76" s="76">
        <v>1465</v>
      </c>
      <c r="Y76" s="76">
        <v>0</v>
      </c>
      <c r="Z76" s="76">
        <v>7582</v>
      </c>
      <c r="AA76" s="76">
        <v>18660</v>
      </c>
      <c r="AB76" s="76">
        <v>1137</v>
      </c>
      <c r="AC76" s="76">
        <v>19797</v>
      </c>
      <c r="AD76" s="76">
        <v>7</v>
      </c>
      <c r="AE76" s="76">
        <v>0</v>
      </c>
      <c r="AF76" s="76">
        <v>204</v>
      </c>
      <c r="AG76" s="76">
        <v>0</v>
      </c>
      <c r="AH76" s="76">
        <v>20008</v>
      </c>
      <c r="AI76" s="76">
        <v>7424</v>
      </c>
      <c r="AJ76" s="76">
        <v>1300</v>
      </c>
      <c r="AK76" s="76">
        <v>3793</v>
      </c>
      <c r="AL76" s="76">
        <v>466</v>
      </c>
      <c r="AM76" s="76">
        <v>84</v>
      </c>
      <c r="AN76" s="76">
        <v>218</v>
      </c>
      <c r="AO76" s="76">
        <v>909</v>
      </c>
      <c r="AP76" s="76">
        <v>0</v>
      </c>
      <c r="AQ76" s="76">
        <v>372</v>
      </c>
      <c r="AR76" s="76">
        <v>14566</v>
      </c>
      <c r="AS76" s="76">
        <v>5442</v>
      </c>
      <c r="AT76" s="76">
        <v>354</v>
      </c>
      <c r="AU76" s="76">
        <v>35895</v>
      </c>
      <c r="AV76" s="76">
        <v>0</v>
      </c>
      <c r="AW76" s="76">
        <v>488</v>
      </c>
      <c r="AX76" s="76">
        <v>544</v>
      </c>
      <c r="AY76" s="76">
        <v>0</v>
      </c>
      <c r="AZ76" s="76">
        <v>0</v>
      </c>
      <c r="BA76" s="76">
        <v>0</v>
      </c>
      <c r="BB76" s="76">
        <v>0</v>
      </c>
      <c r="BC76" s="76">
        <v>0</v>
      </c>
      <c r="BD76" s="76">
        <v>0</v>
      </c>
      <c r="BE76" s="76">
        <v>36927</v>
      </c>
      <c r="BF76" s="76">
        <v>97</v>
      </c>
      <c r="BG76" s="76">
        <v>7684</v>
      </c>
      <c r="BH76" s="76">
        <v>5360</v>
      </c>
      <c r="BI76" s="76">
        <v>0</v>
      </c>
      <c r="BJ76" s="76">
        <v>109511</v>
      </c>
      <c r="BK76" s="76">
        <v>122652</v>
      </c>
      <c r="BL76" s="76">
        <v>0</v>
      </c>
      <c r="BM76" s="76">
        <v>0</v>
      </c>
      <c r="BN76" s="76">
        <v>7</v>
      </c>
      <c r="BO76" s="76">
        <v>5721</v>
      </c>
      <c r="BP76" s="76">
        <v>5728</v>
      </c>
      <c r="BQ76" s="76">
        <v>116924</v>
      </c>
      <c r="BR76" s="76">
        <v>153851</v>
      </c>
      <c r="BS76" s="76">
        <v>20040</v>
      </c>
      <c r="BT76" s="76">
        <v>0</v>
      </c>
      <c r="BU76" s="76">
        <v>0</v>
      </c>
      <c r="BV76" s="76">
        <v>872</v>
      </c>
      <c r="BW76" s="76">
        <v>0</v>
      </c>
      <c r="BX76" s="76">
        <v>-1465</v>
      </c>
      <c r="BY76" s="76">
        <v>0</v>
      </c>
      <c r="BZ76" s="76">
        <v>19447</v>
      </c>
      <c r="CA76" s="76">
        <v>2239</v>
      </c>
      <c r="CB76" s="76">
        <v>115511</v>
      </c>
      <c r="CC76" s="76">
        <v>16654</v>
      </c>
      <c r="CD76" s="76">
        <v>15189</v>
      </c>
      <c r="CE76" s="76">
        <v>0</v>
      </c>
      <c r="CF76" s="76">
        <v>0</v>
      </c>
      <c r="CG76" s="76">
        <v>1465</v>
      </c>
      <c r="CH76" s="76">
        <v>0</v>
      </c>
      <c r="CI76" s="76">
        <v>16654</v>
      </c>
      <c r="CJ76" s="76">
        <v>860</v>
      </c>
      <c r="CK76" s="76">
        <v>675</v>
      </c>
      <c r="CL76" s="76">
        <v>0</v>
      </c>
      <c r="CM76" s="76">
        <v>185</v>
      </c>
      <c r="CN76" s="76">
        <v>0</v>
      </c>
      <c r="CO76" s="76">
        <v>0</v>
      </c>
      <c r="CP76" s="76">
        <v>0</v>
      </c>
      <c r="CQ76" s="76">
        <v>0</v>
      </c>
      <c r="CR76" s="76">
        <v>0</v>
      </c>
      <c r="CS76" s="76">
        <v>0</v>
      </c>
      <c r="CT76" s="76">
        <v>0</v>
      </c>
      <c r="CU76" s="76">
        <v>0</v>
      </c>
      <c r="CV76" s="76">
        <v>0</v>
      </c>
      <c r="CW76" s="76">
        <v>0</v>
      </c>
      <c r="CX76" s="76">
        <v>0</v>
      </c>
      <c r="CY76" s="76">
        <v>0</v>
      </c>
      <c r="CZ76" s="76">
        <v>420</v>
      </c>
      <c r="DA76" s="76">
        <v>0</v>
      </c>
      <c r="DB76" s="76">
        <v>195</v>
      </c>
      <c r="DC76" s="76">
        <v>225</v>
      </c>
      <c r="DD76" s="76">
        <v>1280</v>
      </c>
      <c r="DE76" s="76">
        <v>675</v>
      </c>
      <c r="DF76" s="76">
        <v>195</v>
      </c>
      <c r="DG76" s="76">
        <v>410</v>
      </c>
      <c r="DH76" s="76">
        <v>0</v>
      </c>
      <c r="DI76" s="76">
        <v>0</v>
      </c>
      <c r="DJ76" s="76">
        <v>0</v>
      </c>
      <c r="DK76" s="76">
        <v>0</v>
      </c>
      <c r="DL76" s="76">
        <v>0</v>
      </c>
      <c r="DM76" s="76">
        <v>0</v>
      </c>
      <c r="DN76" s="76">
        <v>0</v>
      </c>
      <c r="DO76" s="76">
        <v>0</v>
      </c>
      <c r="DP76" s="76">
        <v>0</v>
      </c>
      <c r="DQ76" s="76">
        <v>0</v>
      </c>
      <c r="DR76" s="76">
        <v>0</v>
      </c>
      <c r="DS76" s="76">
        <v>0</v>
      </c>
      <c r="DT76" s="76">
        <v>0</v>
      </c>
      <c r="DU76" s="76">
        <v>0</v>
      </c>
      <c r="DV76" s="76">
        <v>0</v>
      </c>
      <c r="DW76" s="76">
        <v>0</v>
      </c>
      <c r="DX76" s="76">
        <v>173</v>
      </c>
      <c r="DY76" s="76">
        <v>0</v>
      </c>
      <c r="DZ76" s="76">
        <v>184</v>
      </c>
      <c r="EA76" s="76">
        <v>-11</v>
      </c>
      <c r="EB76" s="76">
        <v>0</v>
      </c>
      <c r="EC76" s="76">
        <v>0</v>
      </c>
      <c r="ED76" s="76">
        <v>0</v>
      </c>
      <c r="EE76" s="76">
        <v>0</v>
      </c>
      <c r="EF76" s="76">
        <v>173</v>
      </c>
      <c r="EG76" s="76">
        <v>0</v>
      </c>
      <c r="EH76" s="76">
        <v>184</v>
      </c>
      <c r="EI76" s="76">
        <v>-11</v>
      </c>
      <c r="EJ76" s="76">
        <v>1453</v>
      </c>
      <c r="EK76" s="76">
        <v>675</v>
      </c>
      <c r="EL76" s="76">
        <v>379</v>
      </c>
      <c r="EM76" s="76">
        <v>399</v>
      </c>
      <c r="EN76" s="76">
        <v>458</v>
      </c>
      <c r="EO76" s="76">
        <v>330</v>
      </c>
      <c r="EP76" s="76">
        <v>196</v>
      </c>
      <c r="EQ76" s="76">
        <v>330</v>
      </c>
      <c r="ER76" s="76">
        <v>29198</v>
      </c>
      <c r="ES76" s="76">
        <v>0</v>
      </c>
      <c r="ET76" s="76">
        <v>29198</v>
      </c>
      <c r="EU76" s="76">
        <v>8433</v>
      </c>
      <c r="EV76" s="76">
        <v>-267</v>
      </c>
      <c r="EW76" s="76">
        <v>0</v>
      </c>
      <c r="EX76" s="76">
        <v>0</v>
      </c>
      <c r="EY76" s="76">
        <v>0</v>
      </c>
      <c r="EZ76" s="76">
        <v>37364</v>
      </c>
      <c r="FA76" s="76">
        <v>648</v>
      </c>
      <c r="FB76" s="76">
        <v>833</v>
      </c>
      <c r="FC76" s="76">
        <v>0</v>
      </c>
      <c r="FD76" s="76">
        <v>0</v>
      </c>
      <c r="FE76" s="76">
        <v>-12</v>
      </c>
      <c r="FF76" s="76">
        <v>0</v>
      </c>
      <c r="FG76" s="76">
        <v>0</v>
      </c>
      <c r="FH76" s="76">
        <v>1469</v>
      </c>
      <c r="FI76" s="76">
        <v>35895</v>
      </c>
      <c r="FJ76" s="76">
        <v>28550</v>
      </c>
      <c r="FK76" s="76">
        <v>0</v>
      </c>
      <c r="FL76" s="76">
        <v>0</v>
      </c>
      <c r="FM76" s="76">
        <v>0</v>
      </c>
      <c r="FN76" s="76">
        <v>2513</v>
      </c>
      <c r="FO76" s="76">
        <v>176</v>
      </c>
      <c r="FP76" s="76">
        <v>2337</v>
      </c>
      <c r="FQ76" s="76">
        <v>0</v>
      </c>
      <c r="FR76" s="76">
        <v>0</v>
      </c>
      <c r="FS76" s="76">
        <v>0</v>
      </c>
      <c r="FT76" s="76">
        <v>148</v>
      </c>
      <c r="FU76" s="76">
        <v>4</v>
      </c>
      <c r="FV76" s="76">
        <v>144</v>
      </c>
      <c r="FW76" s="76">
        <v>0</v>
      </c>
      <c r="FX76" s="76">
        <v>0</v>
      </c>
      <c r="FY76" s="76">
        <v>0</v>
      </c>
      <c r="FZ76" s="76">
        <v>0</v>
      </c>
      <c r="GA76" s="76">
        <v>0</v>
      </c>
      <c r="GB76" s="76">
        <v>0</v>
      </c>
      <c r="GC76" s="76">
        <v>2661</v>
      </c>
      <c r="GD76" s="76">
        <v>180</v>
      </c>
      <c r="GE76" s="76">
        <v>2481</v>
      </c>
      <c r="GF76" s="76">
        <v>0</v>
      </c>
      <c r="GG76" s="76">
        <v>0</v>
      </c>
      <c r="GH76" s="76">
        <v>0</v>
      </c>
      <c r="GI76" s="76">
        <v>109511</v>
      </c>
      <c r="GJ76" s="76">
        <v>0</v>
      </c>
      <c r="GK76" s="76">
        <v>0</v>
      </c>
      <c r="GL76" s="76">
        <v>109511</v>
      </c>
      <c r="GM76" s="76">
        <v>2252</v>
      </c>
      <c r="GN76" s="76">
        <v>43</v>
      </c>
      <c r="GO76" s="76">
        <v>0</v>
      </c>
      <c r="GP76" s="76">
        <v>0</v>
      </c>
      <c r="GQ76" s="76">
        <v>0</v>
      </c>
      <c r="GR76" s="76">
        <v>1802</v>
      </c>
      <c r="GS76" s="76">
        <v>0</v>
      </c>
      <c r="GT76" s="76">
        <v>0</v>
      </c>
      <c r="GU76" s="76">
        <v>0</v>
      </c>
      <c r="GV76" s="76">
        <v>0</v>
      </c>
      <c r="GW76" s="76">
        <v>1624</v>
      </c>
      <c r="GX76" s="76">
        <v>5721</v>
      </c>
      <c r="GY76" s="76">
        <v>0</v>
      </c>
      <c r="GZ76" s="76">
        <v>0</v>
      </c>
      <c r="HA76" s="76">
        <v>0</v>
      </c>
      <c r="HB76" s="76">
        <v>0</v>
      </c>
      <c r="HC76" s="76">
        <v>0</v>
      </c>
      <c r="HD76" s="76">
        <v>115511</v>
      </c>
      <c r="HE76" s="76">
        <v>0</v>
      </c>
      <c r="HF76" s="76">
        <v>115511</v>
      </c>
      <c r="HG76" s="76">
        <v>724</v>
      </c>
      <c r="HH76" s="76">
        <v>0</v>
      </c>
      <c r="HI76" s="76">
        <v>40</v>
      </c>
      <c r="HJ76" s="76">
        <v>0</v>
      </c>
      <c r="HK76" s="76">
        <v>376</v>
      </c>
      <c r="HL76" s="76">
        <v>0</v>
      </c>
      <c r="HM76" s="76">
        <v>1140</v>
      </c>
      <c r="HN76" s="76">
        <v>5355</v>
      </c>
      <c r="HO76" s="76">
        <v>1163</v>
      </c>
      <c r="HP76" s="76">
        <v>0</v>
      </c>
      <c r="HQ76" s="76">
        <v>33</v>
      </c>
      <c r="HR76" s="76">
        <v>-43</v>
      </c>
      <c r="HS76" s="76">
        <v>5</v>
      </c>
      <c r="HT76" s="76">
        <v>4791</v>
      </c>
      <c r="HU76" s="76">
        <v>0</v>
      </c>
      <c r="HV76" s="76">
        <v>0</v>
      </c>
      <c r="HW76" s="76">
        <v>0</v>
      </c>
      <c r="HX76" s="76">
        <v>0</v>
      </c>
    </row>
    <row r="77" spans="1:232" x14ac:dyDescent="0.2">
      <c r="A77" s="74" t="s">
        <v>399</v>
      </c>
      <c r="B77" s="74" t="s">
        <v>400</v>
      </c>
      <c r="C77" s="75" t="s">
        <v>200</v>
      </c>
      <c r="D77" s="75">
        <v>12</v>
      </c>
      <c r="E77" s="76">
        <v>14563</v>
      </c>
      <c r="F77" s="76">
        <v>0</v>
      </c>
      <c r="G77" s="76">
        <v>-10377</v>
      </c>
      <c r="H77" s="76">
        <v>4186</v>
      </c>
      <c r="I77" s="76">
        <v>250</v>
      </c>
      <c r="J77" s="76">
        <v>0</v>
      </c>
      <c r="K77" s="76">
        <v>0</v>
      </c>
      <c r="L77" s="76">
        <v>0</v>
      </c>
      <c r="M77" s="76">
        <v>18</v>
      </c>
      <c r="N77" s="76">
        <v>-1898</v>
      </c>
      <c r="O77" s="76">
        <v>0</v>
      </c>
      <c r="P77" s="76">
        <v>0</v>
      </c>
      <c r="Q77" s="76">
        <v>0</v>
      </c>
      <c r="R77" s="76">
        <v>0</v>
      </c>
      <c r="S77" s="76">
        <v>2556</v>
      </c>
      <c r="T77" s="76">
        <v>0</v>
      </c>
      <c r="U77" s="76">
        <v>2556</v>
      </c>
      <c r="V77" s="76">
        <v>0</v>
      </c>
      <c r="W77" s="76">
        <v>0</v>
      </c>
      <c r="X77" s="76">
        <v>0</v>
      </c>
      <c r="Y77" s="76">
        <v>0</v>
      </c>
      <c r="Z77" s="76">
        <v>2556</v>
      </c>
      <c r="AA77" s="76">
        <v>13080</v>
      </c>
      <c r="AB77" s="76">
        <v>486</v>
      </c>
      <c r="AC77" s="76">
        <v>13566</v>
      </c>
      <c r="AD77" s="76">
        <v>184</v>
      </c>
      <c r="AE77" s="76">
        <v>0</v>
      </c>
      <c r="AF77" s="76">
        <v>104</v>
      </c>
      <c r="AG77" s="76">
        <v>363</v>
      </c>
      <c r="AH77" s="76">
        <v>14217</v>
      </c>
      <c r="AI77" s="76">
        <v>3733</v>
      </c>
      <c r="AJ77" s="76">
        <v>463</v>
      </c>
      <c r="AK77" s="76">
        <v>644</v>
      </c>
      <c r="AL77" s="76">
        <v>873</v>
      </c>
      <c r="AM77" s="76">
        <v>145</v>
      </c>
      <c r="AN77" s="76">
        <v>157</v>
      </c>
      <c r="AO77" s="76">
        <v>986</v>
      </c>
      <c r="AP77" s="76">
        <v>0</v>
      </c>
      <c r="AQ77" s="76">
        <v>3375</v>
      </c>
      <c r="AR77" s="76">
        <v>10376</v>
      </c>
      <c r="AS77" s="76">
        <v>3841</v>
      </c>
      <c r="AT77" s="76">
        <v>671</v>
      </c>
      <c r="AU77" s="76">
        <v>89946</v>
      </c>
      <c r="AV77" s="76">
        <v>0</v>
      </c>
      <c r="AW77" s="76">
        <v>151</v>
      </c>
      <c r="AX77" s="76">
        <v>0</v>
      </c>
      <c r="AY77" s="76">
        <v>0</v>
      </c>
      <c r="AZ77" s="76">
        <v>0</v>
      </c>
      <c r="BA77" s="76">
        <v>0</v>
      </c>
      <c r="BB77" s="76">
        <v>0</v>
      </c>
      <c r="BC77" s="76">
        <v>0</v>
      </c>
      <c r="BD77" s="76">
        <v>0</v>
      </c>
      <c r="BE77" s="76">
        <v>90097</v>
      </c>
      <c r="BF77" s="76">
        <v>0</v>
      </c>
      <c r="BG77" s="76">
        <v>1124</v>
      </c>
      <c r="BH77" s="76">
        <v>8090</v>
      </c>
      <c r="BI77" s="76">
        <v>0</v>
      </c>
      <c r="BJ77" s="76">
        <v>11</v>
      </c>
      <c r="BK77" s="76">
        <v>9225</v>
      </c>
      <c r="BL77" s="76">
        <v>986</v>
      </c>
      <c r="BM77" s="76">
        <v>0</v>
      </c>
      <c r="BN77" s="76">
        <v>189</v>
      </c>
      <c r="BO77" s="76">
        <v>1933</v>
      </c>
      <c r="BP77" s="76">
        <v>3108</v>
      </c>
      <c r="BQ77" s="76">
        <v>6117</v>
      </c>
      <c r="BR77" s="76">
        <v>96214</v>
      </c>
      <c r="BS77" s="76">
        <v>44506</v>
      </c>
      <c r="BT77" s="76">
        <v>3495</v>
      </c>
      <c r="BU77" s="76">
        <v>0</v>
      </c>
      <c r="BV77" s="76">
        <v>17484</v>
      </c>
      <c r="BW77" s="76">
        <v>0</v>
      </c>
      <c r="BX77" s="76">
        <v>0</v>
      </c>
      <c r="BY77" s="76">
        <v>2067</v>
      </c>
      <c r="BZ77" s="76">
        <v>67552</v>
      </c>
      <c r="CA77" s="76">
        <v>0</v>
      </c>
      <c r="CB77" s="76">
        <v>0</v>
      </c>
      <c r="CC77" s="76">
        <v>28662</v>
      </c>
      <c r="CD77" s="76">
        <v>21829</v>
      </c>
      <c r="CE77" s="76">
        <v>0</v>
      </c>
      <c r="CF77" s="76">
        <v>424</v>
      </c>
      <c r="CG77" s="76">
        <v>0</v>
      </c>
      <c r="CH77" s="76">
        <v>6409</v>
      </c>
      <c r="CI77" s="76">
        <v>28662</v>
      </c>
      <c r="CJ77" s="76">
        <v>0</v>
      </c>
      <c r="CK77" s="76">
        <v>0</v>
      </c>
      <c r="CL77" s="76">
        <v>0</v>
      </c>
      <c r="CM77" s="76">
        <v>0</v>
      </c>
      <c r="CN77" s="76">
        <v>0</v>
      </c>
      <c r="CO77" s="76">
        <v>0</v>
      </c>
      <c r="CP77" s="76">
        <v>0</v>
      </c>
      <c r="CQ77" s="76">
        <v>0</v>
      </c>
      <c r="CR77" s="76">
        <v>0</v>
      </c>
      <c r="CS77" s="76">
        <v>0</v>
      </c>
      <c r="CT77" s="76">
        <v>0</v>
      </c>
      <c r="CU77" s="76">
        <v>0</v>
      </c>
      <c r="CV77" s="76">
        <v>0</v>
      </c>
      <c r="CW77" s="76">
        <v>0</v>
      </c>
      <c r="CX77" s="76">
        <v>0</v>
      </c>
      <c r="CY77" s="76">
        <v>0</v>
      </c>
      <c r="CZ77" s="76">
        <v>256</v>
      </c>
      <c r="DA77" s="76">
        <v>0</v>
      </c>
      <c r="DB77" s="76">
        <v>0</v>
      </c>
      <c r="DC77" s="76">
        <v>256</v>
      </c>
      <c r="DD77" s="76">
        <v>256</v>
      </c>
      <c r="DE77" s="76">
        <v>0</v>
      </c>
      <c r="DF77" s="76">
        <v>0</v>
      </c>
      <c r="DG77" s="76">
        <v>256</v>
      </c>
      <c r="DH77" s="76">
        <v>0</v>
      </c>
      <c r="DI77" s="76">
        <v>0</v>
      </c>
      <c r="DJ77" s="76">
        <v>0</v>
      </c>
      <c r="DK77" s="76">
        <v>0</v>
      </c>
      <c r="DL77" s="76">
        <v>0</v>
      </c>
      <c r="DM77" s="76">
        <v>0</v>
      </c>
      <c r="DN77" s="76">
        <v>0</v>
      </c>
      <c r="DO77" s="76">
        <v>0</v>
      </c>
      <c r="DP77" s="76">
        <v>0</v>
      </c>
      <c r="DQ77" s="76">
        <v>0</v>
      </c>
      <c r="DR77" s="76">
        <v>0</v>
      </c>
      <c r="DS77" s="76">
        <v>0</v>
      </c>
      <c r="DT77" s="76">
        <v>64</v>
      </c>
      <c r="DU77" s="76">
        <v>0</v>
      </c>
      <c r="DV77" s="76">
        <v>0</v>
      </c>
      <c r="DW77" s="76">
        <v>64</v>
      </c>
      <c r="DX77" s="76">
        <v>16</v>
      </c>
      <c r="DY77" s="76">
        <v>0</v>
      </c>
      <c r="DZ77" s="76">
        <v>1</v>
      </c>
      <c r="EA77" s="76">
        <v>15</v>
      </c>
      <c r="EB77" s="76">
        <v>9</v>
      </c>
      <c r="EC77" s="76">
        <v>0</v>
      </c>
      <c r="ED77" s="76">
        <v>0</v>
      </c>
      <c r="EE77" s="76">
        <v>9</v>
      </c>
      <c r="EF77" s="76">
        <v>89</v>
      </c>
      <c r="EG77" s="76">
        <v>0</v>
      </c>
      <c r="EH77" s="76">
        <v>1</v>
      </c>
      <c r="EI77" s="76">
        <v>88</v>
      </c>
      <c r="EJ77" s="76">
        <v>345</v>
      </c>
      <c r="EK77" s="76">
        <v>0</v>
      </c>
      <c r="EL77" s="76">
        <v>1</v>
      </c>
      <c r="EM77" s="76">
        <v>344</v>
      </c>
      <c r="EN77" s="76">
        <v>732</v>
      </c>
      <c r="EO77" s="76">
        <v>72</v>
      </c>
      <c r="EP77" s="76">
        <v>155</v>
      </c>
      <c r="EQ77" s="76">
        <v>0</v>
      </c>
      <c r="ER77" s="76">
        <v>96424</v>
      </c>
      <c r="ES77" s="76">
        <v>0</v>
      </c>
      <c r="ET77" s="76">
        <v>96424</v>
      </c>
      <c r="EU77" s="76">
        <v>2505</v>
      </c>
      <c r="EV77" s="76">
        <v>-732</v>
      </c>
      <c r="EW77" s="76">
        <v>0</v>
      </c>
      <c r="EX77" s="76">
        <v>0</v>
      </c>
      <c r="EY77" s="76">
        <v>0</v>
      </c>
      <c r="EZ77" s="76">
        <v>98197</v>
      </c>
      <c r="FA77" s="76">
        <v>7469</v>
      </c>
      <c r="FB77" s="76">
        <v>903</v>
      </c>
      <c r="FC77" s="76">
        <v>0</v>
      </c>
      <c r="FD77" s="76">
        <v>0</v>
      </c>
      <c r="FE77" s="76">
        <v>-120</v>
      </c>
      <c r="FF77" s="76">
        <v>0</v>
      </c>
      <c r="FG77" s="76">
        <v>0</v>
      </c>
      <c r="FH77" s="76">
        <v>8252</v>
      </c>
      <c r="FI77" s="76">
        <v>89945</v>
      </c>
      <c r="FJ77" s="76">
        <v>88955</v>
      </c>
      <c r="FK77" s="76">
        <v>0</v>
      </c>
      <c r="FL77" s="76">
        <v>0</v>
      </c>
      <c r="FM77" s="76">
        <v>0</v>
      </c>
      <c r="FN77" s="76">
        <v>0</v>
      </c>
      <c r="FO77" s="76">
        <v>0</v>
      </c>
      <c r="FP77" s="76">
        <v>0</v>
      </c>
      <c r="FQ77" s="76">
        <v>0</v>
      </c>
      <c r="FR77" s="76">
        <v>0</v>
      </c>
      <c r="FS77" s="76">
        <v>0</v>
      </c>
      <c r="FT77" s="76">
        <v>724</v>
      </c>
      <c r="FU77" s="76">
        <v>474</v>
      </c>
      <c r="FV77" s="76">
        <v>250</v>
      </c>
      <c r="FW77" s="76">
        <v>0</v>
      </c>
      <c r="FX77" s="76">
        <v>0</v>
      </c>
      <c r="FY77" s="76">
        <v>0</v>
      </c>
      <c r="FZ77" s="76">
        <v>0</v>
      </c>
      <c r="GA77" s="76">
        <v>0</v>
      </c>
      <c r="GB77" s="76">
        <v>0</v>
      </c>
      <c r="GC77" s="76">
        <v>724</v>
      </c>
      <c r="GD77" s="76">
        <v>474</v>
      </c>
      <c r="GE77" s="76">
        <v>250</v>
      </c>
      <c r="GF77" s="76">
        <v>0</v>
      </c>
      <c r="GG77" s="76">
        <v>0</v>
      </c>
      <c r="GH77" s="76">
        <v>0</v>
      </c>
      <c r="GI77" s="76">
        <v>0</v>
      </c>
      <c r="GJ77" s="76">
        <v>0</v>
      </c>
      <c r="GK77" s="76">
        <v>11</v>
      </c>
      <c r="GL77" s="76">
        <v>11</v>
      </c>
      <c r="GM77" s="76">
        <v>316</v>
      </c>
      <c r="GN77" s="76">
        <v>0</v>
      </c>
      <c r="GO77" s="76">
        <v>401</v>
      </c>
      <c r="GP77" s="76">
        <v>0</v>
      </c>
      <c r="GQ77" s="76">
        <v>0</v>
      </c>
      <c r="GR77" s="76">
        <v>1114</v>
      </c>
      <c r="GS77" s="76">
        <v>0</v>
      </c>
      <c r="GT77" s="76">
        <v>0</v>
      </c>
      <c r="GU77" s="76">
        <v>0</v>
      </c>
      <c r="GV77" s="76">
        <v>0</v>
      </c>
      <c r="GW77" s="76">
        <v>102</v>
      </c>
      <c r="GX77" s="76">
        <v>1933</v>
      </c>
      <c r="GY77" s="76">
        <v>0</v>
      </c>
      <c r="GZ77" s="76">
        <v>0</v>
      </c>
      <c r="HA77" s="76">
        <v>0</v>
      </c>
      <c r="HB77" s="76">
        <v>2067</v>
      </c>
      <c r="HC77" s="76">
        <v>2067</v>
      </c>
      <c r="HD77" s="76">
        <v>0</v>
      </c>
      <c r="HE77" s="76">
        <v>0</v>
      </c>
      <c r="HF77" s="76">
        <v>0</v>
      </c>
      <c r="HG77" s="76">
        <v>1898</v>
      </c>
      <c r="HH77" s="76">
        <v>0</v>
      </c>
      <c r="HI77" s="76">
        <v>0</v>
      </c>
      <c r="HJ77" s="76">
        <v>0</v>
      </c>
      <c r="HK77" s="76">
        <v>0</v>
      </c>
      <c r="HL77" s="76">
        <v>0</v>
      </c>
      <c r="HM77" s="76">
        <v>1898</v>
      </c>
      <c r="HN77" s="76">
        <v>501</v>
      </c>
      <c r="HO77" s="76">
        <v>965</v>
      </c>
      <c r="HP77" s="76">
        <v>0</v>
      </c>
      <c r="HQ77" s="76">
        <v>49</v>
      </c>
      <c r="HR77" s="76">
        <v>0</v>
      </c>
      <c r="HS77" s="76">
        <v>0</v>
      </c>
      <c r="HT77" s="76">
        <v>1775</v>
      </c>
      <c r="HU77" s="76">
        <v>0</v>
      </c>
      <c r="HV77" s="76">
        <v>0</v>
      </c>
      <c r="HW77" s="76">
        <v>0</v>
      </c>
      <c r="HX77" s="76">
        <v>0</v>
      </c>
    </row>
    <row r="78" spans="1:232" x14ac:dyDescent="0.2">
      <c r="A78" s="74" t="s">
        <v>82</v>
      </c>
      <c r="B78" s="74" t="s">
        <v>80</v>
      </c>
      <c r="C78" s="75" t="s">
        <v>200</v>
      </c>
      <c r="D78" s="75">
        <v>12</v>
      </c>
      <c r="E78" s="76">
        <v>41470</v>
      </c>
      <c r="F78" s="76">
        <v>-1344</v>
      </c>
      <c r="G78" s="76">
        <v>-26387</v>
      </c>
      <c r="H78" s="76">
        <v>13739</v>
      </c>
      <c r="I78" s="76">
        <v>-736</v>
      </c>
      <c r="J78" s="76">
        <v>0</v>
      </c>
      <c r="K78" s="76">
        <v>-161</v>
      </c>
      <c r="L78" s="76">
        <v>0</v>
      </c>
      <c r="M78" s="76">
        <v>125</v>
      </c>
      <c r="N78" s="76">
        <v>-4525</v>
      </c>
      <c r="O78" s="76">
        <v>855</v>
      </c>
      <c r="P78" s="76">
        <v>0</v>
      </c>
      <c r="Q78" s="76">
        <v>0</v>
      </c>
      <c r="R78" s="76">
        <v>0</v>
      </c>
      <c r="S78" s="76">
        <v>9297</v>
      </c>
      <c r="T78" s="76">
        <v>22</v>
      </c>
      <c r="U78" s="76">
        <v>9319</v>
      </c>
      <c r="V78" s="76">
        <v>0</v>
      </c>
      <c r="W78" s="76">
        <v>-1653</v>
      </c>
      <c r="X78" s="76">
        <v>0</v>
      </c>
      <c r="Y78" s="76">
        <v>0</v>
      </c>
      <c r="Z78" s="76">
        <v>7666</v>
      </c>
      <c r="AA78" s="76">
        <v>35609</v>
      </c>
      <c r="AB78" s="76">
        <v>1747</v>
      </c>
      <c r="AC78" s="76">
        <v>37356</v>
      </c>
      <c r="AD78" s="76">
        <v>360</v>
      </c>
      <c r="AE78" s="76">
        <v>0</v>
      </c>
      <c r="AF78" s="76">
        <v>0</v>
      </c>
      <c r="AG78" s="76">
        <v>0</v>
      </c>
      <c r="AH78" s="76">
        <v>37716</v>
      </c>
      <c r="AI78" s="76">
        <v>5965</v>
      </c>
      <c r="AJ78" s="76">
        <v>1781</v>
      </c>
      <c r="AK78" s="76">
        <v>4743</v>
      </c>
      <c r="AL78" s="76">
        <v>1860</v>
      </c>
      <c r="AM78" s="76">
        <v>2679</v>
      </c>
      <c r="AN78" s="76">
        <v>-64</v>
      </c>
      <c r="AO78" s="76">
        <v>7686</v>
      </c>
      <c r="AP78" s="76">
        <v>-36</v>
      </c>
      <c r="AQ78" s="76">
        <v>179</v>
      </c>
      <c r="AR78" s="76">
        <v>24793</v>
      </c>
      <c r="AS78" s="76">
        <v>12923</v>
      </c>
      <c r="AT78" s="76">
        <v>181</v>
      </c>
      <c r="AU78" s="76">
        <v>341575</v>
      </c>
      <c r="AV78" s="76">
        <v>0</v>
      </c>
      <c r="AW78" s="76">
        <v>4032</v>
      </c>
      <c r="AX78" s="76">
        <v>0</v>
      </c>
      <c r="AY78" s="76">
        <v>0</v>
      </c>
      <c r="AZ78" s="76">
        <v>17641</v>
      </c>
      <c r="BA78" s="76">
        <v>0</v>
      </c>
      <c r="BB78" s="76">
        <v>0</v>
      </c>
      <c r="BC78" s="76">
        <v>0</v>
      </c>
      <c r="BD78" s="76">
        <v>0</v>
      </c>
      <c r="BE78" s="76">
        <v>363248</v>
      </c>
      <c r="BF78" s="76">
        <v>4489</v>
      </c>
      <c r="BG78" s="76">
        <v>0</v>
      </c>
      <c r="BH78" s="76">
        <v>15721</v>
      </c>
      <c r="BI78" s="76">
        <v>0</v>
      </c>
      <c r="BJ78" s="76">
        <v>2292</v>
      </c>
      <c r="BK78" s="76">
        <v>22502</v>
      </c>
      <c r="BL78" s="76">
        <v>2674</v>
      </c>
      <c r="BM78" s="76">
        <v>0</v>
      </c>
      <c r="BN78" s="76">
        <v>0</v>
      </c>
      <c r="BO78" s="76">
        <v>11447</v>
      </c>
      <c r="BP78" s="76">
        <v>14121</v>
      </c>
      <c r="BQ78" s="76">
        <v>8381</v>
      </c>
      <c r="BR78" s="76">
        <v>371629</v>
      </c>
      <c r="BS78" s="76">
        <v>139975</v>
      </c>
      <c r="BT78" s="76">
        <v>0</v>
      </c>
      <c r="BU78" s="76">
        <v>0</v>
      </c>
      <c r="BV78" s="76">
        <v>27023</v>
      </c>
      <c r="BW78" s="76">
        <v>0</v>
      </c>
      <c r="BX78" s="76">
        <v>0</v>
      </c>
      <c r="BY78" s="76">
        <v>285</v>
      </c>
      <c r="BZ78" s="76">
        <v>167283</v>
      </c>
      <c r="CA78" s="76">
        <v>6210</v>
      </c>
      <c r="CB78" s="76">
        <v>0</v>
      </c>
      <c r="CC78" s="76">
        <v>198136</v>
      </c>
      <c r="CD78" s="76">
        <v>81814</v>
      </c>
      <c r="CE78" s="76">
        <v>116322</v>
      </c>
      <c r="CF78" s="76">
        <v>0</v>
      </c>
      <c r="CG78" s="76">
        <v>0</v>
      </c>
      <c r="CH78" s="76">
        <v>0</v>
      </c>
      <c r="CI78" s="76">
        <v>198136</v>
      </c>
      <c r="CJ78" s="76">
        <v>1632</v>
      </c>
      <c r="CK78" s="76">
        <v>1266</v>
      </c>
      <c r="CL78" s="76">
        <v>0</v>
      </c>
      <c r="CM78" s="76">
        <v>366</v>
      </c>
      <c r="CN78" s="76">
        <v>744</v>
      </c>
      <c r="CO78" s="76">
        <v>0</v>
      </c>
      <c r="CP78" s="76">
        <v>735</v>
      </c>
      <c r="CQ78" s="76">
        <v>9</v>
      </c>
      <c r="CR78" s="76">
        <v>0</v>
      </c>
      <c r="CS78" s="76">
        <v>0</v>
      </c>
      <c r="CT78" s="76">
        <v>0</v>
      </c>
      <c r="CU78" s="76">
        <v>0</v>
      </c>
      <c r="CV78" s="76">
        <v>0</v>
      </c>
      <c r="CW78" s="76">
        <v>0</v>
      </c>
      <c r="CX78" s="76">
        <v>0</v>
      </c>
      <c r="CY78" s="76">
        <v>0</v>
      </c>
      <c r="CZ78" s="76">
        <v>255</v>
      </c>
      <c r="DA78" s="76">
        <v>0</v>
      </c>
      <c r="DB78" s="76">
        <v>173</v>
      </c>
      <c r="DC78" s="76">
        <v>82</v>
      </c>
      <c r="DD78" s="76">
        <v>2631</v>
      </c>
      <c r="DE78" s="76">
        <v>1266</v>
      </c>
      <c r="DF78" s="76">
        <v>908</v>
      </c>
      <c r="DG78" s="76">
        <v>457</v>
      </c>
      <c r="DH78" s="76">
        <v>544</v>
      </c>
      <c r="DI78" s="76">
        <v>78</v>
      </c>
      <c r="DJ78" s="76">
        <v>0</v>
      </c>
      <c r="DK78" s="76">
        <v>466</v>
      </c>
      <c r="DL78" s="76">
        <v>0</v>
      </c>
      <c r="DM78" s="76">
        <v>0</v>
      </c>
      <c r="DN78" s="76">
        <v>0</v>
      </c>
      <c r="DO78" s="76">
        <v>0</v>
      </c>
      <c r="DP78" s="76">
        <v>0</v>
      </c>
      <c r="DQ78" s="76">
        <v>0</v>
      </c>
      <c r="DR78" s="76">
        <v>0</v>
      </c>
      <c r="DS78" s="76">
        <v>0</v>
      </c>
      <c r="DT78" s="76">
        <v>0</v>
      </c>
      <c r="DU78" s="76">
        <v>0</v>
      </c>
      <c r="DV78" s="76">
        <v>0</v>
      </c>
      <c r="DW78" s="76">
        <v>0</v>
      </c>
      <c r="DX78" s="76">
        <v>0</v>
      </c>
      <c r="DY78" s="76">
        <v>0</v>
      </c>
      <c r="DZ78" s="76">
        <v>0</v>
      </c>
      <c r="EA78" s="76">
        <v>0</v>
      </c>
      <c r="EB78" s="76">
        <v>579</v>
      </c>
      <c r="EC78" s="76">
        <v>0</v>
      </c>
      <c r="ED78" s="76">
        <v>686</v>
      </c>
      <c r="EE78" s="76">
        <v>-107</v>
      </c>
      <c r="EF78" s="76">
        <v>1123</v>
      </c>
      <c r="EG78" s="76">
        <v>78</v>
      </c>
      <c r="EH78" s="76">
        <v>686</v>
      </c>
      <c r="EI78" s="76">
        <v>359</v>
      </c>
      <c r="EJ78" s="76">
        <v>3754</v>
      </c>
      <c r="EK78" s="76">
        <v>1344</v>
      </c>
      <c r="EL78" s="76">
        <v>1594</v>
      </c>
      <c r="EM78" s="76">
        <v>816</v>
      </c>
      <c r="EN78" s="76">
        <v>1479</v>
      </c>
      <c r="EO78" s="76">
        <v>263</v>
      </c>
      <c r="EP78" s="76">
        <v>338</v>
      </c>
      <c r="EQ78" s="76">
        <v>263</v>
      </c>
      <c r="ER78" s="76">
        <v>371155</v>
      </c>
      <c r="ES78" s="76">
        <v>0</v>
      </c>
      <c r="ET78" s="76">
        <v>371155</v>
      </c>
      <c r="EU78" s="76">
        <v>19233</v>
      </c>
      <c r="EV78" s="76">
        <v>-1394</v>
      </c>
      <c r="EW78" s="76">
        <v>0</v>
      </c>
      <c r="EX78" s="76">
        <v>0</v>
      </c>
      <c r="EY78" s="76">
        <v>0</v>
      </c>
      <c r="EZ78" s="76">
        <v>388994</v>
      </c>
      <c r="FA78" s="76">
        <v>40349</v>
      </c>
      <c r="FB78" s="76">
        <v>7350</v>
      </c>
      <c r="FC78" s="76">
        <v>-36</v>
      </c>
      <c r="FD78" s="76">
        <v>0</v>
      </c>
      <c r="FE78" s="76">
        <v>-244</v>
      </c>
      <c r="FF78" s="76">
        <v>0</v>
      </c>
      <c r="FG78" s="76">
        <v>0</v>
      </c>
      <c r="FH78" s="76">
        <v>47419</v>
      </c>
      <c r="FI78" s="76">
        <v>341575</v>
      </c>
      <c r="FJ78" s="76">
        <v>330806</v>
      </c>
      <c r="FK78" s="76">
        <v>0</v>
      </c>
      <c r="FL78" s="76">
        <v>0</v>
      </c>
      <c r="FM78" s="76">
        <v>0</v>
      </c>
      <c r="FN78" s="76">
        <v>1267</v>
      </c>
      <c r="FO78" s="76">
        <v>1869</v>
      </c>
      <c r="FP78" s="76">
        <v>-602</v>
      </c>
      <c r="FQ78" s="76">
        <v>840</v>
      </c>
      <c r="FR78" s="76">
        <v>975</v>
      </c>
      <c r="FS78" s="76">
        <v>-135</v>
      </c>
      <c r="FT78" s="76">
        <v>0</v>
      </c>
      <c r="FU78" s="76">
        <v>0</v>
      </c>
      <c r="FV78" s="76">
        <v>0</v>
      </c>
      <c r="FW78" s="76">
        <v>0</v>
      </c>
      <c r="FX78" s="76">
        <v>0</v>
      </c>
      <c r="FY78" s="76">
        <v>0</v>
      </c>
      <c r="FZ78" s="76">
        <v>1</v>
      </c>
      <c r="GA78" s="76">
        <v>0</v>
      </c>
      <c r="GB78" s="76">
        <v>1</v>
      </c>
      <c r="GC78" s="76">
        <v>2108</v>
      </c>
      <c r="GD78" s="76">
        <v>2844</v>
      </c>
      <c r="GE78" s="76">
        <v>-736</v>
      </c>
      <c r="GF78" s="76">
        <v>0</v>
      </c>
      <c r="GG78" s="76">
        <v>0</v>
      </c>
      <c r="GH78" s="76">
        <v>0</v>
      </c>
      <c r="GI78" s="76">
        <v>0</v>
      </c>
      <c r="GJ78" s="76">
        <v>0</v>
      </c>
      <c r="GK78" s="76">
        <v>2292</v>
      </c>
      <c r="GL78" s="76">
        <v>2292</v>
      </c>
      <c r="GM78" s="76">
        <v>2124</v>
      </c>
      <c r="GN78" s="76">
        <v>681</v>
      </c>
      <c r="GO78" s="76">
        <v>0</v>
      </c>
      <c r="GP78" s="76">
        <v>0</v>
      </c>
      <c r="GQ78" s="76">
        <v>1422</v>
      </c>
      <c r="GR78" s="76">
        <v>5825</v>
      </c>
      <c r="GS78" s="76">
        <v>0</v>
      </c>
      <c r="GT78" s="76">
        <v>0</v>
      </c>
      <c r="GU78" s="76">
        <v>0</v>
      </c>
      <c r="GV78" s="76">
        <v>0</v>
      </c>
      <c r="GW78" s="76">
        <v>1395</v>
      </c>
      <c r="GX78" s="76">
        <v>11447</v>
      </c>
      <c r="GY78" s="76">
        <v>0</v>
      </c>
      <c r="GZ78" s="76">
        <v>0</v>
      </c>
      <c r="HA78" s="76">
        <v>285</v>
      </c>
      <c r="HB78" s="76">
        <v>0</v>
      </c>
      <c r="HC78" s="76">
        <v>285</v>
      </c>
      <c r="HD78" s="76">
        <v>0</v>
      </c>
      <c r="HE78" s="76">
        <v>0</v>
      </c>
      <c r="HF78" s="76">
        <v>0</v>
      </c>
      <c r="HG78" s="76">
        <v>5733</v>
      </c>
      <c r="HH78" s="76">
        <v>-776</v>
      </c>
      <c r="HI78" s="76">
        <v>0</v>
      </c>
      <c r="HJ78" s="76">
        <v>0</v>
      </c>
      <c r="HK78" s="76">
        <v>0</v>
      </c>
      <c r="HL78" s="76">
        <v>-432</v>
      </c>
      <c r="HM78" s="76">
        <v>4525</v>
      </c>
      <c r="HN78" s="76">
        <v>4242</v>
      </c>
      <c r="HO78" s="76">
        <v>7686</v>
      </c>
      <c r="HP78" s="76">
        <v>-36</v>
      </c>
      <c r="HQ78" s="76">
        <v>64</v>
      </c>
      <c r="HR78" s="76">
        <v>-40</v>
      </c>
      <c r="HS78" s="76">
        <v>46</v>
      </c>
      <c r="HT78" s="76">
        <v>6764</v>
      </c>
      <c r="HU78" s="76">
        <v>0</v>
      </c>
      <c r="HV78" s="76">
        <v>-16</v>
      </c>
      <c r="HW78" s="76">
        <v>1</v>
      </c>
      <c r="HX78" s="76">
        <v>99</v>
      </c>
    </row>
    <row r="79" spans="1:232" x14ac:dyDescent="0.2">
      <c r="A79" s="74" t="s">
        <v>401</v>
      </c>
      <c r="B79" s="74" t="s">
        <v>402</v>
      </c>
      <c r="C79" s="75" t="s">
        <v>200</v>
      </c>
      <c r="D79" s="75">
        <v>12</v>
      </c>
      <c r="E79" s="76">
        <v>70116</v>
      </c>
      <c r="F79" s="76">
        <v>-6691</v>
      </c>
      <c r="G79" s="76">
        <v>-37510</v>
      </c>
      <c r="H79" s="76">
        <v>25915</v>
      </c>
      <c r="I79" s="76">
        <v>1141</v>
      </c>
      <c r="J79" s="76">
        <v>0</v>
      </c>
      <c r="K79" s="76">
        <v>38292</v>
      </c>
      <c r="L79" s="76">
        <v>0</v>
      </c>
      <c r="M79" s="76">
        <v>838</v>
      </c>
      <c r="N79" s="76">
        <v>-14000</v>
      </c>
      <c r="O79" s="76">
        <v>4891</v>
      </c>
      <c r="P79" s="76">
        <v>0</v>
      </c>
      <c r="Q79" s="76">
        <v>0</v>
      </c>
      <c r="R79" s="76">
        <v>0</v>
      </c>
      <c r="S79" s="76">
        <v>57077</v>
      </c>
      <c r="T79" s="76">
        <v>-19</v>
      </c>
      <c r="U79" s="76">
        <v>57058</v>
      </c>
      <c r="V79" s="76">
        <v>0</v>
      </c>
      <c r="W79" s="76">
        <v>-2819</v>
      </c>
      <c r="X79" s="76">
        <v>0</v>
      </c>
      <c r="Y79" s="76">
        <v>0</v>
      </c>
      <c r="Z79" s="76">
        <v>54239</v>
      </c>
      <c r="AA79" s="76">
        <v>54266</v>
      </c>
      <c r="AB79" s="76">
        <v>1722</v>
      </c>
      <c r="AC79" s="76">
        <v>55988</v>
      </c>
      <c r="AD79" s="76">
        <v>57</v>
      </c>
      <c r="AE79" s="76">
        <v>0</v>
      </c>
      <c r="AF79" s="76">
        <v>0</v>
      </c>
      <c r="AG79" s="76">
        <v>244</v>
      </c>
      <c r="AH79" s="76">
        <v>56289</v>
      </c>
      <c r="AI79" s="76">
        <v>7057</v>
      </c>
      <c r="AJ79" s="76">
        <v>3346</v>
      </c>
      <c r="AK79" s="76">
        <v>8555</v>
      </c>
      <c r="AL79" s="76">
        <v>3521</v>
      </c>
      <c r="AM79" s="76">
        <v>5507</v>
      </c>
      <c r="AN79" s="76">
        <v>243</v>
      </c>
      <c r="AO79" s="76">
        <v>7917</v>
      </c>
      <c r="AP79" s="76">
        <v>0</v>
      </c>
      <c r="AQ79" s="76">
        <v>594</v>
      </c>
      <c r="AR79" s="76">
        <v>36740</v>
      </c>
      <c r="AS79" s="76">
        <v>19549</v>
      </c>
      <c r="AT79" s="76">
        <v>432</v>
      </c>
      <c r="AU79" s="76">
        <v>533083</v>
      </c>
      <c r="AV79" s="76">
        <v>0</v>
      </c>
      <c r="AW79" s="76">
        <v>3080</v>
      </c>
      <c r="AX79" s="76">
        <v>0</v>
      </c>
      <c r="AY79" s="76">
        <v>0</v>
      </c>
      <c r="AZ79" s="76">
        <v>15085</v>
      </c>
      <c r="BA79" s="76">
        <v>0</v>
      </c>
      <c r="BB79" s="76">
        <v>0</v>
      </c>
      <c r="BC79" s="76">
        <v>0</v>
      </c>
      <c r="BD79" s="76">
        <v>0</v>
      </c>
      <c r="BE79" s="76">
        <v>551248</v>
      </c>
      <c r="BF79" s="76">
        <v>3545</v>
      </c>
      <c r="BG79" s="76">
        <v>3875</v>
      </c>
      <c r="BH79" s="76">
        <v>59706</v>
      </c>
      <c r="BI79" s="76">
        <v>4605</v>
      </c>
      <c r="BJ79" s="76">
        <v>6960</v>
      </c>
      <c r="BK79" s="76">
        <v>78691</v>
      </c>
      <c r="BL79" s="76">
        <v>355</v>
      </c>
      <c r="BM79" s="76">
        <v>0</v>
      </c>
      <c r="BN79" s="76">
        <v>66</v>
      </c>
      <c r="BO79" s="76">
        <v>12208</v>
      </c>
      <c r="BP79" s="76">
        <v>12629</v>
      </c>
      <c r="BQ79" s="76">
        <v>66062</v>
      </c>
      <c r="BR79" s="76">
        <v>617310</v>
      </c>
      <c r="BS79" s="76">
        <v>305257</v>
      </c>
      <c r="BT79" s="76">
        <v>0</v>
      </c>
      <c r="BU79" s="76">
        <v>0</v>
      </c>
      <c r="BV79" s="76">
        <v>6463</v>
      </c>
      <c r="BW79" s="76">
        <v>0</v>
      </c>
      <c r="BX79" s="76">
        <v>0</v>
      </c>
      <c r="BY79" s="76">
        <v>7820</v>
      </c>
      <c r="BZ79" s="76">
        <v>319540</v>
      </c>
      <c r="CA79" s="76">
        <v>14823</v>
      </c>
      <c r="CB79" s="76">
        <v>0</v>
      </c>
      <c r="CC79" s="76">
        <v>282947</v>
      </c>
      <c r="CD79" s="76">
        <v>80123</v>
      </c>
      <c r="CE79" s="76">
        <v>197733</v>
      </c>
      <c r="CF79" s="76">
        <v>5091</v>
      </c>
      <c r="CG79" s="76">
        <v>0</v>
      </c>
      <c r="CH79" s="76">
        <v>0</v>
      </c>
      <c r="CI79" s="76">
        <v>282947</v>
      </c>
      <c r="CJ79" s="76">
        <v>10277</v>
      </c>
      <c r="CK79" s="76">
        <v>6691</v>
      </c>
      <c r="CL79" s="76">
        <v>0</v>
      </c>
      <c r="CM79" s="76">
        <v>3586</v>
      </c>
      <c r="CN79" s="76">
        <v>0</v>
      </c>
      <c r="CO79" s="76">
        <v>0</v>
      </c>
      <c r="CP79" s="76">
        <v>0</v>
      </c>
      <c r="CQ79" s="76">
        <v>0</v>
      </c>
      <c r="CR79" s="76">
        <v>0</v>
      </c>
      <c r="CS79" s="76">
        <v>0</v>
      </c>
      <c r="CT79" s="76">
        <v>50</v>
      </c>
      <c r="CU79" s="76">
        <v>-50</v>
      </c>
      <c r="CV79" s="76">
        <v>0</v>
      </c>
      <c r="CW79" s="76">
        <v>0</v>
      </c>
      <c r="CX79" s="76">
        <v>0</v>
      </c>
      <c r="CY79" s="76">
        <v>0</v>
      </c>
      <c r="CZ79" s="76">
        <v>551</v>
      </c>
      <c r="DA79" s="76">
        <v>0</v>
      </c>
      <c r="DB79" s="76">
        <v>491</v>
      </c>
      <c r="DC79" s="76">
        <v>60</v>
      </c>
      <c r="DD79" s="76">
        <v>10828</v>
      </c>
      <c r="DE79" s="76">
        <v>6691</v>
      </c>
      <c r="DF79" s="76">
        <v>541</v>
      </c>
      <c r="DG79" s="76">
        <v>3596</v>
      </c>
      <c r="DH79" s="76">
        <v>0</v>
      </c>
      <c r="DI79" s="76">
        <v>0</v>
      </c>
      <c r="DJ79" s="76">
        <v>0</v>
      </c>
      <c r="DK79" s="76">
        <v>0</v>
      </c>
      <c r="DL79" s="76">
        <v>0</v>
      </c>
      <c r="DM79" s="76">
        <v>0</v>
      </c>
      <c r="DN79" s="76">
        <v>0</v>
      </c>
      <c r="DO79" s="76">
        <v>0</v>
      </c>
      <c r="DP79" s="76">
        <v>0</v>
      </c>
      <c r="DQ79" s="76">
        <v>0</v>
      </c>
      <c r="DR79" s="76">
        <v>0</v>
      </c>
      <c r="DS79" s="76">
        <v>0</v>
      </c>
      <c r="DT79" s="76">
        <v>540</v>
      </c>
      <c r="DU79" s="76">
        <v>0</v>
      </c>
      <c r="DV79" s="76">
        <v>96</v>
      </c>
      <c r="DW79" s="76">
        <v>444</v>
      </c>
      <c r="DX79" s="76">
        <v>0</v>
      </c>
      <c r="DY79" s="76">
        <v>0</v>
      </c>
      <c r="DZ79" s="76">
        <v>0</v>
      </c>
      <c r="EA79" s="76">
        <v>0</v>
      </c>
      <c r="EB79" s="76">
        <v>2459</v>
      </c>
      <c r="EC79" s="76">
        <v>0</v>
      </c>
      <c r="ED79" s="76">
        <v>133</v>
      </c>
      <c r="EE79" s="76">
        <v>2326</v>
      </c>
      <c r="EF79" s="76">
        <v>2999</v>
      </c>
      <c r="EG79" s="76">
        <v>0</v>
      </c>
      <c r="EH79" s="76">
        <v>229</v>
      </c>
      <c r="EI79" s="76">
        <v>2770</v>
      </c>
      <c r="EJ79" s="76">
        <v>13827</v>
      </c>
      <c r="EK79" s="76">
        <v>6691</v>
      </c>
      <c r="EL79" s="76">
        <v>770</v>
      </c>
      <c r="EM79" s="76">
        <v>6366</v>
      </c>
      <c r="EN79" s="76">
        <v>1103</v>
      </c>
      <c r="EO79" s="76">
        <v>660</v>
      </c>
      <c r="EP79" s="76">
        <v>370</v>
      </c>
      <c r="EQ79" s="76">
        <v>595</v>
      </c>
      <c r="ER79" s="76">
        <v>509710</v>
      </c>
      <c r="ES79" s="76">
        <v>0</v>
      </c>
      <c r="ET79" s="76">
        <v>509710</v>
      </c>
      <c r="EU79" s="76">
        <v>45508</v>
      </c>
      <c r="EV79" s="76">
        <v>-2951</v>
      </c>
      <c r="EW79" s="76">
        <v>37813</v>
      </c>
      <c r="EX79" s="76">
        <v>0</v>
      </c>
      <c r="EY79" s="76">
        <v>0</v>
      </c>
      <c r="EZ79" s="76">
        <v>590080</v>
      </c>
      <c r="FA79" s="76">
        <v>49083</v>
      </c>
      <c r="FB79" s="76">
        <v>7880</v>
      </c>
      <c r="FC79" s="76">
        <v>0</v>
      </c>
      <c r="FD79" s="76">
        <v>0</v>
      </c>
      <c r="FE79" s="76">
        <v>-611</v>
      </c>
      <c r="FF79" s="76">
        <v>0</v>
      </c>
      <c r="FG79" s="76">
        <v>645</v>
      </c>
      <c r="FH79" s="76">
        <v>56997</v>
      </c>
      <c r="FI79" s="76">
        <v>533083</v>
      </c>
      <c r="FJ79" s="76">
        <v>460627</v>
      </c>
      <c r="FK79" s="76">
        <v>1148</v>
      </c>
      <c r="FL79" s="76">
        <v>739</v>
      </c>
      <c r="FM79" s="76">
        <v>409</v>
      </c>
      <c r="FN79" s="76">
        <v>1535</v>
      </c>
      <c r="FO79" s="76">
        <v>999</v>
      </c>
      <c r="FP79" s="76">
        <v>536</v>
      </c>
      <c r="FQ79" s="76">
        <v>323</v>
      </c>
      <c r="FR79" s="76">
        <v>316</v>
      </c>
      <c r="FS79" s="76">
        <v>7</v>
      </c>
      <c r="FT79" s="76">
        <v>153</v>
      </c>
      <c r="FU79" s="76">
        <v>45</v>
      </c>
      <c r="FV79" s="76">
        <v>108</v>
      </c>
      <c r="FW79" s="76">
        <v>0</v>
      </c>
      <c r="FX79" s="76">
        <v>0</v>
      </c>
      <c r="FY79" s="76">
        <v>0</v>
      </c>
      <c r="FZ79" s="76">
        <v>89</v>
      </c>
      <c r="GA79" s="76">
        <v>8</v>
      </c>
      <c r="GB79" s="76">
        <v>81</v>
      </c>
      <c r="GC79" s="76">
        <v>3248</v>
      </c>
      <c r="GD79" s="76">
        <v>2107</v>
      </c>
      <c r="GE79" s="76">
        <v>1141</v>
      </c>
      <c r="GF79" s="76">
        <v>0</v>
      </c>
      <c r="GG79" s="76">
        <v>0</v>
      </c>
      <c r="GH79" s="76">
        <v>0</v>
      </c>
      <c r="GI79" s="76">
        <v>6900</v>
      </c>
      <c r="GJ79" s="76">
        <v>0</v>
      </c>
      <c r="GK79" s="76">
        <v>60</v>
      </c>
      <c r="GL79" s="76">
        <v>6960</v>
      </c>
      <c r="GM79" s="76">
        <v>0</v>
      </c>
      <c r="GN79" s="76">
        <v>1379</v>
      </c>
      <c r="GO79" s="76">
        <v>0</v>
      </c>
      <c r="GP79" s="76">
        <v>0</v>
      </c>
      <c r="GQ79" s="76">
        <v>0</v>
      </c>
      <c r="GR79" s="76">
        <v>8142</v>
      </c>
      <c r="GS79" s="76">
        <v>0</v>
      </c>
      <c r="GT79" s="76">
        <v>0</v>
      </c>
      <c r="GU79" s="76">
        <v>0</v>
      </c>
      <c r="GV79" s="76">
        <v>0</v>
      </c>
      <c r="GW79" s="76">
        <v>2687</v>
      </c>
      <c r="GX79" s="76">
        <v>12208</v>
      </c>
      <c r="GY79" s="76">
        <v>0</v>
      </c>
      <c r="GZ79" s="76">
        <v>680</v>
      </c>
      <c r="HA79" s="76">
        <v>240</v>
      </c>
      <c r="HB79" s="76">
        <v>6900</v>
      </c>
      <c r="HC79" s="76">
        <v>7820</v>
      </c>
      <c r="HD79" s="76">
        <v>0</v>
      </c>
      <c r="HE79" s="76">
        <v>0</v>
      </c>
      <c r="HF79" s="76">
        <v>0</v>
      </c>
      <c r="HG79" s="76">
        <v>15112</v>
      </c>
      <c r="HH79" s="76">
        <v>0</v>
      </c>
      <c r="HI79" s="76">
        <v>370</v>
      </c>
      <c r="HJ79" s="76">
        <v>0</v>
      </c>
      <c r="HK79" s="76">
        <v>0</v>
      </c>
      <c r="HL79" s="76">
        <v>-1482</v>
      </c>
      <c r="HM79" s="76">
        <v>14000</v>
      </c>
      <c r="HN79" s="76">
        <v>8263</v>
      </c>
      <c r="HO79" s="76">
        <v>8343</v>
      </c>
      <c r="HP79" s="76">
        <v>0</v>
      </c>
      <c r="HQ79" s="76">
        <v>263</v>
      </c>
      <c r="HR79" s="76">
        <v>-35</v>
      </c>
      <c r="HS79" s="76">
        <v>809</v>
      </c>
      <c r="HT79" s="76">
        <v>11320</v>
      </c>
      <c r="HU79" s="76">
        <v>0</v>
      </c>
      <c r="HV79" s="76">
        <v>0</v>
      </c>
      <c r="HW79" s="76">
        <v>53</v>
      </c>
      <c r="HX79" s="76">
        <v>117</v>
      </c>
    </row>
    <row r="80" spans="1:232" x14ac:dyDescent="0.2">
      <c r="A80" s="74" t="s">
        <v>86</v>
      </c>
      <c r="B80" s="74" t="s">
        <v>85</v>
      </c>
      <c r="C80" s="75" t="s">
        <v>200</v>
      </c>
      <c r="D80" s="75">
        <v>12</v>
      </c>
      <c r="E80" s="76">
        <v>109418</v>
      </c>
      <c r="F80" s="76">
        <v>-16269</v>
      </c>
      <c r="G80" s="76">
        <v>-61905</v>
      </c>
      <c r="H80" s="76">
        <v>31244</v>
      </c>
      <c r="I80" s="76">
        <v>2792</v>
      </c>
      <c r="J80" s="76">
        <v>0</v>
      </c>
      <c r="K80" s="76">
        <v>-60</v>
      </c>
      <c r="L80" s="76">
        <v>4</v>
      </c>
      <c r="M80" s="76">
        <v>261</v>
      </c>
      <c r="N80" s="76">
        <v>-21460</v>
      </c>
      <c r="O80" s="76">
        <v>24</v>
      </c>
      <c r="P80" s="76">
        <v>167</v>
      </c>
      <c r="Q80" s="76">
        <v>0</v>
      </c>
      <c r="R80" s="76">
        <v>0</v>
      </c>
      <c r="S80" s="76">
        <v>12972</v>
      </c>
      <c r="T80" s="76">
        <v>-308</v>
      </c>
      <c r="U80" s="76">
        <v>12664</v>
      </c>
      <c r="V80" s="76">
        <v>0</v>
      </c>
      <c r="W80" s="76">
        <v>-560</v>
      </c>
      <c r="X80" s="76">
        <v>-2938</v>
      </c>
      <c r="Y80" s="76">
        <v>0</v>
      </c>
      <c r="Z80" s="76">
        <v>9166</v>
      </c>
      <c r="AA80" s="76">
        <v>71791</v>
      </c>
      <c r="AB80" s="76">
        <v>6151</v>
      </c>
      <c r="AC80" s="76">
        <v>77942</v>
      </c>
      <c r="AD80" s="76">
        <v>5317</v>
      </c>
      <c r="AE80" s="76">
        <v>0</v>
      </c>
      <c r="AF80" s="76">
        <v>0</v>
      </c>
      <c r="AG80" s="76">
        <v>1069</v>
      </c>
      <c r="AH80" s="76">
        <v>84328</v>
      </c>
      <c r="AI80" s="76">
        <v>18050</v>
      </c>
      <c r="AJ80" s="76">
        <v>6140</v>
      </c>
      <c r="AK80" s="76">
        <v>7090</v>
      </c>
      <c r="AL80" s="76">
        <v>2860</v>
      </c>
      <c r="AM80" s="76">
        <v>4758</v>
      </c>
      <c r="AN80" s="76">
        <v>341</v>
      </c>
      <c r="AO80" s="76">
        <v>15474</v>
      </c>
      <c r="AP80" s="76">
        <v>1190</v>
      </c>
      <c r="AQ80" s="76">
        <v>264</v>
      </c>
      <c r="AR80" s="76">
        <v>56167</v>
      </c>
      <c r="AS80" s="76">
        <v>28161</v>
      </c>
      <c r="AT80" s="76">
        <v>918</v>
      </c>
      <c r="AU80" s="76">
        <v>1027393</v>
      </c>
      <c r="AV80" s="76">
        <v>0</v>
      </c>
      <c r="AW80" s="76">
        <v>10020</v>
      </c>
      <c r="AX80" s="76">
        <v>0</v>
      </c>
      <c r="AY80" s="76">
        <v>8134</v>
      </c>
      <c r="AZ80" s="76">
        <v>15500</v>
      </c>
      <c r="BA80" s="76">
        <v>10</v>
      </c>
      <c r="BB80" s="76">
        <v>15</v>
      </c>
      <c r="BC80" s="76">
        <v>0</v>
      </c>
      <c r="BD80" s="76">
        <v>999</v>
      </c>
      <c r="BE80" s="76">
        <v>1062071</v>
      </c>
      <c r="BF80" s="76">
        <v>9611</v>
      </c>
      <c r="BG80" s="76">
        <v>8883</v>
      </c>
      <c r="BH80" s="76">
        <v>55429</v>
      </c>
      <c r="BI80" s="76">
        <v>30416</v>
      </c>
      <c r="BJ80" s="76">
        <v>435</v>
      </c>
      <c r="BK80" s="76">
        <v>104774</v>
      </c>
      <c r="BL80" s="76">
        <v>4743</v>
      </c>
      <c r="BM80" s="76">
        <v>0</v>
      </c>
      <c r="BN80" s="76">
        <v>5558</v>
      </c>
      <c r="BO80" s="76">
        <v>48635</v>
      </c>
      <c r="BP80" s="76">
        <v>58936</v>
      </c>
      <c r="BQ80" s="76">
        <v>45838</v>
      </c>
      <c r="BR80" s="76">
        <v>1107909</v>
      </c>
      <c r="BS80" s="76">
        <v>529994</v>
      </c>
      <c r="BT80" s="76">
        <v>0</v>
      </c>
      <c r="BU80" s="76">
        <v>3125</v>
      </c>
      <c r="BV80" s="76">
        <v>459416</v>
      </c>
      <c r="BW80" s="76">
        <v>8134</v>
      </c>
      <c r="BX80" s="76">
        <v>45779</v>
      </c>
      <c r="BY80" s="76">
        <v>11660</v>
      </c>
      <c r="BZ80" s="76">
        <v>1058108</v>
      </c>
      <c r="CA80" s="76">
        <v>1182</v>
      </c>
      <c r="CB80" s="76">
        <v>0</v>
      </c>
      <c r="CC80" s="76">
        <v>48619</v>
      </c>
      <c r="CD80" s="76">
        <v>96138</v>
      </c>
      <c r="CE80" s="76">
        <v>2023</v>
      </c>
      <c r="CF80" s="76">
        <v>0</v>
      </c>
      <c r="CG80" s="76">
        <v>-49703</v>
      </c>
      <c r="CH80" s="76">
        <v>161</v>
      </c>
      <c r="CI80" s="76">
        <v>48619</v>
      </c>
      <c r="CJ80" s="76">
        <v>13168</v>
      </c>
      <c r="CK80" s="76">
        <v>11884</v>
      </c>
      <c r="CL80" s="76">
        <v>0</v>
      </c>
      <c r="CM80" s="76">
        <v>1284</v>
      </c>
      <c r="CN80" s="76">
        <v>2307</v>
      </c>
      <c r="CO80" s="76">
        <v>0</v>
      </c>
      <c r="CP80" s="76">
        <v>3259</v>
      </c>
      <c r="CQ80" s="76">
        <v>-952</v>
      </c>
      <c r="CR80" s="76">
        <v>0</v>
      </c>
      <c r="CS80" s="76">
        <v>0</v>
      </c>
      <c r="CT80" s="76">
        <v>0</v>
      </c>
      <c r="CU80" s="76">
        <v>0</v>
      </c>
      <c r="CV80" s="76">
        <v>0</v>
      </c>
      <c r="CW80" s="76">
        <v>0</v>
      </c>
      <c r="CX80" s="76">
        <v>0</v>
      </c>
      <c r="CY80" s="76">
        <v>0</v>
      </c>
      <c r="CZ80" s="76">
        <v>2442</v>
      </c>
      <c r="DA80" s="76">
        <v>0</v>
      </c>
      <c r="DB80" s="76">
        <v>1393</v>
      </c>
      <c r="DC80" s="76">
        <v>1049</v>
      </c>
      <c r="DD80" s="76">
        <v>17917</v>
      </c>
      <c r="DE80" s="76">
        <v>11884</v>
      </c>
      <c r="DF80" s="76">
        <v>4652</v>
      </c>
      <c r="DG80" s="76">
        <v>1381</v>
      </c>
      <c r="DH80" s="76">
        <v>6053</v>
      </c>
      <c r="DI80" s="76">
        <v>4385</v>
      </c>
      <c r="DJ80" s="76">
        <v>0</v>
      </c>
      <c r="DK80" s="76">
        <v>1668</v>
      </c>
      <c r="DL80" s="76">
        <v>0</v>
      </c>
      <c r="DM80" s="76">
        <v>0</v>
      </c>
      <c r="DN80" s="76">
        <v>0</v>
      </c>
      <c r="DO80" s="76">
        <v>0</v>
      </c>
      <c r="DP80" s="76">
        <v>0</v>
      </c>
      <c r="DQ80" s="76">
        <v>0</v>
      </c>
      <c r="DR80" s="76">
        <v>0</v>
      </c>
      <c r="DS80" s="76">
        <v>0</v>
      </c>
      <c r="DT80" s="76">
        <v>1005</v>
      </c>
      <c r="DU80" s="76">
        <v>0</v>
      </c>
      <c r="DV80" s="76">
        <v>1013</v>
      </c>
      <c r="DW80" s="76">
        <v>-8</v>
      </c>
      <c r="DX80" s="76">
        <v>0</v>
      </c>
      <c r="DY80" s="76">
        <v>0</v>
      </c>
      <c r="DZ80" s="76">
        <v>0</v>
      </c>
      <c r="EA80" s="76">
        <v>0</v>
      </c>
      <c r="EB80" s="76">
        <v>115</v>
      </c>
      <c r="EC80" s="76">
        <v>0</v>
      </c>
      <c r="ED80" s="76">
        <v>73</v>
      </c>
      <c r="EE80" s="76">
        <v>42</v>
      </c>
      <c r="EF80" s="76">
        <v>7173</v>
      </c>
      <c r="EG80" s="76">
        <v>4385</v>
      </c>
      <c r="EH80" s="76">
        <v>1086</v>
      </c>
      <c r="EI80" s="76">
        <v>1702</v>
      </c>
      <c r="EJ80" s="76">
        <v>25090</v>
      </c>
      <c r="EK80" s="76">
        <v>16269</v>
      </c>
      <c r="EL80" s="76">
        <v>5738</v>
      </c>
      <c r="EM80" s="76">
        <v>3083</v>
      </c>
      <c r="EN80" s="76">
        <v>2450</v>
      </c>
      <c r="EO80" s="76">
        <v>1301</v>
      </c>
      <c r="EP80" s="76">
        <v>731</v>
      </c>
      <c r="EQ80" s="76">
        <v>1301</v>
      </c>
      <c r="ER80" s="76">
        <v>1139447</v>
      </c>
      <c r="ES80" s="76">
        <v>0</v>
      </c>
      <c r="ET80" s="76">
        <v>1139447</v>
      </c>
      <c r="EU80" s="76">
        <v>49816</v>
      </c>
      <c r="EV80" s="76">
        <v>-14533</v>
      </c>
      <c r="EW80" s="76">
        <v>0</v>
      </c>
      <c r="EX80" s="76">
        <v>0</v>
      </c>
      <c r="EY80" s="76">
        <v>0</v>
      </c>
      <c r="EZ80" s="76">
        <v>1174730</v>
      </c>
      <c r="FA80" s="76">
        <v>134608</v>
      </c>
      <c r="FB80" s="76">
        <v>14708</v>
      </c>
      <c r="FC80" s="76">
        <v>1190</v>
      </c>
      <c r="FD80" s="76">
        <v>0</v>
      </c>
      <c r="FE80" s="76">
        <v>-3169</v>
      </c>
      <c r="FF80" s="76">
        <v>0</v>
      </c>
      <c r="FG80" s="76">
        <v>0</v>
      </c>
      <c r="FH80" s="76">
        <v>147337</v>
      </c>
      <c r="FI80" s="76">
        <v>1027393</v>
      </c>
      <c r="FJ80" s="76">
        <v>1004839</v>
      </c>
      <c r="FK80" s="76">
        <v>3221</v>
      </c>
      <c r="FL80" s="76">
        <v>2414</v>
      </c>
      <c r="FM80" s="76">
        <v>807</v>
      </c>
      <c r="FN80" s="76">
        <v>329</v>
      </c>
      <c r="FO80" s="76">
        <v>258</v>
      </c>
      <c r="FP80" s="76">
        <v>71</v>
      </c>
      <c r="FQ80" s="76">
        <v>193</v>
      </c>
      <c r="FR80" s="76">
        <v>193</v>
      </c>
      <c r="FS80" s="76">
        <v>0</v>
      </c>
      <c r="FT80" s="76">
        <v>5009</v>
      </c>
      <c r="FU80" s="76">
        <v>3132</v>
      </c>
      <c r="FV80" s="76">
        <v>1877</v>
      </c>
      <c r="FW80" s="76">
        <v>75</v>
      </c>
      <c r="FX80" s="76">
        <v>65</v>
      </c>
      <c r="FY80" s="76">
        <v>10</v>
      </c>
      <c r="FZ80" s="76">
        <v>120</v>
      </c>
      <c r="GA80" s="76">
        <v>93</v>
      </c>
      <c r="GB80" s="76">
        <v>27</v>
      </c>
      <c r="GC80" s="76">
        <v>8947</v>
      </c>
      <c r="GD80" s="76">
        <v>6155</v>
      </c>
      <c r="GE80" s="76">
        <v>2792</v>
      </c>
      <c r="GF80" s="76">
        <v>0</v>
      </c>
      <c r="GG80" s="76">
        <v>0</v>
      </c>
      <c r="GH80" s="76">
        <v>0</v>
      </c>
      <c r="GI80" s="76">
        <v>0</v>
      </c>
      <c r="GJ80" s="76">
        <v>0</v>
      </c>
      <c r="GK80" s="76">
        <v>435</v>
      </c>
      <c r="GL80" s="76">
        <v>435</v>
      </c>
      <c r="GM80" s="76">
        <v>2340</v>
      </c>
      <c r="GN80" s="76">
        <v>2300</v>
      </c>
      <c r="GO80" s="76">
        <v>0</v>
      </c>
      <c r="GP80" s="76">
        <v>2863</v>
      </c>
      <c r="GQ80" s="76">
        <v>470</v>
      </c>
      <c r="GR80" s="76">
        <v>11251</v>
      </c>
      <c r="GS80" s="76">
        <v>74</v>
      </c>
      <c r="GT80" s="76">
        <v>0</v>
      </c>
      <c r="GU80" s="76">
        <v>1331</v>
      </c>
      <c r="GV80" s="76">
        <v>4826</v>
      </c>
      <c r="GW80" s="76">
        <v>23180</v>
      </c>
      <c r="GX80" s="76">
        <v>48635</v>
      </c>
      <c r="GY80" s="76">
        <v>3084</v>
      </c>
      <c r="GZ80" s="76">
        <v>82</v>
      </c>
      <c r="HA80" s="76">
        <v>8465</v>
      </c>
      <c r="HB80" s="76">
        <v>29</v>
      </c>
      <c r="HC80" s="76">
        <v>11660</v>
      </c>
      <c r="HD80" s="76">
        <v>0</v>
      </c>
      <c r="HE80" s="76">
        <v>0</v>
      </c>
      <c r="HF80" s="76">
        <v>0</v>
      </c>
      <c r="HG80" s="76">
        <v>22168</v>
      </c>
      <c r="HH80" s="76">
        <v>948</v>
      </c>
      <c r="HI80" s="76">
        <v>206</v>
      </c>
      <c r="HJ80" s="76">
        <v>17</v>
      </c>
      <c r="HK80" s="76">
        <v>0</v>
      </c>
      <c r="HL80" s="76">
        <v>-1879</v>
      </c>
      <c r="HM80" s="76">
        <v>21460</v>
      </c>
      <c r="HN80" s="76">
        <v>10259</v>
      </c>
      <c r="HO80" s="76">
        <v>16972</v>
      </c>
      <c r="HP80" s="76">
        <v>1190</v>
      </c>
      <c r="HQ80" s="76">
        <v>593</v>
      </c>
      <c r="HR80" s="76">
        <v>-138</v>
      </c>
      <c r="HS80" s="76">
        <v>167</v>
      </c>
      <c r="HT80" s="76">
        <v>17618</v>
      </c>
      <c r="HU80" s="76">
        <v>15</v>
      </c>
      <c r="HV80" s="76">
        <v>0</v>
      </c>
      <c r="HW80" s="76">
        <v>-286</v>
      </c>
      <c r="HX80" s="76">
        <v>1142</v>
      </c>
    </row>
    <row r="81" spans="1:232" x14ac:dyDescent="0.2">
      <c r="A81" s="74" t="s">
        <v>403</v>
      </c>
      <c r="B81" s="74" t="s">
        <v>404</v>
      </c>
      <c r="C81" s="75" t="s">
        <v>200</v>
      </c>
      <c r="D81" s="75">
        <v>12</v>
      </c>
      <c r="E81" s="76">
        <v>42990</v>
      </c>
      <c r="F81" s="76">
        <v>-833</v>
      </c>
      <c r="G81" s="76">
        <v>-28725</v>
      </c>
      <c r="H81" s="76">
        <v>13432</v>
      </c>
      <c r="I81" s="76">
        <v>-63</v>
      </c>
      <c r="J81" s="76">
        <v>0</v>
      </c>
      <c r="K81" s="76">
        <v>0</v>
      </c>
      <c r="L81" s="76">
        <v>0</v>
      </c>
      <c r="M81" s="76">
        <v>138</v>
      </c>
      <c r="N81" s="76">
        <v>-5297</v>
      </c>
      <c r="O81" s="76">
        <v>0</v>
      </c>
      <c r="P81" s="76">
        <v>0</v>
      </c>
      <c r="Q81" s="76">
        <v>0</v>
      </c>
      <c r="R81" s="76">
        <v>0</v>
      </c>
      <c r="S81" s="76">
        <v>8210</v>
      </c>
      <c r="T81" s="76">
        <v>0</v>
      </c>
      <c r="U81" s="76">
        <v>8210</v>
      </c>
      <c r="V81" s="76">
        <v>0</v>
      </c>
      <c r="W81" s="76">
        <v>-2444</v>
      </c>
      <c r="X81" s="76">
        <v>0</v>
      </c>
      <c r="Y81" s="76">
        <v>0</v>
      </c>
      <c r="Z81" s="76">
        <v>5766</v>
      </c>
      <c r="AA81" s="76">
        <v>40014</v>
      </c>
      <c r="AB81" s="76">
        <v>884</v>
      </c>
      <c r="AC81" s="76">
        <v>40898</v>
      </c>
      <c r="AD81" s="76">
        <v>36</v>
      </c>
      <c r="AE81" s="76">
        <v>0</v>
      </c>
      <c r="AF81" s="76">
        <v>0</v>
      </c>
      <c r="AG81" s="76">
        <v>0</v>
      </c>
      <c r="AH81" s="76">
        <v>40934</v>
      </c>
      <c r="AI81" s="76">
        <v>7740</v>
      </c>
      <c r="AJ81" s="76">
        <v>876</v>
      </c>
      <c r="AK81" s="76">
        <v>4465</v>
      </c>
      <c r="AL81" s="76">
        <v>3656</v>
      </c>
      <c r="AM81" s="76">
        <v>2834</v>
      </c>
      <c r="AN81" s="76">
        <v>131</v>
      </c>
      <c r="AO81" s="76">
        <v>5282</v>
      </c>
      <c r="AP81" s="76">
        <v>0</v>
      </c>
      <c r="AQ81" s="76">
        <v>0</v>
      </c>
      <c r="AR81" s="76">
        <v>24984</v>
      </c>
      <c r="AS81" s="76">
        <v>15950</v>
      </c>
      <c r="AT81" s="76">
        <v>401</v>
      </c>
      <c r="AU81" s="76">
        <v>278186</v>
      </c>
      <c r="AV81" s="76">
        <v>0</v>
      </c>
      <c r="AW81" s="76">
        <v>5814</v>
      </c>
      <c r="AX81" s="76">
        <v>86</v>
      </c>
      <c r="AY81" s="76">
        <v>0</v>
      </c>
      <c r="AZ81" s="76">
        <v>0</v>
      </c>
      <c r="BA81" s="76">
        <v>0</v>
      </c>
      <c r="BB81" s="76">
        <v>0</v>
      </c>
      <c r="BC81" s="76">
        <v>0</v>
      </c>
      <c r="BD81" s="76">
        <v>0</v>
      </c>
      <c r="BE81" s="76">
        <v>284086</v>
      </c>
      <c r="BF81" s="76">
        <v>2406</v>
      </c>
      <c r="BG81" s="76">
        <v>6441</v>
      </c>
      <c r="BH81" s="76">
        <v>15900</v>
      </c>
      <c r="BI81" s="76">
        <v>22904</v>
      </c>
      <c r="BJ81" s="76">
        <v>278</v>
      </c>
      <c r="BK81" s="76">
        <v>47929</v>
      </c>
      <c r="BL81" s="76">
        <v>0</v>
      </c>
      <c r="BM81" s="76">
        <v>0</v>
      </c>
      <c r="BN81" s="76">
        <v>36</v>
      </c>
      <c r="BO81" s="76">
        <v>13372</v>
      </c>
      <c r="BP81" s="76">
        <v>13408</v>
      </c>
      <c r="BQ81" s="76">
        <v>34521</v>
      </c>
      <c r="BR81" s="76">
        <v>318607</v>
      </c>
      <c r="BS81" s="76">
        <v>136000</v>
      </c>
      <c r="BT81" s="76">
        <v>0</v>
      </c>
      <c r="BU81" s="76">
        <v>0</v>
      </c>
      <c r="BV81" s="76">
        <v>3448</v>
      </c>
      <c r="BW81" s="76">
        <v>0</v>
      </c>
      <c r="BX81" s="76">
        <v>0</v>
      </c>
      <c r="BY81" s="76">
        <v>15326</v>
      </c>
      <c r="BZ81" s="76">
        <v>154774</v>
      </c>
      <c r="CA81" s="76">
        <v>0</v>
      </c>
      <c r="CB81" s="76">
        <v>0</v>
      </c>
      <c r="CC81" s="76">
        <v>163833</v>
      </c>
      <c r="CD81" s="76">
        <v>61072</v>
      </c>
      <c r="CE81" s="76">
        <v>100595</v>
      </c>
      <c r="CF81" s="76">
        <v>2165</v>
      </c>
      <c r="CG81" s="76">
        <v>0</v>
      </c>
      <c r="CH81" s="76">
        <v>1</v>
      </c>
      <c r="CI81" s="76">
        <v>163833</v>
      </c>
      <c r="CJ81" s="76">
        <v>1454</v>
      </c>
      <c r="CK81" s="76">
        <v>833</v>
      </c>
      <c r="CL81" s="76">
        <v>0</v>
      </c>
      <c r="CM81" s="76">
        <v>621</v>
      </c>
      <c r="CN81" s="76">
        <v>215</v>
      </c>
      <c r="CO81" s="76">
        <v>0</v>
      </c>
      <c r="CP81" s="76">
        <v>202</v>
      </c>
      <c r="CQ81" s="76">
        <v>13</v>
      </c>
      <c r="CR81" s="76">
        <v>0</v>
      </c>
      <c r="CS81" s="76">
        <v>0</v>
      </c>
      <c r="CT81" s="76">
        <v>275</v>
      </c>
      <c r="CU81" s="76">
        <v>-275</v>
      </c>
      <c r="CV81" s="76">
        <v>0</v>
      </c>
      <c r="CW81" s="76">
        <v>0</v>
      </c>
      <c r="CX81" s="76">
        <v>0</v>
      </c>
      <c r="CY81" s="76">
        <v>0</v>
      </c>
      <c r="CZ81" s="76">
        <v>248</v>
      </c>
      <c r="DA81" s="76">
        <v>0</v>
      </c>
      <c r="DB81" s="76">
        <v>178</v>
      </c>
      <c r="DC81" s="76">
        <v>70</v>
      </c>
      <c r="DD81" s="76">
        <v>1917</v>
      </c>
      <c r="DE81" s="76">
        <v>833</v>
      </c>
      <c r="DF81" s="76">
        <v>655</v>
      </c>
      <c r="DG81" s="76">
        <v>429</v>
      </c>
      <c r="DH81" s="76">
        <v>0</v>
      </c>
      <c r="DI81" s="76">
        <v>0</v>
      </c>
      <c r="DJ81" s="76">
        <v>0</v>
      </c>
      <c r="DK81" s="76">
        <v>0</v>
      </c>
      <c r="DL81" s="76">
        <v>0</v>
      </c>
      <c r="DM81" s="76">
        <v>0</v>
      </c>
      <c r="DN81" s="76">
        <v>0</v>
      </c>
      <c r="DO81" s="76">
        <v>0</v>
      </c>
      <c r="DP81" s="76">
        <v>0</v>
      </c>
      <c r="DQ81" s="76">
        <v>0</v>
      </c>
      <c r="DR81" s="76">
        <v>0</v>
      </c>
      <c r="DS81" s="76">
        <v>0</v>
      </c>
      <c r="DT81" s="76">
        <v>0</v>
      </c>
      <c r="DU81" s="76">
        <v>0</v>
      </c>
      <c r="DV81" s="76">
        <v>0</v>
      </c>
      <c r="DW81" s="76">
        <v>0</v>
      </c>
      <c r="DX81" s="76">
        <v>0</v>
      </c>
      <c r="DY81" s="76">
        <v>0</v>
      </c>
      <c r="DZ81" s="76">
        <v>0</v>
      </c>
      <c r="EA81" s="76">
        <v>0</v>
      </c>
      <c r="EB81" s="76">
        <v>139</v>
      </c>
      <c r="EC81" s="76">
        <v>0</v>
      </c>
      <c r="ED81" s="76">
        <v>3086</v>
      </c>
      <c r="EE81" s="76">
        <v>-2947</v>
      </c>
      <c r="EF81" s="76">
        <v>139</v>
      </c>
      <c r="EG81" s="76">
        <v>0</v>
      </c>
      <c r="EH81" s="76">
        <v>3086</v>
      </c>
      <c r="EI81" s="76">
        <v>-2947</v>
      </c>
      <c r="EJ81" s="76">
        <v>2056</v>
      </c>
      <c r="EK81" s="76">
        <v>833</v>
      </c>
      <c r="EL81" s="76">
        <v>3741</v>
      </c>
      <c r="EM81" s="76">
        <v>-2518</v>
      </c>
      <c r="EN81" s="76">
        <v>421</v>
      </c>
      <c r="EO81" s="76">
        <v>164</v>
      </c>
      <c r="EP81" s="76">
        <v>61</v>
      </c>
      <c r="EQ81" s="76">
        <v>164</v>
      </c>
      <c r="ER81" s="76">
        <v>275728</v>
      </c>
      <c r="ES81" s="76">
        <v>0</v>
      </c>
      <c r="ET81" s="76">
        <v>275728</v>
      </c>
      <c r="EU81" s="76">
        <v>29733</v>
      </c>
      <c r="EV81" s="76">
        <v>-1499</v>
      </c>
      <c r="EW81" s="76">
        <v>0</v>
      </c>
      <c r="EX81" s="76">
        <v>0</v>
      </c>
      <c r="EY81" s="76">
        <v>-108</v>
      </c>
      <c r="EZ81" s="76">
        <v>303854</v>
      </c>
      <c r="FA81" s="76">
        <v>21023</v>
      </c>
      <c r="FB81" s="76">
        <v>4753</v>
      </c>
      <c r="FC81" s="76">
        <v>0</v>
      </c>
      <c r="FD81" s="76">
        <v>0</v>
      </c>
      <c r="FE81" s="76">
        <v>-108</v>
      </c>
      <c r="FF81" s="76">
        <v>0</v>
      </c>
      <c r="FG81" s="76">
        <v>0</v>
      </c>
      <c r="FH81" s="76">
        <v>25668</v>
      </c>
      <c r="FI81" s="76">
        <v>278186</v>
      </c>
      <c r="FJ81" s="76">
        <v>254705</v>
      </c>
      <c r="FK81" s="76">
        <v>29</v>
      </c>
      <c r="FL81" s="76">
        <v>5</v>
      </c>
      <c r="FM81" s="76">
        <v>24</v>
      </c>
      <c r="FN81" s="76">
        <v>721</v>
      </c>
      <c r="FO81" s="76">
        <v>1247</v>
      </c>
      <c r="FP81" s="76">
        <v>-526</v>
      </c>
      <c r="FQ81" s="76">
        <v>0</v>
      </c>
      <c r="FR81" s="76">
        <v>0</v>
      </c>
      <c r="FS81" s="76">
        <v>0</v>
      </c>
      <c r="FT81" s="76">
        <v>346</v>
      </c>
      <c r="FU81" s="76">
        <v>42</v>
      </c>
      <c r="FV81" s="76">
        <v>304</v>
      </c>
      <c r="FW81" s="76">
        <v>0</v>
      </c>
      <c r="FX81" s="76">
        <v>0</v>
      </c>
      <c r="FY81" s="76">
        <v>0</v>
      </c>
      <c r="FZ81" s="76">
        <v>135</v>
      </c>
      <c r="GA81" s="76">
        <v>0</v>
      </c>
      <c r="GB81" s="76">
        <v>135</v>
      </c>
      <c r="GC81" s="76">
        <v>1231</v>
      </c>
      <c r="GD81" s="76">
        <v>1294</v>
      </c>
      <c r="GE81" s="76">
        <v>-63</v>
      </c>
      <c r="GF81" s="76">
        <v>0</v>
      </c>
      <c r="GG81" s="76">
        <v>0</v>
      </c>
      <c r="GH81" s="76">
        <v>0</v>
      </c>
      <c r="GI81" s="76">
        <v>0</v>
      </c>
      <c r="GJ81" s="76">
        <v>0</v>
      </c>
      <c r="GK81" s="76">
        <v>278</v>
      </c>
      <c r="GL81" s="76">
        <v>278</v>
      </c>
      <c r="GM81" s="76">
        <v>1248</v>
      </c>
      <c r="GN81" s="76">
        <v>565</v>
      </c>
      <c r="GO81" s="76">
        <v>0</v>
      </c>
      <c r="GP81" s="76">
        <v>0</v>
      </c>
      <c r="GQ81" s="76">
        <v>0</v>
      </c>
      <c r="GR81" s="76">
        <v>11559</v>
      </c>
      <c r="GS81" s="76">
        <v>0</v>
      </c>
      <c r="GT81" s="76">
        <v>0</v>
      </c>
      <c r="GU81" s="76">
        <v>0</v>
      </c>
      <c r="GV81" s="76">
        <v>0</v>
      </c>
      <c r="GW81" s="76">
        <v>0</v>
      </c>
      <c r="GX81" s="76">
        <v>13372</v>
      </c>
      <c r="GY81" s="76">
        <v>0</v>
      </c>
      <c r="GZ81" s="76">
        <v>144</v>
      </c>
      <c r="HA81" s="76">
        <v>8555</v>
      </c>
      <c r="HB81" s="76">
        <v>6627</v>
      </c>
      <c r="HC81" s="76">
        <v>15326</v>
      </c>
      <c r="HD81" s="76">
        <v>0</v>
      </c>
      <c r="HE81" s="76">
        <v>0</v>
      </c>
      <c r="HF81" s="76">
        <v>0</v>
      </c>
      <c r="HG81" s="76">
        <v>5425</v>
      </c>
      <c r="HH81" s="76">
        <v>10</v>
      </c>
      <c r="HI81" s="76">
        <v>208</v>
      </c>
      <c r="HJ81" s="76">
        <v>0</v>
      </c>
      <c r="HK81" s="76">
        <v>7</v>
      </c>
      <c r="HL81" s="76">
        <v>-353</v>
      </c>
      <c r="HM81" s="76">
        <v>5297</v>
      </c>
      <c r="HN81" s="76">
        <v>3327</v>
      </c>
      <c r="HO81" s="76">
        <v>5282</v>
      </c>
      <c r="HP81" s="76">
        <v>0</v>
      </c>
      <c r="HQ81" s="76">
        <v>80</v>
      </c>
      <c r="HR81" s="76">
        <v>-62</v>
      </c>
      <c r="HS81" s="76">
        <v>0</v>
      </c>
      <c r="HT81" s="76">
        <v>7924</v>
      </c>
      <c r="HU81" s="76">
        <v>1</v>
      </c>
      <c r="HV81" s="76">
        <v>0</v>
      </c>
      <c r="HW81" s="76">
        <v>0</v>
      </c>
      <c r="HX81" s="76">
        <v>477</v>
      </c>
    </row>
    <row r="82" spans="1:232" x14ac:dyDescent="0.2">
      <c r="A82" s="74" t="s">
        <v>407</v>
      </c>
      <c r="B82" s="74" t="s">
        <v>406</v>
      </c>
      <c r="C82" s="75" t="s">
        <v>865</v>
      </c>
      <c r="D82" s="75">
        <v>12</v>
      </c>
      <c r="E82" s="76">
        <v>85838</v>
      </c>
      <c r="F82" s="76">
        <v>-13767</v>
      </c>
      <c r="G82" s="76">
        <v>-49217</v>
      </c>
      <c r="H82" s="76">
        <v>22854</v>
      </c>
      <c r="I82" s="76">
        <v>3531</v>
      </c>
      <c r="J82" s="76">
        <v>0</v>
      </c>
      <c r="K82" s="76">
        <v>0</v>
      </c>
      <c r="L82" s="76">
        <v>0</v>
      </c>
      <c r="M82" s="76">
        <v>170</v>
      </c>
      <c r="N82" s="76">
        <v>-15459</v>
      </c>
      <c r="O82" s="76">
        <v>0</v>
      </c>
      <c r="P82" s="76">
        <v>92</v>
      </c>
      <c r="Q82" s="76">
        <v>0</v>
      </c>
      <c r="R82" s="76">
        <v>0</v>
      </c>
      <c r="S82" s="76">
        <v>11188</v>
      </c>
      <c r="T82" s="76">
        <v>-373</v>
      </c>
      <c r="U82" s="76">
        <v>10815</v>
      </c>
      <c r="V82" s="76">
        <v>0</v>
      </c>
      <c r="W82" s="76">
        <v>-1962</v>
      </c>
      <c r="X82" s="76">
        <v>0</v>
      </c>
      <c r="Y82" s="76">
        <v>1737</v>
      </c>
      <c r="Z82" s="76">
        <v>10590</v>
      </c>
      <c r="AA82" s="76">
        <v>56927</v>
      </c>
      <c r="AB82" s="76">
        <v>3207</v>
      </c>
      <c r="AC82" s="76">
        <v>60134</v>
      </c>
      <c r="AD82" s="76">
        <v>227</v>
      </c>
      <c r="AE82" s="76">
        <v>0</v>
      </c>
      <c r="AF82" s="76">
        <v>2732</v>
      </c>
      <c r="AG82" s="76">
        <v>401</v>
      </c>
      <c r="AH82" s="76">
        <v>63494</v>
      </c>
      <c r="AI82" s="76">
        <v>12583</v>
      </c>
      <c r="AJ82" s="76">
        <v>2999</v>
      </c>
      <c r="AK82" s="76">
        <v>8692</v>
      </c>
      <c r="AL82" s="76">
        <v>4524</v>
      </c>
      <c r="AM82" s="76">
        <v>0</v>
      </c>
      <c r="AN82" s="76">
        <v>361</v>
      </c>
      <c r="AO82" s="76">
        <v>11856</v>
      </c>
      <c r="AP82" s="76">
        <v>0</v>
      </c>
      <c r="AQ82" s="76">
        <v>0</v>
      </c>
      <c r="AR82" s="76">
        <v>41015</v>
      </c>
      <c r="AS82" s="76">
        <v>22479</v>
      </c>
      <c r="AT82" s="76">
        <v>609</v>
      </c>
      <c r="AU82" s="76">
        <v>668841</v>
      </c>
      <c r="AV82" s="76">
        <v>0</v>
      </c>
      <c r="AW82" s="76">
        <v>7823</v>
      </c>
      <c r="AX82" s="76">
        <v>0</v>
      </c>
      <c r="AY82" s="76">
        <v>0</v>
      </c>
      <c r="AZ82" s="76">
        <v>6923</v>
      </c>
      <c r="BA82" s="76">
        <v>0</v>
      </c>
      <c r="BB82" s="76">
        <v>0</v>
      </c>
      <c r="BC82" s="76">
        <v>0</v>
      </c>
      <c r="BD82" s="76">
        <v>0</v>
      </c>
      <c r="BE82" s="76">
        <v>683587</v>
      </c>
      <c r="BF82" s="76">
        <v>11729</v>
      </c>
      <c r="BG82" s="76">
        <v>4710</v>
      </c>
      <c r="BH82" s="76">
        <v>74431</v>
      </c>
      <c r="BI82" s="76">
        <v>537</v>
      </c>
      <c r="BJ82" s="76">
        <v>827</v>
      </c>
      <c r="BK82" s="76">
        <v>92234</v>
      </c>
      <c r="BL82" s="76">
        <v>9115</v>
      </c>
      <c r="BM82" s="76">
        <v>482</v>
      </c>
      <c r="BN82" s="76">
        <v>0</v>
      </c>
      <c r="BO82" s="76">
        <v>12846</v>
      </c>
      <c r="BP82" s="76">
        <v>22443</v>
      </c>
      <c r="BQ82" s="76">
        <v>69791</v>
      </c>
      <c r="BR82" s="76">
        <v>753378</v>
      </c>
      <c r="BS82" s="76">
        <v>365844</v>
      </c>
      <c r="BT82" s="76">
        <v>0</v>
      </c>
      <c r="BU82" s="76">
        <v>0</v>
      </c>
      <c r="BV82" s="76">
        <v>18446</v>
      </c>
      <c r="BW82" s="76">
        <v>0</v>
      </c>
      <c r="BX82" s="76">
        <v>0</v>
      </c>
      <c r="BY82" s="76">
        <v>3022</v>
      </c>
      <c r="BZ82" s="76">
        <v>387312</v>
      </c>
      <c r="CA82" s="76">
        <v>8410</v>
      </c>
      <c r="CB82" s="76">
        <v>5765</v>
      </c>
      <c r="CC82" s="76">
        <v>351891</v>
      </c>
      <c r="CD82" s="76">
        <v>74632</v>
      </c>
      <c r="CE82" s="76">
        <v>277228</v>
      </c>
      <c r="CF82" s="76">
        <v>31</v>
      </c>
      <c r="CG82" s="76">
        <v>0</v>
      </c>
      <c r="CH82" s="76">
        <v>0</v>
      </c>
      <c r="CI82" s="76">
        <v>351891</v>
      </c>
      <c r="CJ82" s="76">
        <v>4376</v>
      </c>
      <c r="CK82" s="76">
        <v>3593</v>
      </c>
      <c r="CL82" s="76">
        <v>0</v>
      </c>
      <c r="CM82" s="76">
        <v>783</v>
      </c>
      <c r="CN82" s="76">
        <v>2284</v>
      </c>
      <c r="CO82" s="76">
        <v>0</v>
      </c>
      <c r="CP82" s="76">
        <v>2093</v>
      </c>
      <c r="CQ82" s="76">
        <v>191</v>
      </c>
      <c r="CR82" s="76">
        <v>31</v>
      </c>
      <c r="CS82" s="76">
        <v>0</v>
      </c>
      <c r="CT82" s="76">
        <v>0</v>
      </c>
      <c r="CU82" s="76">
        <v>31</v>
      </c>
      <c r="CV82" s="76">
        <v>0</v>
      </c>
      <c r="CW82" s="76">
        <v>0</v>
      </c>
      <c r="CX82" s="76">
        <v>0</v>
      </c>
      <c r="CY82" s="76">
        <v>0</v>
      </c>
      <c r="CZ82" s="76">
        <v>246</v>
      </c>
      <c r="DA82" s="76">
        <v>0</v>
      </c>
      <c r="DB82" s="76">
        <v>1521</v>
      </c>
      <c r="DC82" s="76">
        <v>-1275</v>
      </c>
      <c r="DD82" s="76">
        <v>6937</v>
      </c>
      <c r="DE82" s="76">
        <v>3593</v>
      </c>
      <c r="DF82" s="76">
        <v>3614</v>
      </c>
      <c r="DG82" s="76">
        <v>-270</v>
      </c>
      <c r="DH82" s="76">
        <v>10679</v>
      </c>
      <c r="DI82" s="76">
        <v>10174</v>
      </c>
      <c r="DJ82" s="76">
        <v>0</v>
      </c>
      <c r="DK82" s="76">
        <v>505</v>
      </c>
      <c r="DL82" s="76">
        <v>128</v>
      </c>
      <c r="DM82" s="76">
        <v>0</v>
      </c>
      <c r="DN82" s="76">
        <v>175</v>
      </c>
      <c r="DO82" s="76">
        <v>-47</v>
      </c>
      <c r="DP82" s="76">
        <v>0</v>
      </c>
      <c r="DQ82" s="76">
        <v>0</v>
      </c>
      <c r="DR82" s="76">
        <v>0</v>
      </c>
      <c r="DS82" s="76">
        <v>0</v>
      </c>
      <c r="DT82" s="76">
        <v>326</v>
      </c>
      <c r="DU82" s="76">
        <v>0</v>
      </c>
      <c r="DV82" s="76">
        <v>131</v>
      </c>
      <c r="DW82" s="76">
        <v>195</v>
      </c>
      <c r="DX82" s="76">
        <v>0</v>
      </c>
      <c r="DY82" s="76">
        <v>0</v>
      </c>
      <c r="DZ82" s="76">
        <v>0</v>
      </c>
      <c r="EA82" s="76">
        <v>0</v>
      </c>
      <c r="EB82" s="76">
        <v>4274</v>
      </c>
      <c r="EC82" s="76">
        <v>0</v>
      </c>
      <c r="ED82" s="76">
        <v>4282</v>
      </c>
      <c r="EE82" s="76">
        <v>-8</v>
      </c>
      <c r="EF82" s="76">
        <v>15407</v>
      </c>
      <c r="EG82" s="76">
        <v>10174</v>
      </c>
      <c r="EH82" s="76">
        <v>4588</v>
      </c>
      <c r="EI82" s="76">
        <v>645</v>
      </c>
      <c r="EJ82" s="76">
        <v>22344</v>
      </c>
      <c r="EK82" s="76">
        <v>13767</v>
      </c>
      <c r="EL82" s="76">
        <v>8202</v>
      </c>
      <c r="EM82" s="76">
        <v>375</v>
      </c>
      <c r="EN82" s="76">
        <v>1892</v>
      </c>
      <c r="EO82" s="76">
        <v>1594</v>
      </c>
      <c r="EP82" s="76">
        <v>90</v>
      </c>
      <c r="EQ82" s="76">
        <v>1594</v>
      </c>
      <c r="ER82" s="76">
        <v>708403</v>
      </c>
      <c r="ES82" s="76">
        <v>0</v>
      </c>
      <c r="ET82" s="76">
        <v>708403</v>
      </c>
      <c r="EU82" s="76">
        <v>26075</v>
      </c>
      <c r="EV82" s="76">
        <v>-6299</v>
      </c>
      <c r="EW82" s="76">
        <v>0</v>
      </c>
      <c r="EX82" s="76">
        <v>0</v>
      </c>
      <c r="EY82" s="76">
        <v>811</v>
      </c>
      <c r="EZ82" s="76">
        <v>728990</v>
      </c>
      <c r="FA82" s="76">
        <v>50731</v>
      </c>
      <c r="FB82" s="76">
        <v>11863</v>
      </c>
      <c r="FC82" s="76">
        <v>0</v>
      </c>
      <c r="FD82" s="76">
        <v>0</v>
      </c>
      <c r="FE82" s="76">
        <v>-2445</v>
      </c>
      <c r="FF82" s="76">
        <v>0</v>
      </c>
      <c r="FG82" s="76">
        <v>0</v>
      </c>
      <c r="FH82" s="76">
        <v>60149</v>
      </c>
      <c r="FI82" s="76">
        <v>668841</v>
      </c>
      <c r="FJ82" s="76">
        <v>657672</v>
      </c>
      <c r="FK82" s="76">
        <v>2503</v>
      </c>
      <c r="FL82" s="76">
        <v>1571</v>
      </c>
      <c r="FM82" s="76">
        <v>932</v>
      </c>
      <c r="FN82" s="76">
        <v>551</v>
      </c>
      <c r="FO82" s="76">
        <v>734</v>
      </c>
      <c r="FP82" s="76">
        <v>-183</v>
      </c>
      <c r="FQ82" s="76">
        <v>180</v>
      </c>
      <c r="FR82" s="76">
        <v>41</v>
      </c>
      <c r="FS82" s="76">
        <v>139</v>
      </c>
      <c r="FT82" s="76">
        <v>4404</v>
      </c>
      <c r="FU82" s="76">
        <v>1778</v>
      </c>
      <c r="FV82" s="76">
        <v>2626</v>
      </c>
      <c r="FW82" s="76">
        <v>0</v>
      </c>
      <c r="FX82" s="76">
        <v>0</v>
      </c>
      <c r="FY82" s="76">
        <v>0</v>
      </c>
      <c r="FZ82" s="76">
        <v>1</v>
      </c>
      <c r="GA82" s="76">
        <v>-16</v>
      </c>
      <c r="GB82" s="76">
        <v>17</v>
      </c>
      <c r="GC82" s="76">
        <v>7639</v>
      </c>
      <c r="GD82" s="76">
        <v>4108</v>
      </c>
      <c r="GE82" s="76">
        <v>3531</v>
      </c>
      <c r="GF82" s="76">
        <v>0</v>
      </c>
      <c r="GG82" s="76">
        <v>0</v>
      </c>
      <c r="GH82" s="76">
        <v>0</v>
      </c>
      <c r="GI82" s="76">
        <v>0</v>
      </c>
      <c r="GJ82" s="76">
        <v>0</v>
      </c>
      <c r="GK82" s="76">
        <v>827</v>
      </c>
      <c r="GL82" s="76">
        <v>827</v>
      </c>
      <c r="GM82" s="76">
        <v>2514</v>
      </c>
      <c r="GN82" s="76">
        <v>1230</v>
      </c>
      <c r="GO82" s="76">
        <v>0</v>
      </c>
      <c r="GP82" s="76">
        <v>498</v>
      </c>
      <c r="GQ82" s="76">
        <v>0</v>
      </c>
      <c r="GR82" s="76">
        <v>4173</v>
      </c>
      <c r="GS82" s="76">
        <v>0</v>
      </c>
      <c r="GT82" s="76">
        <v>0</v>
      </c>
      <c r="GU82" s="76">
        <v>0</v>
      </c>
      <c r="GV82" s="76">
        <v>0</v>
      </c>
      <c r="GW82" s="76">
        <v>4431</v>
      </c>
      <c r="GX82" s="76">
        <v>12846</v>
      </c>
      <c r="GY82" s="76">
        <v>1044</v>
      </c>
      <c r="GZ82" s="76">
        <v>171</v>
      </c>
      <c r="HA82" s="76">
        <v>0</v>
      </c>
      <c r="HB82" s="76">
        <v>1807</v>
      </c>
      <c r="HC82" s="76">
        <v>3022</v>
      </c>
      <c r="HD82" s="76">
        <v>0</v>
      </c>
      <c r="HE82" s="76">
        <v>5765</v>
      </c>
      <c r="HF82" s="76">
        <v>5765</v>
      </c>
      <c r="HG82" s="76">
        <v>15512</v>
      </c>
      <c r="HH82" s="76">
        <v>0</v>
      </c>
      <c r="HI82" s="76">
        <v>226</v>
      </c>
      <c r="HJ82" s="76">
        <v>0</v>
      </c>
      <c r="HK82" s="76">
        <v>147</v>
      </c>
      <c r="HL82" s="76">
        <v>-426</v>
      </c>
      <c r="HM82" s="76">
        <v>15459</v>
      </c>
      <c r="HN82" s="76">
        <v>6210</v>
      </c>
      <c r="HO82" s="76">
        <v>13235</v>
      </c>
      <c r="HP82" s="76">
        <v>0</v>
      </c>
      <c r="HQ82" s="76">
        <v>125</v>
      </c>
      <c r="HR82" s="76">
        <v>-100</v>
      </c>
      <c r="HS82" s="76">
        <v>-339</v>
      </c>
      <c r="HT82" s="76">
        <v>11295</v>
      </c>
      <c r="HU82" s="76">
        <v>0</v>
      </c>
      <c r="HV82" s="76">
        <v>0</v>
      </c>
      <c r="HW82" s="76">
        <v>1</v>
      </c>
      <c r="HX82" s="76">
        <v>93</v>
      </c>
    </row>
    <row r="83" spans="1:232" x14ac:dyDescent="0.2">
      <c r="A83" s="74" t="s">
        <v>412</v>
      </c>
      <c r="B83" s="74" t="s">
        <v>413</v>
      </c>
      <c r="C83" s="75" t="s">
        <v>200</v>
      </c>
      <c r="D83" s="75">
        <v>12</v>
      </c>
      <c r="E83" s="76">
        <v>23077</v>
      </c>
      <c r="F83" s="76">
        <v>0</v>
      </c>
      <c r="G83" s="76">
        <v>-17573</v>
      </c>
      <c r="H83" s="76">
        <v>5504</v>
      </c>
      <c r="I83" s="76">
        <v>0</v>
      </c>
      <c r="J83" s="76">
        <v>0</v>
      </c>
      <c r="K83" s="76">
        <v>0</v>
      </c>
      <c r="L83" s="76">
        <v>0</v>
      </c>
      <c r="M83" s="76">
        <v>12</v>
      </c>
      <c r="N83" s="76">
        <v>-2933</v>
      </c>
      <c r="O83" s="76">
        <v>0</v>
      </c>
      <c r="P83" s="76">
        <v>0</v>
      </c>
      <c r="Q83" s="76">
        <v>0</v>
      </c>
      <c r="R83" s="76">
        <v>0</v>
      </c>
      <c r="S83" s="76">
        <v>2583</v>
      </c>
      <c r="T83" s="76">
        <v>-44</v>
      </c>
      <c r="U83" s="76">
        <v>2539</v>
      </c>
      <c r="V83" s="76">
        <v>0</v>
      </c>
      <c r="W83" s="76">
        <v>0</v>
      </c>
      <c r="X83" s="76">
        <v>0</v>
      </c>
      <c r="Y83" s="76">
        <v>0</v>
      </c>
      <c r="Z83" s="76">
        <v>2539</v>
      </c>
      <c r="AA83" s="76">
        <v>17047</v>
      </c>
      <c r="AB83" s="76">
        <v>2859</v>
      </c>
      <c r="AC83" s="76">
        <v>19906</v>
      </c>
      <c r="AD83" s="76">
        <v>1328</v>
      </c>
      <c r="AE83" s="76">
        <v>0</v>
      </c>
      <c r="AF83" s="76">
        <v>308</v>
      </c>
      <c r="AG83" s="76">
        <v>0</v>
      </c>
      <c r="AH83" s="76">
        <v>21542</v>
      </c>
      <c r="AI83" s="76">
        <v>3713</v>
      </c>
      <c r="AJ83" s="76">
        <v>3700</v>
      </c>
      <c r="AK83" s="76">
        <v>3056</v>
      </c>
      <c r="AL83" s="76">
        <v>1655</v>
      </c>
      <c r="AM83" s="76">
        <v>589</v>
      </c>
      <c r="AN83" s="76">
        <v>82</v>
      </c>
      <c r="AO83" s="76">
        <v>3287</v>
      </c>
      <c r="AP83" s="76">
        <v>0</v>
      </c>
      <c r="AQ83" s="76">
        <v>191</v>
      </c>
      <c r="AR83" s="76">
        <v>16273</v>
      </c>
      <c r="AS83" s="76">
        <v>5269</v>
      </c>
      <c r="AT83" s="76">
        <v>149</v>
      </c>
      <c r="AU83" s="76">
        <v>198241</v>
      </c>
      <c r="AV83" s="76">
        <v>0</v>
      </c>
      <c r="AW83" s="76">
        <v>7082</v>
      </c>
      <c r="AX83" s="76">
        <v>0</v>
      </c>
      <c r="AY83" s="76">
        <v>0</v>
      </c>
      <c r="AZ83" s="76">
        <v>0</v>
      </c>
      <c r="BA83" s="76">
        <v>0</v>
      </c>
      <c r="BB83" s="76">
        <v>0</v>
      </c>
      <c r="BC83" s="76">
        <v>0</v>
      </c>
      <c r="BD83" s="76">
        <v>0</v>
      </c>
      <c r="BE83" s="76">
        <v>205323</v>
      </c>
      <c r="BF83" s="76">
        <v>0</v>
      </c>
      <c r="BG83" s="76">
        <v>55</v>
      </c>
      <c r="BH83" s="76">
        <v>5419</v>
      </c>
      <c r="BI83" s="76">
        <v>0</v>
      </c>
      <c r="BJ83" s="76">
        <v>1402</v>
      </c>
      <c r="BK83" s="76">
        <v>6876</v>
      </c>
      <c r="BL83" s="76">
        <v>2317</v>
      </c>
      <c r="BM83" s="76">
        <v>0</v>
      </c>
      <c r="BN83" s="76">
        <v>1822</v>
      </c>
      <c r="BO83" s="76">
        <v>3511</v>
      </c>
      <c r="BP83" s="76">
        <v>7650</v>
      </c>
      <c r="BQ83" s="76">
        <v>-774</v>
      </c>
      <c r="BR83" s="76">
        <v>204549</v>
      </c>
      <c r="BS83" s="76">
        <v>45627</v>
      </c>
      <c r="BT83" s="76">
        <v>0</v>
      </c>
      <c r="BU83" s="76">
        <v>0</v>
      </c>
      <c r="BV83" s="76">
        <v>105949</v>
      </c>
      <c r="BW83" s="76">
        <v>0</v>
      </c>
      <c r="BX83" s="76">
        <v>0</v>
      </c>
      <c r="BY83" s="76">
        <v>78</v>
      </c>
      <c r="BZ83" s="76">
        <v>151654</v>
      </c>
      <c r="CA83" s="76">
        <v>2359</v>
      </c>
      <c r="CB83" s="76">
        <v>0</v>
      </c>
      <c r="CC83" s="76">
        <v>50536</v>
      </c>
      <c r="CD83" s="76">
        <v>50507</v>
      </c>
      <c r="CE83" s="76">
        <v>0</v>
      </c>
      <c r="CF83" s="76">
        <v>29</v>
      </c>
      <c r="CG83" s="76">
        <v>0</v>
      </c>
      <c r="CH83" s="76">
        <v>0</v>
      </c>
      <c r="CI83" s="76">
        <v>50536</v>
      </c>
      <c r="CJ83" s="76">
        <v>0</v>
      </c>
      <c r="CK83" s="76">
        <v>0</v>
      </c>
      <c r="CL83" s="76">
        <v>0</v>
      </c>
      <c r="CM83" s="76">
        <v>0</v>
      </c>
      <c r="CN83" s="76">
        <v>0</v>
      </c>
      <c r="CO83" s="76">
        <v>0</v>
      </c>
      <c r="CP83" s="76">
        <v>0</v>
      </c>
      <c r="CQ83" s="76">
        <v>0</v>
      </c>
      <c r="CR83" s="76">
        <v>0</v>
      </c>
      <c r="CS83" s="76">
        <v>0</v>
      </c>
      <c r="CT83" s="76">
        <v>0</v>
      </c>
      <c r="CU83" s="76">
        <v>0</v>
      </c>
      <c r="CV83" s="76">
        <v>0</v>
      </c>
      <c r="CW83" s="76">
        <v>0</v>
      </c>
      <c r="CX83" s="76">
        <v>0</v>
      </c>
      <c r="CY83" s="76">
        <v>0</v>
      </c>
      <c r="CZ83" s="76">
        <v>86</v>
      </c>
      <c r="DA83" s="76">
        <v>0</v>
      </c>
      <c r="DB83" s="76">
        <v>0</v>
      </c>
      <c r="DC83" s="76">
        <v>86</v>
      </c>
      <c r="DD83" s="76">
        <v>86</v>
      </c>
      <c r="DE83" s="76">
        <v>0</v>
      </c>
      <c r="DF83" s="76">
        <v>0</v>
      </c>
      <c r="DG83" s="76">
        <v>86</v>
      </c>
      <c r="DH83" s="76">
        <v>0</v>
      </c>
      <c r="DI83" s="76">
        <v>0</v>
      </c>
      <c r="DJ83" s="76">
        <v>0</v>
      </c>
      <c r="DK83" s="76">
        <v>0</v>
      </c>
      <c r="DL83" s="76">
        <v>0</v>
      </c>
      <c r="DM83" s="76">
        <v>0</v>
      </c>
      <c r="DN83" s="76">
        <v>0</v>
      </c>
      <c r="DO83" s="76">
        <v>0</v>
      </c>
      <c r="DP83" s="76">
        <v>0</v>
      </c>
      <c r="DQ83" s="76">
        <v>0</v>
      </c>
      <c r="DR83" s="76">
        <v>0</v>
      </c>
      <c r="DS83" s="76">
        <v>0</v>
      </c>
      <c r="DT83" s="76">
        <v>0</v>
      </c>
      <c r="DU83" s="76">
        <v>0</v>
      </c>
      <c r="DV83" s="76">
        <v>0</v>
      </c>
      <c r="DW83" s="76">
        <v>0</v>
      </c>
      <c r="DX83" s="76">
        <v>0</v>
      </c>
      <c r="DY83" s="76">
        <v>0</v>
      </c>
      <c r="DZ83" s="76">
        <v>0</v>
      </c>
      <c r="EA83" s="76">
        <v>0</v>
      </c>
      <c r="EB83" s="76">
        <v>1449</v>
      </c>
      <c r="EC83" s="76">
        <v>0</v>
      </c>
      <c r="ED83" s="76">
        <v>1300</v>
      </c>
      <c r="EE83" s="76">
        <v>149</v>
      </c>
      <c r="EF83" s="76">
        <v>1449</v>
      </c>
      <c r="EG83" s="76">
        <v>0</v>
      </c>
      <c r="EH83" s="76">
        <v>1300</v>
      </c>
      <c r="EI83" s="76">
        <v>149</v>
      </c>
      <c r="EJ83" s="76">
        <v>1535</v>
      </c>
      <c r="EK83" s="76">
        <v>0</v>
      </c>
      <c r="EL83" s="76">
        <v>1300</v>
      </c>
      <c r="EM83" s="76">
        <v>235</v>
      </c>
      <c r="EN83" s="76">
        <v>977</v>
      </c>
      <c r="EO83" s="76">
        <v>276</v>
      </c>
      <c r="EP83" s="76">
        <v>53</v>
      </c>
      <c r="EQ83" s="76">
        <v>276</v>
      </c>
      <c r="ER83" s="76">
        <v>241843</v>
      </c>
      <c r="ES83" s="76">
        <v>0</v>
      </c>
      <c r="ET83" s="76">
        <v>241843</v>
      </c>
      <c r="EU83" s="76">
        <v>3823</v>
      </c>
      <c r="EV83" s="76">
        <v>-780</v>
      </c>
      <c r="EW83" s="76">
        <v>0</v>
      </c>
      <c r="EX83" s="76">
        <v>0</v>
      </c>
      <c r="EY83" s="76">
        <v>0</v>
      </c>
      <c r="EZ83" s="76">
        <v>244886</v>
      </c>
      <c r="FA83" s="76">
        <v>44138</v>
      </c>
      <c r="FB83" s="76">
        <v>3287</v>
      </c>
      <c r="FC83" s="76">
        <v>0</v>
      </c>
      <c r="FD83" s="76">
        <v>0</v>
      </c>
      <c r="FE83" s="76">
        <v>-780</v>
      </c>
      <c r="FF83" s="76">
        <v>0</v>
      </c>
      <c r="FG83" s="76">
        <v>0</v>
      </c>
      <c r="FH83" s="76">
        <v>46645</v>
      </c>
      <c r="FI83" s="76">
        <v>198241</v>
      </c>
      <c r="FJ83" s="76">
        <v>197705</v>
      </c>
      <c r="FK83" s="76">
        <v>0</v>
      </c>
      <c r="FL83" s="76">
        <v>0</v>
      </c>
      <c r="FM83" s="76">
        <v>0</v>
      </c>
      <c r="FN83" s="76">
        <v>0</v>
      </c>
      <c r="FO83" s="76">
        <v>0</v>
      </c>
      <c r="FP83" s="76">
        <v>0</v>
      </c>
      <c r="FQ83" s="76">
        <v>0</v>
      </c>
      <c r="FR83" s="76">
        <v>0</v>
      </c>
      <c r="FS83" s="76">
        <v>0</v>
      </c>
      <c r="FT83" s="76">
        <v>0</v>
      </c>
      <c r="FU83" s="76">
        <v>0</v>
      </c>
      <c r="FV83" s="76">
        <v>0</v>
      </c>
      <c r="FW83" s="76">
        <v>0</v>
      </c>
      <c r="FX83" s="76">
        <v>0</v>
      </c>
      <c r="FY83" s="76">
        <v>0</v>
      </c>
      <c r="FZ83" s="76">
        <v>0</v>
      </c>
      <c r="GA83" s="76">
        <v>0</v>
      </c>
      <c r="GB83" s="76">
        <v>0</v>
      </c>
      <c r="GC83" s="76">
        <v>0</v>
      </c>
      <c r="GD83" s="76">
        <v>0</v>
      </c>
      <c r="GE83" s="76">
        <v>0</v>
      </c>
      <c r="GF83" s="76">
        <v>0</v>
      </c>
      <c r="GG83" s="76">
        <v>55</v>
      </c>
      <c r="GH83" s="76">
        <v>0</v>
      </c>
      <c r="GI83" s="76">
        <v>0</v>
      </c>
      <c r="GJ83" s="76">
        <v>0</v>
      </c>
      <c r="GK83" s="76">
        <v>1347</v>
      </c>
      <c r="GL83" s="76">
        <v>1402</v>
      </c>
      <c r="GM83" s="76">
        <v>418</v>
      </c>
      <c r="GN83" s="76">
        <v>755</v>
      </c>
      <c r="GO83" s="76">
        <v>0</v>
      </c>
      <c r="GP83" s="76">
        <v>26</v>
      </c>
      <c r="GQ83" s="76">
        <v>0</v>
      </c>
      <c r="GR83" s="76">
        <v>1477</v>
      </c>
      <c r="GS83" s="76">
        <v>0</v>
      </c>
      <c r="GT83" s="76">
        <v>0</v>
      </c>
      <c r="GU83" s="76">
        <v>0</v>
      </c>
      <c r="GV83" s="76">
        <v>0</v>
      </c>
      <c r="GW83" s="76">
        <v>835</v>
      </c>
      <c r="GX83" s="76">
        <v>3511</v>
      </c>
      <c r="GY83" s="76">
        <v>78</v>
      </c>
      <c r="GZ83" s="76">
        <v>0</v>
      </c>
      <c r="HA83" s="76">
        <v>0</v>
      </c>
      <c r="HB83" s="76">
        <v>0</v>
      </c>
      <c r="HC83" s="76">
        <v>78</v>
      </c>
      <c r="HD83" s="76">
        <v>0</v>
      </c>
      <c r="HE83" s="76">
        <v>0</v>
      </c>
      <c r="HF83" s="76">
        <v>0</v>
      </c>
      <c r="HG83" s="76">
        <v>2858</v>
      </c>
      <c r="HH83" s="76">
        <v>0</v>
      </c>
      <c r="HI83" s="76">
        <v>49</v>
      </c>
      <c r="HJ83" s="76">
        <v>0</v>
      </c>
      <c r="HK83" s="76">
        <v>55</v>
      </c>
      <c r="HL83" s="76">
        <v>-29</v>
      </c>
      <c r="HM83" s="76">
        <v>2933</v>
      </c>
      <c r="HN83" s="76">
        <v>2471</v>
      </c>
      <c r="HO83" s="76">
        <v>3735</v>
      </c>
      <c r="HP83" s="76">
        <v>0</v>
      </c>
      <c r="HQ83" s="76">
        <v>16</v>
      </c>
      <c r="HR83" s="76">
        <v>0</v>
      </c>
      <c r="HS83" s="76">
        <v>0</v>
      </c>
      <c r="HT83" s="76">
        <v>3292</v>
      </c>
      <c r="HU83" s="76">
        <v>0</v>
      </c>
      <c r="HV83" s="76">
        <v>0</v>
      </c>
      <c r="HW83" s="76">
        <v>0</v>
      </c>
      <c r="HX83" s="76">
        <v>0</v>
      </c>
    </row>
    <row r="84" spans="1:232" x14ac:dyDescent="0.2">
      <c r="A84" s="74" t="s">
        <v>414</v>
      </c>
      <c r="B84" s="74" t="s">
        <v>415</v>
      </c>
      <c r="C84" s="75" t="s">
        <v>200</v>
      </c>
      <c r="D84" s="75">
        <v>12</v>
      </c>
      <c r="E84" s="76">
        <v>35320</v>
      </c>
      <c r="F84" s="76">
        <v>-1413</v>
      </c>
      <c r="G84" s="76">
        <v>-23080</v>
      </c>
      <c r="H84" s="76">
        <v>10827</v>
      </c>
      <c r="I84" s="76">
        <v>879</v>
      </c>
      <c r="J84" s="76">
        <v>0</v>
      </c>
      <c r="K84" s="76">
        <v>0</v>
      </c>
      <c r="L84" s="76">
        <v>0</v>
      </c>
      <c r="M84" s="76">
        <v>22</v>
      </c>
      <c r="N84" s="76">
        <v>-5123</v>
      </c>
      <c r="O84" s="76">
        <v>232</v>
      </c>
      <c r="P84" s="76">
        <v>0</v>
      </c>
      <c r="Q84" s="76">
        <v>0</v>
      </c>
      <c r="R84" s="76">
        <v>0</v>
      </c>
      <c r="S84" s="76">
        <v>6837</v>
      </c>
      <c r="T84" s="76">
        <v>0</v>
      </c>
      <c r="U84" s="76">
        <v>6837</v>
      </c>
      <c r="V84" s="76">
        <v>0</v>
      </c>
      <c r="W84" s="76">
        <v>-2378</v>
      </c>
      <c r="X84" s="76">
        <v>0</v>
      </c>
      <c r="Y84" s="76">
        <v>0</v>
      </c>
      <c r="Z84" s="76">
        <v>4459</v>
      </c>
      <c r="AA84" s="76">
        <v>30343</v>
      </c>
      <c r="AB84" s="76">
        <v>1443</v>
      </c>
      <c r="AC84" s="76">
        <v>31786</v>
      </c>
      <c r="AD84" s="76">
        <v>167</v>
      </c>
      <c r="AE84" s="76">
        <v>0</v>
      </c>
      <c r="AF84" s="76">
        <v>0</v>
      </c>
      <c r="AG84" s="76">
        <v>454</v>
      </c>
      <c r="AH84" s="76">
        <v>32407</v>
      </c>
      <c r="AI84" s="76">
        <v>7352</v>
      </c>
      <c r="AJ84" s="76">
        <v>1496</v>
      </c>
      <c r="AK84" s="76">
        <v>4489</v>
      </c>
      <c r="AL84" s="76">
        <v>1280</v>
      </c>
      <c r="AM84" s="76">
        <v>3064</v>
      </c>
      <c r="AN84" s="76">
        <v>436</v>
      </c>
      <c r="AO84" s="76">
        <v>3664</v>
      </c>
      <c r="AP84" s="76">
        <v>0</v>
      </c>
      <c r="AQ84" s="76">
        <v>507</v>
      </c>
      <c r="AR84" s="76">
        <v>22288</v>
      </c>
      <c r="AS84" s="76">
        <v>10119</v>
      </c>
      <c r="AT84" s="76">
        <v>153</v>
      </c>
      <c r="AU84" s="76">
        <v>140975</v>
      </c>
      <c r="AV84" s="76">
        <v>0</v>
      </c>
      <c r="AW84" s="76">
        <v>2785</v>
      </c>
      <c r="AX84" s="76">
        <v>0</v>
      </c>
      <c r="AY84" s="76">
        <v>0</v>
      </c>
      <c r="AZ84" s="76">
        <v>14241</v>
      </c>
      <c r="BA84" s="76">
        <v>0</v>
      </c>
      <c r="BB84" s="76">
        <v>0</v>
      </c>
      <c r="BC84" s="76">
        <v>0</v>
      </c>
      <c r="BD84" s="76">
        <v>0</v>
      </c>
      <c r="BE84" s="76">
        <v>158001</v>
      </c>
      <c r="BF84" s="76">
        <v>521</v>
      </c>
      <c r="BG84" s="76">
        <v>2488</v>
      </c>
      <c r="BH84" s="76">
        <v>6269</v>
      </c>
      <c r="BI84" s="76">
        <v>0</v>
      </c>
      <c r="BJ84" s="76">
        <v>187</v>
      </c>
      <c r="BK84" s="76">
        <v>9465</v>
      </c>
      <c r="BL84" s="76">
        <v>0</v>
      </c>
      <c r="BM84" s="76">
        <v>0</v>
      </c>
      <c r="BN84" s="76">
        <v>167</v>
      </c>
      <c r="BO84" s="76">
        <v>9085</v>
      </c>
      <c r="BP84" s="76">
        <v>9252</v>
      </c>
      <c r="BQ84" s="76">
        <v>213</v>
      </c>
      <c r="BR84" s="76">
        <v>158214</v>
      </c>
      <c r="BS84" s="76">
        <v>111705</v>
      </c>
      <c r="BT84" s="76">
        <v>0</v>
      </c>
      <c r="BU84" s="76">
        <v>0</v>
      </c>
      <c r="BV84" s="76">
        <v>19251</v>
      </c>
      <c r="BW84" s="76">
        <v>0</v>
      </c>
      <c r="BX84" s="76">
        <v>0</v>
      </c>
      <c r="BY84" s="76">
        <v>126</v>
      </c>
      <c r="BZ84" s="76">
        <v>131082</v>
      </c>
      <c r="CA84" s="76">
        <v>1823</v>
      </c>
      <c r="CB84" s="76">
        <v>0</v>
      </c>
      <c r="CC84" s="76">
        <v>25309</v>
      </c>
      <c r="CD84" s="76">
        <v>25309</v>
      </c>
      <c r="CE84" s="76">
        <v>0</v>
      </c>
      <c r="CF84" s="76">
        <v>0</v>
      </c>
      <c r="CG84" s="76">
        <v>0</v>
      </c>
      <c r="CH84" s="76">
        <v>0</v>
      </c>
      <c r="CI84" s="76">
        <v>25309</v>
      </c>
      <c r="CJ84" s="76">
        <v>740</v>
      </c>
      <c r="CK84" s="76">
        <v>705</v>
      </c>
      <c r="CL84" s="76">
        <v>0</v>
      </c>
      <c r="CM84" s="76">
        <v>35</v>
      </c>
      <c r="CN84" s="76">
        <v>0</v>
      </c>
      <c r="CO84" s="76">
        <v>0</v>
      </c>
      <c r="CP84" s="76">
        <v>0</v>
      </c>
      <c r="CQ84" s="76">
        <v>0</v>
      </c>
      <c r="CR84" s="76">
        <v>0</v>
      </c>
      <c r="CS84" s="76">
        <v>0</v>
      </c>
      <c r="CT84" s="76">
        <v>0</v>
      </c>
      <c r="CU84" s="76">
        <v>0</v>
      </c>
      <c r="CV84" s="76">
        <v>0</v>
      </c>
      <c r="CW84" s="76">
        <v>0</v>
      </c>
      <c r="CX84" s="76">
        <v>0</v>
      </c>
      <c r="CY84" s="76">
        <v>0</v>
      </c>
      <c r="CZ84" s="76">
        <v>0</v>
      </c>
      <c r="DA84" s="76">
        <v>0</v>
      </c>
      <c r="DB84" s="76">
        <v>0</v>
      </c>
      <c r="DC84" s="76">
        <v>0</v>
      </c>
      <c r="DD84" s="76">
        <v>740</v>
      </c>
      <c r="DE84" s="76">
        <v>705</v>
      </c>
      <c r="DF84" s="76">
        <v>0</v>
      </c>
      <c r="DG84" s="76">
        <v>35</v>
      </c>
      <c r="DH84" s="76">
        <v>727</v>
      </c>
      <c r="DI84" s="76">
        <v>708</v>
      </c>
      <c r="DJ84" s="76">
        <v>0</v>
      </c>
      <c r="DK84" s="76">
        <v>19</v>
      </c>
      <c r="DL84" s="76">
        <v>0</v>
      </c>
      <c r="DM84" s="76">
        <v>0</v>
      </c>
      <c r="DN84" s="76">
        <v>0</v>
      </c>
      <c r="DO84" s="76">
        <v>0</v>
      </c>
      <c r="DP84" s="76">
        <v>0</v>
      </c>
      <c r="DQ84" s="76">
        <v>0</v>
      </c>
      <c r="DR84" s="76">
        <v>0</v>
      </c>
      <c r="DS84" s="76">
        <v>0</v>
      </c>
      <c r="DT84" s="76">
        <v>904</v>
      </c>
      <c r="DU84" s="76">
        <v>0</v>
      </c>
      <c r="DV84" s="76">
        <v>389</v>
      </c>
      <c r="DW84" s="76">
        <v>515</v>
      </c>
      <c r="DX84" s="76">
        <v>0</v>
      </c>
      <c r="DY84" s="76">
        <v>0</v>
      </c>
      <c r="DZ84" s="76">
        <v>0</v>
      </c>
      <c r="EA84" s="76">
        <v>0</v>
      </c>
      <c r="EB84" s="76">
        <v>542</v>
      </c>
      <c r="EC84" s="76">
        <v>0</v>
      </c>
      <c r="ED84" s="76">
        <v>403</v>
      </c>
      <c r="EE84" s="76">
        <v>139</v>
      </c>
      <c r="EF84" s="76">
        <v>2173</v>
      </c>
      <c r="EG84" s="76">
        <v>708</v>
      </c>
      <c r="EH84" s="76">
        <v>792</v>
      </c>
      <c r="EI84" s="76">
        <v>673</v>
      </c>
      <c r="EJ84" s="76">
        <v>2913</v>
      </c>
      <c r="EK84" s="76">
        <v>1413</v>
      </c>
      <c r="EL84" s="76">
        <v>792</v>
      </c>
      <c r="EM84" s="76">
        <v>708</v>
      </c>
      <c r="EN84" s="76">
        <v>710</v>
      </c>
      <c r="EO84" s="76">
        <v>388</v>
      </c>
      <c r="EP84" s="76">
        <v>626</v>
      </c>
      <c r="EQ84" s="76">
        <v>388</v>
      </c>
      <c r="ER84" s="76">
        <v>149466</v>
      </c>
      <c r="ES84" s="76">
        <v>0</v>
      </c>
      <c r="ET84" s="76">
        <v>149466</v>
      </c>
      <c r="EU84" s="76">
        <v>19542</v>
      </c>
      <c r="EV84" s="76">
        <v>-808</v>
      </c>
      <c r="EW84" s="76">
        <v>0</v>
      </c>
      <c r="EX84" s="76">
        <v>-302</v>
      </c>
      <c r="EY84" s="76">
        <v>45</v>
      </c>
      <c r="EZ84" s="76">
        <v>167943</v>
      </c>
      <c r="FA84" s="76">
        <v>23703</v>
      </c>
      <c r="FB84" s="76">
        <v>3545</v>
      </c>
      <c r="FC84" s="76">
        <v>0</v>
      </c>
      <c r="FD84" s="76">
        <v>0</v>
      </c>
      <c r="FE84" s="76">
        <v>-280</v>
      </c>
      <c r="FF84" s="76">
        <v>0</v>
      </c>
      <c r="FG84" s="76">
        <v>0</v>
      </c>
      <c r="FH84" s="76">
        <v>26968</v>
      </c>
      <c r="FI84" s="76">
        <v>140975</v>
      </c>
      <c r="FJ84" s="76">
        <v>125763</v>
      </c>
      <c r="FK84" s="76">
        <v>0</v>
      </c>
      <c r="FL84" s="76">
        <v>0</v>
      </c>
      <c r="FM84" s="76">
        <v>0</v>
      </c>
      <c r="FN84" s="76">
        <v>1058</v>
      </c>
      <c r="FO84" s="76">
        <v>471</v>
      </c>
      <c r="FP84" s="76">
        <v>587</v>
      </c>
      <c r="FQ84" s="76">
        <v>337</v>
      </c>
      <c r="FR84" s="76">
        <v>41</v>
      </c>
      <c r="FS84" s="76">
        <v>296</v>
      </c>
      <c r="FT84" s="76">
        <v>0</v>
      </c>
      <c r="FU84" s="76">
        <v>0</v>
      </c>
      <c r="FV84" s="76">
        <v>0</v>
      </c>
      <c r="FW84" s="76">
        <v>0</v>
      </c>
      <c r="FX84" s="76">
        <v>0</v>
      </c>
      <c r="FY84" s="76">
        <v>0</v>
      </c>
      <c r="FZ84" s="76">
        <v>6</v>
      </c>
      <c r="GA84" s="76">
        <v>10</v>
      </c>
      <c r="GB84" s="76">
        <v>-4</v>
      </c>
      <c r="GC84" s="76">
        <v>1401</v>
      </c>
      <c r="GD84" s="76">
        <v>522</v>
      </c>
      <c r="GE84" s="76">
        <v>879</v>
      </c>
      <c r="GF84" s="76">
        <v>0</v>
      </c>
      <c r="GG84" s="76">
        <v>0</v>
      </c>
      <c r="GH84" s="76">
        <v>0</v>
      </c>
      <c r="GI84" s="76">
        <v>0</v>
      </c>
      <c r="GJ84" s="76">
        <v>0</v>
      </c>
      <c r="GK84" s="76">
        <v>187</v>
      </c>
      <c r="GL84" s="76">
        <v>187</v>
      </c>
      <c r="GM84" s="76">
        <v>691</v>
      </c>
      <c r="GN84" s="76">
        <v>584</v>
      </c>
      <c r="GO84" s="76">
        <v>0</v>
      </c>
      <c r="GP84" s="76">
        <v>0</v>
      </c>
      <c r="GQ84" s="76">
        <v>0</v>
      </c>
      <c r="GR84" s="76">
        <v>6650</v>
      </c>
      <c r="GS84" s="76">
        <v>0</v>
      </c>
      <c r="GT84" s="76">
        <v>0</v>
      </c>
      <c r="GU84" s="76">
        <v>14</v>
      </c>
      <c r="GV84" s="76">
        <v>0</v>
      </c>
      <c r="GW84" s="76">
        <v>1146</v>
      </c>
      <c r="GX84" s="76">
        <v>9085</v>
      </c>
      <c r="GY84" s="76">
        <v>0</v>
      </c>
      <c r="GZ84" s="76">
        <v>0</v>
      </c>
      <c r="HA84" s="76">
        <v>126</v>
      </c>
      <c r="HB84" s="76">
        <v>0</v>
      </c>
      <c r="HC84" s="76">
        <v>126</v>
      </c>
      <c r="HD84" s="76">
        <v>0</v>
      </c>
      <c r="HE84" s="76">
        <v>0</v>
      </c>
      <c r="HF84" s="76">
        <v>0</v>
      </c>
      <c r="HG84" s="76">
        <v>5594</v>
      </c>
      <c r="HH84" s="76">
        <v>16</v>
      </c>
      <c r="HI84" s="76">
        <v>0</v>
      </c>
      <c r="HJ84" s="76">
        <v>0</v>
      </c>
      <c r="HK84" s="76">
        <v>0</v>
      </c>
      <c r="HL84" s="76">
        <v>-487</v>
      </c>
      <c r="HM84" s="76">
        <v>5123</v>
      </c>
      <c r="HN84" s="76">
        <v>4572</v>
      </c>
      <c r="HO84" s="76">
        <v>4321</v>
      </c>
      <c r="HP84" s="76">
        <v>0</v>
      </c>
      <c r="HQ84" s="76">
        <v>152</v>
      </c>
      <c r="HR84" s="76">
        <v>-38</v>
      </c>
      <c r="HS84" s="76">
        <v>5</v>
      </c>
      <c r="HT84" s="76">
        <v>6893</v>
      </c>
      <c r="HU84" s="76">
        <v>43</v>
      </c>
      <c r="HV84" s="76">
        <v>0</v>
      </c>
      <c r="HW84" s="76">
        <v>2</v>
      </c>
      <c r="HX84" s="76">
        <v>317</v>
      </c>
    </row>
    <row r="85" spans="1:232" x14ac:dyDescent="0.2">
      <c r="A85" s="74" t="s">
        <v>417</v>
      </c>
      <c r="B85" s="74" t="s">
        <v>418</v>
      </c>
      <c r="C85" s="75" t="s">
        <v>200</v>
      </c>
      <c r="D85" s="75">
        <v>12</v>
      </c>
      <c r="E85" s="76">
        <v>120870</v>
      </c>
      <c r="F85" s="76">
        <v>-10314</v>
      </c>
      <c r="G85" s="76">
        <v>-86122</v>
      </c>
      <c r="H85" s="76">
        <v>24434</v>
      </c>
      <c r="I85" s="76">
        <v>194</v>
      </c>
      <c r="J85" s="76">
        <v>0</v>
      </c>
      <c r="K85" s="76">
        <v>-325</v>
      </c>
      <c r="L85" s="76">
        <v>0</v>
      </c>
      <c r="M85" s="76">
        <v>1900</v>
      </c>
      <c r="N85" s="76">
        <v>-13936</v>
      </c>
      <c r="O85" s="76">
        <v>0</v>
      </c>
      <c r="P85" s="76">
        <v>0</v>
      </c>
      <c r="Q85" s="76">
        <v>0</v>
      </c>
      <c r="R85" s="76">
        <v>0</v>
      </c>
      <c r="S85" s="76">
        <v>12267</v>
      </c>
      <c r="T85" s="76">
        <v>-27</v>
      </c>
      <c r="U85" s="76">
        <v>12240</v>
      </c>
      <c r="V85" s="76">
        <v>0</v>
      </c>
      <c r="W85" s="76">
        <v>-2936</v>
      </c>
      <c r="X85" s="76">
        <v>0</v>
      </c>
      <c r="Y85" s="76">
        <v>0</v>
      </c>
      <c r="Z85" s="76">
        <v>9304</v>
      </c>
      <c r="AA85" s="76">
        <v>69027</v>
      </c>
      <c r="AB85" s="76">
        <v>29814</v>
      </c>
      <c r="AC85" s="76">
        <v>98841</v>
      </c>
      <c r="AD85" s="76">
        <v>6172</v>
      </c>
      <c r="AE85" s="76">
        <v>0</v>
      </c>
      <c r="AF85" s="76">
        <v>0</v>
      </c>
      <c r="AG85" s="76">
        <v>77</v>
      </c>
      <c r="AH85" s="76">
        <v>105090</v>
      </c>
      <c r="AI85" s="76">
        <v>21138</v>
      </c>
      <c r="AJ85" s="76">
        <v>25042</v>
      </c>
      <c r="AK85" s="76">
        <v>7884</v>
      </c>
      <c r="AL85" s="76">
        <v>5588</v>
      </c>
      <c r="AM85" s="76">
        <v>0</v>
      </c>
      <c r="AN85" s="76">
        <v>4</v>
      </c>
      <c r="AO85" s="76">
        <v>18013</v>
      </c>
      <c r="AP85" s="76">
        <v>0</v>
      </c>
      <c r="AQ85" s="76">
        <v>4432</v>
      </c>
      <c r="AR85" s="76">
        <v>82101</v>
      </c>
      <c r="AS85" s="76">
        <v>22989</v>
      </c>
      <c r="AT85" s="76">
        <v>975</v>
      </c>
      <c r="AU85" s="76">
        <v>500501</v>
      </c>
      <c r="AV85" s="76">
        <v>0</v>
      </c>
      <c r="AW85" s="76">
        <v>18438</v>
      </c>
      <c r="AX85" s="76">
        <v>0</v>
      </c>
      <c r="AY85" s="76">
        <v>0</v>
      </c>
      <c r="AZ85" s="76">
        <v>0</v>
      </c>
      <c r="BA85" s="76">
        <v>0</v>
      </c>
      <c r="BB85" s="76">
        <v>0</v>
      </c>
      <c r="BC85" s="76">
        <v>4928</v>
      </c>
      <c r="BD85" s="76">
        <v>0</v>
      </c>
      <c r="BE85" s="76">
        <v>523867</v>
      </c>
      <c r="BF85" s="76">
        <v>48134</v>
      </c>
      <c r="BG85" s="76">
        <v>19008</v>
      </c>
      <c r="BH85" s="76">
        <v>297</v>
      </c>
      <c r="BI85" s="76">
        <v>50768</v>
      </c>
      <c r="BJ85" s="76">
        <v>3</v>
      </c>
      <c r="BK85" s="76">
        <v>118210</v>
      </c>
      <c r="BL85" s="76">
        <v>14042</v>
      </c>
      <c r="BM85" s="76">
        <v>0</v>
      </c>
      <c r="BN85" s="76">
        <v>6414</v>
      </c>
      <c r="BO85" s="76">
        <v>19404</v>
      </c>
      <c r="BP85" s="76">
        <v>39860</v>
      </c>
      <c r="BQ85" s="76">
        <v>78350</v>
      </c>
      <c r="BR85" s="76">
        <v>602217</v>
      </c>
      <c r="BS85" s="76">
        <v>257501</v>
      </c>
      <c r="BT85" s="76">
        <v>0</v>
      </c>
      <c r="BU85" s="76">
        <v>6485</v>
      </c>
      <c r="BV85" s="76">
        <v>183982</v>
      </c>
      <c r="BW85" s="76">
        <v>0</v>
      </c>
      <c r="BX85" s="76">
        <v>1249</v>
      </c>
      <c r="BY85" s="76">
        <v>2851</v>
      </c>
      <c r="BZ85" s="76">
        <v>452068</v>
      </c>
      <c r="CA85" s="76">
        <v>11276</v>
      </c>
      <c r="CB85" s="76">
        <v>1478</v>
      </c>
      <c r="CC85" s="76">
        <v>137395</v>
      </c>
      <c r="CD85" s="76">
        <v>93264</v>
      </c>
      <c r="CE85" s="76">
        <v>0</v>
      </c>
      <c r="CF85" s="76">
        <v>0</v>
      </c>
      <c r="CG85" s="76">
        <v>-1249</v>
      </c>
      <c r="CH85" s="76">
        <v>45380</v>
      </c>
      <c r="CI85" s="76">
        <v>137395</v>
      </c>
      <c r="CJ85" s="76">
        <v>334</v>
      </c>
      <c r="CK85" s="76">
        <v>433</v>
      </c>
      <c r="CL85" s="76">
        <v>0</v>
      </c>
      <c r="CM85" s="76">
        <v>-99</v>
      </c>
      <c r="CN85" s="76">
        <v>983</v>
      </c>
      <c r="CO85" s="76">
        <v>0</v>
      </c>
      <c r="CP85" s="76">
        <v>965</v>
      </c>
      <c r="CQ85" s="76">
        <v>18</v>
      </c>
      <c r="CR85" s="76">
        <v>0</v>
      </c>
      <c r="CS85" s="76">
        <v>0</v>
      </c>
      <c r="CT85" s="76">
        <v>0</v>
      </c>
      <c r="CU85" s="76">
        <v>0</v>
      </c>
      <c r="CV85" s="76">
        <v>0</v>
      </c>
      <c r="CW85" s="76">
        <v>0</v>
      </c>
      <c r="CX85" s="76">
        <v>0</v>
      </c>
      <c r="CY85" s="76">
        <v>0</v>
      </c>
      <c r="CZ85" s="76">
        <v>1555</v>
      </c>
      <c r="DA85" s="76">
        <v>0</v>
      </c>
      <c r="DB85" s="76">
        <v>1395</v>
      </c>
      <c r="DC85" s="76">
        <v>160</v>
      </c>
      <c r="DD85" s="76">
        <v>2872</v>
      </c>
      <c r="DE85" s="76">
        <v>433</v>
      </c>
      <c r="DF85" s="76">
        <v>2360</v>
      </c>
      <c r="DG85" s="76">
        <v>79</v>
      </c>
      <c r="DH85" s="76">
        <v>10234</v>
      </c>
      <c r="DI85" s="76">
        <v>9881</v>
      </c>
      <c r="DJ85" s="76">
        <v>0</v>
      </c>
      <c r="DK85" s="76">
        <v>353</v>
      </c>
      <c r="DL85" s="76">
        <v>0</v>
      </c>
      <c r="DM85" s="76">
        <v>0</v>
      </c>
      <c r="DN85" s="76">
        <v>0</v>
      </c>
      <c r="DO85" s="76">
        <v>0</v>
      </c>
      <c r="DP85" s="76">
        <v>0</v>
      </c>
      <c r="DQ85" s="76">
        <v>0</v>
      </c>
      <c r="DR85" s="76">
        <v>0</v>
      </c>
      <c r="DS85" s="76">
        <v>0</v>
      </c>
      <c r="DT85" s="76">
        <v>0</v>
      </c>
      <c r="DU85" s="76">
        <v>0</v>
      </c>
      <c r="DV85" s="76">
        <v>0</v>
      </c>
      <c r="DW85" s="76">
        <v>0</v>
      </c>
      <c r="DX85" s="76">
        <v>0</v>
      </c>
      <c r="DY85" s="76">
        <v>0</v>
      </c>
      <c r="DZ85" s="76">
        <v>0</v>
      </c>
      <c r="EA85" s="76">
        <v>0</v>
      </c>
      <c r="EB85" s="76">
        <v>2674</v>
      </c>
      <c r="EC85" s="76">
        <v>0</v>
      </c>
      <c r="ED85" s="76">
        <v>1661</v>
      </c>
      <c r="EE85" s="76">
        <v>1013</v>
      </c>
      <c r="EF85" s="76">
        <v>12908</v>
      </c>
      <c r="EG85" s="76">
        <v>9881</v>
      </c>
      <c r="EH85" s="76">
        <v>1661</v>
      </c>
      <c r="EI85" s="76">
        <v>1366</v>
      </c>
      <c r="EJ85" s="76">
        <v>15780</v>
      </c>
      <c r="EK85" s="76">
        <v>10314</v>
      </c>
      <c r="EL85" s="76">
        <v>4021</v>
      </c>
      <c r="EM85" s="76">
        <v>1445</v>
      </c>
      <c r="EN85" s="76">
        <v>1036</v>
      </c>
      <c r="EO85" s="76">
        <v>277</v>
      </c>
      <c r="EP85" s="76">
        <v>53</v>
      </c>
      <c r="EQ85" s="76">
        <v>194</v>
      </c>
      <c r="ER85" s="76">
        <v>754913</v>
      </c>
      <c r="ES85" s="76">
        <v>0</v>
      </c>
      <c r="ET85" s="76">
        <v>754913</v>
      </c>
      <c r="EU85" s="76">
        <v>17364</v>
      </c>
      <c r="EV85" s="76">
        <v>-1025</v>
      </c>
      <c r="EW85" s="76">
        <v>0</v>
      </c>
      <c r="EX85" s="76">
        <v>0</v>
      </c>
      <c r="EY85" s="76">
        <v>-8663</v>
      </c>
      <c r="EZ85" s="76">
        <v>762589</v>
      </c>
      <c r="FA85" s="76">
        <v>247944</v>
      </c>
      <c r="FB85" s="76">
        <v>18027</v>
      </c>
      <c r="FC85" s="76">
        <v>0</v>
      </c>
      <c r="FD85" s="76">
        <v>0</v>
      </c>
      <c r="FE85" s="76">
        <v>-452</v>
      </c>
      <c r="FF85" s="76">
        <v>0</v>
      </c>
      <c r="FG85" s="76">
        <v>-3431</v>
      </c>
      <c r="FH85" s="76">
        <v>262088</v>
      </c>
      <c r="FI85" s="76">
        <v>500501</v>
      </c>
      <c r="FJ85" s="76">
        <v>506969</v>
      </c>
      <c r="FK85" s="76">
        <v>0</v>
      </c>
      <c r="FL85" s="76">
        <v>0</v>
      </c>
      <c r="FM85" s="76">
        <v>0</v>
      </c>
      <c r="FN85" s="76">
        <v>0</v>
      </c>
      <c r="FO85" s="76">
        <v>0</v>
      </c>
      <c r="FP85" s="76">
        <v>0</v>
      </c>
      <c r="FQ85" s="76">
        <v>0</v>
      </c>
      <c r="FR85" s="76">
        <v>0</v>
      </c>
      <c r="FS85" s="76">
        <v>0</v>
      </c>
      <c r="FT85" s="76">
        <v>981</v>
      </c>
      <c r="FU85" s="76">
        <v>787</v>
      </c>
      <c r="FV85" s="76">
        <v>194</v>
      </c>
      <c r="FW85" s="76">
        <v>0</v>
      </c>
      <c r="FX85" s="76">
        <v>0</v>
      </c>
      <c r="FY85" s="76">
        <v>0</v>
      </c>
      <c r="FZ85" s="76">
        <v>0</v>
      </c>
      <c r="GA85" s="76">
        <v>0</v>
      </c>
      <c r="GB85" s="76">
        <v>0</v>
      </c>
      <c r="GC85" s="76">
        <v>981</v>
      </c>
      <c r="GD85" s="76">
        <v>787</v>
      </c>
      <c r="GE85" s="76">
        <v>194</v>
      </c>
      <c r="GF85" s="76">
        <v>0</v>
      </c>
      <c r="GG85" s="76">
        <v>3</v>
      </c>
      <c r="GH85" s="76">
        <v>0</v>
      </c>
      <c r="GI85" s="76">
        <v>0</v>
      </c>
      <c r="GJ85" s="76">
        <v>0</v>
      </c>
      <c r="GK85" s="76">
        <v>0</v>
      </c>
      <c r="GL85" s="76">
        <v>3</v>
      </c>
      <c r="GM85" s="76">
        <v>3381</v>
      </c>
      <c r="GN85" s="76">
        <v>1265</v>
      </c>
      <c r="GO85" s="76">
        <v>0</v>
      </c>
      <c r="GP85" s="76">
        <v>0</v>
      </c>
      <c r="GQ85" s="76">
        <v>0</v>
      </c>
      <c r="GR85" s="76">
        <v>9687</v>
      </c>
      <c r="GS85" s="76">
        <v>0</v>
      </c>
      <c r="GT85" s="76">
        <v>0</v>
      </c>
      <c r="GU85" s="76">
        <v>387</v>
      </c>
      <c r="GV85" s="76">
        <v>0</v>
      </c>
      <c r="GW85" s="76">
        <v>4683</v>
      </c>
      <c r="GX85" s="76">
        <v>19403</v>
      </c>
      <c r="GY85" s="76">
        <v>1372</v>
      </c>
      <c r="GZ85" s="76">
        <v>0</v>
      </c>
      <c r="HA85" s="76">
        <v>0</v>
      </c>
      <c r="HB85" s="76">
        <v>1479</v>
      </c>
      <c r="HC85" s="76">
        <v>2851</v>
      </c>
      <c r="HD85" s="76">
        <v>0</v>
      </c>
      <c r="HE85" s="76">
        <v>1478</v>
      </c>
      <c r="HF85" s="76">
        <v>1478</v>
      </c>
      <c r="HG85" s="76">
        <v>14148</v>
      </c>
      <c r="HH85" s="76">
        <v>0</v>
      </c>
      <c r="HI85" s="76">
        <v>0</v>
      </c>
      <c r="HJ85" s="76">
        <v>0</v>
      </c>
      <c r="HK85" s="76">
        <v>0</v>
      </c>
      <c r="HL85" s="76">
        <v>-212</v>
      </c>
      <c r="HM85" s="76">
        <v>13936</v>
      </c>
      <c r="HN85" s="76">
        <v>11240</v>
      </c>
      <c r="HO85" s="76">
        <v>20125</v>
      </c>
      <c r="HP85" s="76">
        <v>0</v>
      </c>
      <c r="HQ85" s="76">
        <v>3</v>
      </c>
      <c r="HR85" s="76">
        <v>-8</v>
      </c>
      <c r="HS85" s="76">
        <v>-11</v>
      </c>
      <c r="HT85" s="76">
        <v>13813</v>
      </c>
      <c r="HU85" s="76">
        <v>0</v>
      </c>
      <c r="HV85" s="76">
        <v>-167</v>
      </c>
      <c r="HW85" s="76">
        <v>38</v>
      </c>
      <c r="HX85" s="76">
        <v>4810</v>
      </c>
    </row>
    <row r="86" spans="1:232" x14ac:dyDescent="0.2">
      <c r="A86" s="74" t="s">
        <v>420</v>
      </c>
      <c r="B86" s="74" t="s">
        <v>421</v>
      </c>
      <c r="C86" s="75" t="s">
        <v>200</v>
      </c>
      <c r="D86" s="75">
        <v>12</v>
      </c>
      <c r="E86" s="76">
        <v>34057</v>
      </c>
      <c r="F86" s="76">
        <v>-3094</v>
      </c>
      <c r="G86" s="76">
        <v>-16262</v>
      </c>
      <c r="H86" s="76">
        <v>14701</v>
      </c>
      <c r="I86" s="76">
        <v>3397</v>
      </c>
      <c r="J86" s="76">
        <v>0</v>
      </c>
      <c r="K86" s="76">
        <v>0</v>
      </c>
      <c r="L86" s="76">
        <v>0</v>
      </c>
      <c r="M86" s="76">
        <v>72</v>
      </c>
      <c r="N86" s="76">
        <v>-10912</v>
      </c>
      <c r="O86" s="76">
        <v>170</v>
      </c>
      <c r="P86" s="76">
        <v>666</v>
      </c>
      <c r="Q86" s="76">
        <v>0</v>
      </c>
      <c r="R86" s="76">
        <v>0</v>
      </c>
      <c r="S86" s="76">
        <v>8094</v>
      </c>
      <c r="T86" s="76">
        <v>3</v>
      </c>
      <c r="U86" s="76">
        <v>8097</v>
      </c>
      <c r="V86" s="76">
        <v>0</v>
      </c>
      <c r="W86" s="76">
        <v>0</v>
      </c>
      <c r="X86" s="76">
        <v>0</v>
      </c>
      <c r="Y86" s="76">
        <v>0</v>
      </c>
      <c r="Z86" s="76">
        <v>8097</v>
      </c>
      <c r="AA86" s="76">
        <v>25271</v>
      </c>
      <c r="AB86" s="76">
        <v>957</v>
      </c>
      <c r="AC86" s="76">
        <v>26228</v>
      </c>
      <c r="AD86" s="76">
        <v>1708</v>
      </c>
      <c r="AE86" s="76">
        <v>0</v>
      </c>
      <c r="AF86" s="76">
        <v>0</v>
      </c>
      <c r="AG86" s="76">
        <v>0</v>
      </c>
      <c r="AH86" s="76">
        <v>27936</v>
      </c>
      <c r="AI86" s="76">
        <v>3249</v>
      </c>
      <c r="AJ86" s="76">
        <v>958</v>
      </c>
      <c r="AK86" s="76">
        <v>3295</v>
      </c>
      <c r="AL86" s="76">
        <v>671</v>
      </c>
      <c r="AM86" s="76">
        <v>1008</v>
      </c>
      <c r="AN86" s="76">
        <v>-29</v>
      </c>
      <c r="AO86" s="76">
        <v>4922</v>
      </c>
      <c r="AP86" s="76">
        <v>0</v>
      </c>
      <c r="AQ86" s="76">
        <v>139</v>
      </c>
      <c r="AR86" s="76">
        <v>14213</v>
      </c>
      <c r="AS86" s="76">
        <v>13723</v>
      </c>
      <c r="AT86" s="76">
        <v>74</v>
      </c>
      <c r="AU86" s="76">
        <v>393408</v>
      </c>
      <c r="AV86" s="76">
        <v>0</v>
      </c>
      <c r="AW86" s="76">
        <v>3067</v>
      </c>
      <c r="AX86" s="76">
        <v>0</v>
      </c>
      <c r="AY86" s="76">
        <v>0</v>
      </c>
      <c r="AZ86" s="76">
        <v>4458</v>
      </c>
      <c r="BA86" s="76">
        <v>0</v>
      </c>
      <c r="BB86" s="76">
        <v>0</v>
      </c>
      <c r="BC86" s="76">
        <v>0</v>
      </c>
      <c r="BD86" s="76">
        <v>0</v>
      </c>
      <c r="BE86" s="76">
        <v>400933</v>
      </c>
      <c r="BF86" s="76">
        <v>1379</v>
      </c>
      <c r="BG86" s="76">
        <v>1080</v>
      </c>
      <c r="BH86" s="76">
        <v>11759</v>
      </c>
      <c r="BI86" s="76">
        <v>4</v>
      </c>
      <c r="BJ86" s="76">
        <v>1220</v>
      </c>
      <c r="BK86" s="76">
        <v>15442</v>
      </c>
      <c r="BL86" s="76">
        <v>298</v>
      </c>
      <c r="BM86" s="76">
        <v>0</v>
      </c>
      <c r="BN86" s="76">
        <v>1710</v>
      </c>
      <c r="BO86" s="76">
        <v>8835</v>
      </c>
      <c r="BP86" s="76">
        <v>10843</v>
      </c>
      <c r="BQ86" s="76">
        <v>4599</v>
      </c>
      <c r="BR86" s="76">
        <v>405532</v>
      </c>
      <c r="BS86" s="76">
        <v>225812</v>
      </c>
      <c r="BT86" s="76">
        <v>0</v>
      </c>
      <c r="BU86" s="76">
        <v>0</v>
      </c>
      <c r="BV86" s="76">
        <v>126793</v>
      </c>
      <c r="BW86" s="76">
        <v>0</v>
      </c>
      <c r="BX86" s="76">
        <v>0</v>
      </c>
      <c r="BY86" s="76">
        <v>3668</v>
      </c>
      <c r="BZ86" s="76">
        <v>356273</v>
      </c>
      <c r="CA86" s="76">
        <v>0</v>
      </c>
      <c r="CB86" s="76">
        <v>97</v>
      </c>
      <c r="CC86" s="76">
        <v>49162</v>
      </c>
      <c r="CD86" s="76">
        <v>48864</v>
      </c>
      <c r="CE86" s="76">
        <v>298</v>
      </c>
      <c r="CF86" s="76">
        <v>0</v>
      </c>
      <c r="CG86" s="76">
        <v>0</v>
      </c>
      <c r="CH86" s="76">
        <v>0</v>
      </c>
      <c r="CI86" s="76">
        <v>49162</v>
      </c>
      <c r="CJ86" s="76">
        <v>2147</v>
      </c>
      <c r="CK86" s="76">
        <v>1439</v>
      </c>
      <c r="CL86" s="76">
        <v>0</v>
      </c>
      <c r="CM86" s="76">
        <v>708</v>
      </c>
      <c r="CN86" s="76">
        <v>90</v>
      </c>
      <c r="CO86" s="76">
        <v>0</v>
      </c>
      <c r="CP86" s="76">
        <v>14</v>
      </c>
      <c r="CQ86" s="76">
        <v>76</v>
      </c>
      <c r="CR86" s="76">
        <v>0</v>
      </c>
      <c r="CS86" s="76">
        <v>0</v>
      </c>
      <c r="CT86" s="76">
        <v>311</v>
      </c>
      <c r="CU86" s="76">
        <v>-311</v>
      </c>
      <c r="CV86" s="76">
        <v>0</v>
      </c>
      <c r="CW86" s="76">
        <v>0</v>
      </c>
      <c r="CX86" s="76">
        <v>236</v>
      </c>
      <c r="CY86" s="76">
        <v>-236</v>
      </c>
      <c r="CZ86" s="76">
        <v>26</v>
      </c>
      <c r="DA86" s="76">
        <v>0</v>
      </c>
      <c r="DB86" s="76">
        <v>58</v>
      </c>
      <c r="DC86" s="76">
        <v>-32</v>
      </c>
      <c r="DD86" s="76">
        <v>2263</v>
      </c>
      <c r="DE86" s="76">
        <v>1439</v>
      </c>
      <c r="DF86" s="76">
        <v>619</v>
      </c>
      <c r="DG86" s="76">
        <v>205</v>
      </c>
      <c r="DH86" s="76">
        <v>2005</v>
      </c>
      <c r="DI86" s="76">
        <v>1655</v>
      </c>
      <c r="DJ86" s="76">
        <v>0</v>
      </c>
      <c r="DK86" s="76">
        <v>350</v>
      </c>
      <c r="DL86" s="76">
        <v>0</v>
      </c>
      <c r="DM86" s="76">
        <v>0</v>
      </c>
      <c r="DN86" s="76">
        <v>0</v>
      </c>
      <c r="DO86" s="76">
        <v>0</v>
      </c>
      <c r="DP86" s="76">
        <v>0</v>
      </c>
      <c r="DQ86" s="76">
        <v>0</v>
      </c>
      <c r="DR86" s="76">
        <v>0</v>
      </c>
      <c r="DS86" s="76">
        <v>0</v>
      </c>
      <c r="DT86" s="76">
        <v>0</v>
      </c>
      <c r="DU86" s="76">
        <v>0</v>
      </c>
      <c r="DV86" s="76">
        <v>0</v>
      </c>
      <c r="DW86" s="76">
        <v>0</v>
      </c>
      <c r="DX86" s="76">
        <v>714</v>
      </c>
      <c r="DY86" s="76">
        <v>0</v>
      </c>
      <c r="DZ86" s="76">
        <v>706</v>
      </c>
      <c r="EA86" s="76">
        <v>8</v>
      </c>
      <c r="EB86" s="76">
        <v>1139</v>
      </c>
      <c r="EC86" s="76">
        <v>0</v>
      </c>
      <c r="ED86" s="76">
        <v>725</v>
      </c>
      <c r="EE86" s="76">
        <v>414</v>
      </c>
      <c r="EF86" s="76">
        <v>3858</v>
      </c>
      <c r="EG86" s="76">
        <v>1655</v>
      </c>
      <c r="EH86" s="76">
        <v>1431</v>
      </c>
      <c r="EI86" s="76">
        <v>772</v>
      </c>
      <c r="EJ86" s="76">
        <v>6121</v>
      </c>
      <c r="EK86" s="76">
        <v>3094</v>
      </c>
      <c r="EL86" s="76">
        <v>2050</v>
      </c>
      <c r="EM86" s="76">
        <v>977</v>
      </c>
      <c r="EN86" s="76">
        <v>647</v>
      </c>
      <c r="EO86" s="76">
        <v>252</v>
      </c>
      <c r="EP86" s="76">
        <v>161</v>
      </c>
      <c r="EQ86" s="76">
        <v>252</v>
      </c>
      <c r="ER86" s="76">
        <v>422245</v>
      </c>
      <c r="ES86" s="76">
        <v>0</v>
      </c>
      <c r="ET86" s="76">
        <v>422245</v>
      </c>
      <c r="EU86" s="76">
        <v>12626</v>
      </c>
      <c r="EV86" s="76">
        <v>-2617</v>
      </c>
      <c r="EW86" s="76">
        <v>0</v>
      </c>
      <c r="EX86" s="76">
        <v>0</v>
      </c>
      <c r="EY86" s="76">
        <v>0</v>
      </c>
      <c r="EZ86" s="76">
        <v>432254</v>
      </c>
      <c r="FA86" s="76">
        <v>34843</v>
      </c>
      <c r="FB86" s="76">
        <v>4816</v>
      </c>
      <c r="FC86" s="76">
        <v>0</v>
      </c>
      <c r="FD86" s="76">
        <v>0</v>
      </c>
      <c r="FE86" s="76">
        <v>-813</v>
      </c>
      <c r="FF86" s="76">
        <v>0</v>
      </c>
      <c r="FG86" s="76">
        <v>0</v>
      </c>
      <c r="FH86" s="76">
        <v>38846</v>
      </c>
      <c r="FI86" s="76">
        <v>393408</v>
      </c>
      <c r="FJ86" s="76">
        <v>387402</v>
      </c>
      <c r="FK86" s="76">
        <v>1879</v>
      </c>
      <c r="FL86" s="76">
        <v>1275</v>
      </c>
      <c r="FM86" s="76">
        <v>604</v>
      </c>
      <c r="FN86" s="76">
        <v>0</v>
      </c>
      <c r="FO86" s="76">
        <v>0</v>
      </c>
      <c r="FP86" s="76">
        <v>0</v>
      </c>
      <c r="FQ86" s="76">
        <v>0</v>
      </c>
      <c r="FR86" s="76">
        <v>0</v>
      </c>
      <c r="FS86" s="76">
        <v>0</v>
      </c>
      <c r="FT86" s="76">
        <v>3338</v>
      </c>
      <c r="FU86" s="76">
        <v>545</v>
      </c>
      <c r="FV86" s="76">
        <v>2793</v>
      </c>
      <c r="FW86" s="76">
        <v>0</v>
      </c>
      <c r="FX86" s="76">
        <v>0</v>
      </c>
      <c r="FY86" s="76">
        <v>0</v>
      </c>
      <c r="FZ86" s="76">
        <v>0</v>
      </c>
      <c r="GA86" s="76">
        <v>0</v>
      </c>
      <c r="GB86" s="76">
        <v>0</v>
      </c>
      <c r="GC86" s="76">
        <v>5217</v>
      </c>
      <c r="GD86" s="76">
        <v>1820</v>
      </c>
      <c r="GE86" s="76">
        <v>3397</v>
      </c>
      <c r="GF86" s="76">
        <v>0</v>
      </c>
      <c r="GG86" s="76">
        <v>0</v>
      </c>
      <c r="GH86" s="76">
        <v>54</v>
      </c>
      <c r="GI86" s="76">
        <v>0</v>
      </c>
      <c r="GJ86" s="76">
        <v>0</v>
      </c>
      <c r="GK86" s="76">
        <v>1166</v>
      </c>
      <c r="GL86" s="76">
        <v>1220</v>
      </c>
      <c r="GM86" s="76">
        <v>673</v>
      </c>
      <c r="GN86" s="76">
        <v>2176</v>
      </c>
      <c r="GO86" s="76">
        <v>0</v>
      </c>
      <c r="GP86" s="76">
        <v>38</v>
      </c>
      <c r="GQ86" s="76">
        <v>0</v>
      </c>
      <c r="GR86" s="76">
        <v>5197</v>
      </c>
      <c r="GS86" s="76">
        <v>0</v>
      </c>
      <c r="GT86" s="76">
        <v>0</v>
      </c>
      <c r="GU86" s="76">
        <v>493</v>
      </c>
      <c r="GV86" s="76">
        <v>0</v>
      </c>
      <c r="GW86" s="76">
        <v>258</v>
      </c>
      <c r="GX86" s="76">
        <v>8835</v>
      </c>
      <c r="GY86" s="76">
        <v>467</v>
      </c>
      <c r="GZ86" s="76">
        <v>0</v>
      </c>
      <c r="HA86" s="76">
        <v>3193</v>
      </c>
      <c r="HB86" s="76">
        <v>8</v>
      </c>
      <c r="HC86" s="76">
        <v>3668</v>
      </c>
      <c r="HD86" s="76">
        <v>0</v>
      </c>
      <c r="HE86" s="76">
        <v>97</v>
      </c>
      <c r="HF86" s="76">
        <v>97</v>
      </c>
      <c r="HG86" s="76">
        <v>11026</v>
      </c>
      <c r="HH86" s="76">
        <v>78</v>
      </c>
      <c r="HI86" s="76">
        <v>182</v>
      </c>
      <c r="HJ86" s="76">
        <v>0</v>
      </c>
      <c r="HK86" s="76">
        <v>0</v>
      </c>
      <c r="HL86" s="76">
        <v>-374</v>
      </c>
      <c r="HM86" s="76">
        <v>10912</v>
      </c>
      <c r="HN86" s="76">
        <v>2609</v>
      </c>
      <c r="HO86" s="76">
        <v>5125</v>
      </c>
      <c r="HP86" s="76">
        <v>0</v>
      </c>
      <c r="HQ86" s="76">
        <v>120</v>
      </c>
      <c r="HR86" s="76">
        <v>-27</v>
      </c>
      <c r="HS86" s="76">
        <v>0</v>
      </c>
      <c r="HT86" s="76">
        <v>5174</v>
      </c>
      <c r="HU86" s="76">
        <v>0</v>
      </c>
      <c r="HV86" s="76">
        <v>-1</v>
      </c>
      <c r="HW86" s="76">
        <v>29</v>
      </c>
      <c r="HX86" s="76">
        <v>2337</v>
      </c>
    </row>
    <row r="87" spans="1:232" x14ac:dyDescent="0.2">
      <c r="A87" s="74" t="s">
        <v>431</v>
      </c>
      <c r="B87" s="74" t="s">
        <v>430</v>
      </c>
      <c r="C87" s="75" t="s">
        <v>200</v>
      </c>
      <c r="D87" s="75">
        <v>12</v>
      </c>
      <c r="E87" s="76">
        <v>30284</v>
      </c>
      <c r="F87" s="76">
        <v>-384</v>
      </c>
      <c r="G87" s="76">
        <v>-18786</v>
      </c>
      <c r="H87" s="76">
        <v>11114</v>
      </c>
      <c r="I87" s="76">
        <v>1338</v>
      </c>
      <c r="J87" s="76">
        <v>0</v>
      </c>
      <c r="K87" s="76">
        <v>0</v>
      </c>
      <c r="L87" s="76">
        <v>0</v>
      </c>
      <c r="M87" s="76">
        <v>31</v>
      </c>
      <c r="N87" s="76">
        <v>-3721</v>
      </c>
      <c r="O87" s="76">
        <v>0</v>
      </c>
      <c r="P87" s="76">
        <v>0</v>
      </c>
      <c r="Q87" s="76">
        <v>0</v>
      </c>
      <c r="R87" s="76">
        <v>0</v>
      </c>
      <c r="S87" s="76">
        <v>8762</v>
      </c>
      <c r="T87" s="76">
        <v>-120</v>
      </c>
      <c r="U87" s="76">
        <v>8642</v>
      </c>
      <c r="V87" s="76">
        <v>0</v>
      </c>
      <c r="W87" s="76">
        <v>-1041</v>
      </c>
      <c r="X87" s="76">
        <v>0</v>
      </c>
      <c r="Y87" s="76">
        <v>0</v>
      </c>
      <c r="Z87" s="76">
        <v>7601</v>
      </c>
      <c r="AA87" s="76">
        <v>24011</v>
      </c>
      <c r="AB87" s="76">
        <v>765</v>
      </c>
      <c r="AC87" s="76">
        <v>24776</v>
      </c>
      <c r="AD87" s="76">
        <v>94</v>
      </c>
      <c r="AE87" s="76">
        <v>0</v>
      </c>
      <c r="AF87" s="76">
        <v>69</v>
      </c>
      <c r="AG87" s="76">
        <v>0</v>
      </c>
      <c r="AH87" s="76">
        <v>24939</v>
      </c>
      <c r="AI87" s="76">
        <v>5328</v>
      </c>
      <c r="AJ87" s="76">
        <v>814</v>
      </c>
      <c r="AK87" s="76">
        <v>3808</v>
      </c>
      <c r="AL87" s="76">
        <v>104</v>
      </c>
      <c r="AM87" s="76">
        <v>0</v>
      </c>
      <c r="AN87" s="76">
        <v>83</v>
      </c>
      <c r="AO87" s="76">
        <v>3981</v>
      </c>
      <c r="AP87" s="76">
        <v>0</v>
      </c>
      <c r="AQ87" s="76">
        <v>198</v>
      </c>
      <c r="AR87" s="76">
        <v>14316</v>
      </c>
      <c r="AS87" s="76">
        <v>10623</v>
      </c>
      <c r="AT87" s="76">
        <v>137</v>
      </c>
      <c r="AU87" s="76">
        <v>114772</v>
      </c>
      <c r="AV87" s="76">
        <v>0</v>
      </c>
      <c r="AW87" s="76">
        <v>5184</v>
      </c>
      <c r="AX87" s="76">
        <v>0</v>
      </c>
      <c r="AY87" s="76">
        <v>0</v>
      </c>
      <c r="AZ87" s="76">
        <v>0</v>
      </c>
      <c r="BA87" s="76">
        <v>0</v>
      </c>
      <c r="BB87" s="76">
        <v>0</v>
      </c>
      <c r="BC87" s="76">
        <v>0</v>
      </c>
      <c r="BD87" s="76">
        <v>0</v>
      </c>
      <c r="BE87" s="76">
        <v>119956</v>
      </c>
      <c r="BF87" s="76">
        <v>2535</v>
      </c>
      <c r="BG87" s="76">
        <v>651</v>
      </c>
      <c r="BH87" s="76">
        <v>2516</v>
      </c>
      <c r="BI87" s="76">
        <v>17691</v>
      </c>
      <c r="BJ87" s="76">
        <v>2179</v>
      </c>
      <c r="BK87" s="76">
        <v>25572</v>
      </c>
      <c r="BL87" s="76">
        <v>0</v>
      </c>
      <c r="BM87" s="76">
        <v>0</v>
      </c>
      <c r="BN87" s="76">
        <v>94</v>
      </c>
      <c r="BO87" s="76">
        <v>6434</v>
      </c>
      <c r="BP87" s="76">
        <v>6528</v>
      </c>
      <c r="BQ87" s="76">
        <v>19044</v>
      </c>
      <c r="BR87" s="76">
        <v>139000</v>
      </c>
      <c r="BS87" s="76">
        <v>89177</v>
      </c>
      <c r="BT87" s="76">
        <v>0</v>
      </c>
      <c r="BU87" s="76">
        <v>0</v>
      </c>
      <c r="BV87" s="76">
        <v>8266</v>
      </c>
      <c r="BW87" s="76">
        <v>0</v>
      </c>
      <c r="BX87" s="76">
        <v>0</v>
      </c>
      <c r="BY87" s="76">
        <v>1029</v>
      </c>
      <c r="BZ87" s="76">
        <v>98472</v>
      </c>
      <c r="CA87" s="76">
        <v>8577</v>
      </c>
      <c r="CB87" s="76">
        <v>104</v>
      </c>
      <c r="CC87" s="76">
        <v>31847</v>
      </c>
      <c r="CD87" s="76">
        <v>31847</v>
      </c>
      <c r="CE87" s="76">
        <v>0</v>
      </c>
      <c r="CF87" s="76">
        <v>0</v>
      </c>
      <c r="CG87" s="76">
        <v>0</v>
      </c>
      <c r="CH87" s="76">
        <v>0</v>
      </c>
      <c r="CI87" s="76">
        <v>31847</v>
      </c>
      <c r="CJ87" s="76">
        <v>423</v>
      </c>
      <c r="CK87" s="76">
        <v>384</v>
      </c>
      <c r="CL87" s="76">
        <v>0</v>
      </c>
      <c r="CM87" s="76">
        <v>39</v>
      </c>
      <c r="CN87" s="76">
        <v>286</v>
      </c>
      <c r="CO87" s="76">
        <v>0</v>
      </c>
      <c r="CP87" s="76">
        <v>404</v>
      </c>
      <c r="CQ87" s="76">
        <v>-118</v>
      </c>
      <c r="CR87" s="76">
        <v>153</v>
      </c>
      <c r="CS87" s="76">
        <v>0</v>
      </c>
      <c r="CT87" s="76">
        <v>146</v>
      </c>
      <c r="CU87" s="76">
        <v>7</v>
      </c>
      <c r="CV87" s="76">
        <v>0</v>
      </c>
      <c r="CW87" s="76">
        <v>0</v>
      </c>
      <c r="CX87" s="76">
        <v>0</v>
      </c>
      <c r="CY87" s="76">
        <v>0</v>
      </c>
      <c r="CZ87" s="76">
        <v>0</v>
      </c>
      <c r="DA87" s="76">
        <v>0</v>
      </c>
      <c r="DB87" s="76">
        <v>0</v>
      </c>
      <c r="DC87" s="76">
        <v>0</v>
      </c>
      <c r="DD87" s="76">
        <v>862</v>
      </c>
      <c r="DE87" s="76">
        <v>384</v>
      </c>
      <c r="DF87" s="76">
        <v>550</v>
      </c>
      <c r="DG87" s="76">
        <v>-72</v>
      </c>
      <c r="DH87" s="76">
        <v>0</v>
      </c>
      <c r="DI87" s="76">
        <v>0</v>
      </c>
      <c r="DJ87" s="76">
        <v>0</v>
      </c>
      <c r="DK87" s="76">
        <v>0</v>
      </c>
      <c r="DL87" s="76">
        <v>0</v>
      </c>
      <c r="DM87" s="76">
        <v>0</v>
      </c>
      <c r="DN87" s="76">
        <v>0</v>
      </c>
      <c r="DO87" s="76">
        <v>0</v>
      </c>
      <c r="DP87" s="76">
        <v>0</v>
      </c>
      <c r="DQ87" s="76">
        <v>0</v>
      </c>
      <c r="DR87" s="76">
        <v>0</v>
      </c>
      <c r="DS87" s="76">
        <v>0</v>
      </c>
      <c r="DT87" s="76">
        <v>49</v>
      </c>
      <c r="DU87" s="76">
        <v>0</v>
      </c>
      <c r="DV87" s="76">
        <v>48</v>
      </c>
      <c r="DW87" s="76">
        <v>1</v>
      </c>
      <c r="DX87" s="76">
        <v>0</v>
      </c>
      <c r="DY87" s="76">
        <v>0</v>
      </c>
      <c r="DZ87" s="76">
        <v>0</v>
      </c>
      <c r="EA87" s="76">
        <v>0</v>
      </c>
      <c r="EB87" s="76">
        <v>4434</v>
      </c>
      <c r="EC87" s="76">
        <v>0</v>
      </c>
      <c r="ED87" s="76">
        <v>3872</v>
      </c>
      <c r="EE87" s="76">
        <v>562</v>
      </c>
      <c r="EF87" s="76">
        <v>4483</v>
      </c>
      <c r="EG87" s="76">
        <v>0</v>
      </c>
      <c r="EH87" s="76">
        <v>3920</v>
      </c>
      <c r="EI87" s="76">
        <v>563</v>
      </c>
      <c r="EJ87" s="76">
        <v>5345</v>
      </c>
      <c r="EK87" s="76">
        <v>384</v>
      </c>
      <c r="EL87" s="76">
        <v>4470</v>
      </c>
      <c r="EM87" s="76">
        <v>491</v>
      </c>
      <c r="EN87" s="76">
        <v>259</v>
      </c>
      <c r="EO87" s="76">
        <v>115</v>
      </c>
      <c r="EP87" s="76">
        <v>57</v>
      </c>
      <c r="EQ87" s="76">
        <v>115</v>
      </c>
      <c r="ER87" s="76">
        <v>127872</v>
      </c>
      <c r="ES87" s="76">
        <v>0</v>
      </c>
      <c r="ET87" s="76">
        <v>127872</v>
      </c>
      <c r="EU87" s="76">
        <v>16264</v>
      </c>
      <c r="EV87" s="76">
        <v>-1198</v>
      </c>
      <c r="EW87" s="76">
        <v>0</v>
      </c>
      <c r="EX87" s="76">
        <v>0</v>
      </c>
      <c r="EY87" s="76">
        <v>-1035</v>
      </c>
      <c r="EZ87" s="76">
        <v>141903</v>
      </c>
      <c r="FA87" s="76">
        <v>24111</v>
      </c>
      <c r="FB87" s="76">
        <v>3981</v>
      </c>
      <c r="FC87" s="76">
        <v>0</v>
      </c>
      <c r="FD87" s="76">
        <v>0</v>
      </c>
      <c r="FE87" s="76">
        <v>-961</v>
      </c>
      <c r="FF87" s="76">
        <v>0</v>
      </c>
      <c r="FG87" s="76">
        <v>0</v>
      </c>
      <c r="FH87" s="76">
        <v>27131</v>
      </c>
      <c r="FI87" s="76">
        <v>114772</v>
      </c>
      <c r="FJ87" s="76">
        <v>103761</v>
      </c>
      <c r="FK87" s="76">
        <v>0</v>
      </c>
      <c r="FL87" s="76">
        <v>0</v>
      </c>
      <c r="FM87" s="76">
        <v>0</v>
      </c>
      <c r="FN87" s="76">
        <v>456</v>
      </c>
      <c r="FO87" s="76">
        <v>205</v>
      </c>
      <c r="FP87" s="76">
        <v>251</v>
      </c>
      <c r="FQ87" s="76">
        <v>205</v>
      </c>
      <c r="FR87" s="76">
        <v>25</v>
      </c>
      <c r="FS87" s="76">
        <v>180</v>
      </c>
      <c r="FT87" s="76">
        <v>1644</v>
      </c>
      <c r="FU87" s="76">
        <v>732</v>
      </c>
      <c r="FV87" s="76">
        <v>912</v>
      </c>
      <c r="FW87" s="76">
        <v>0</v>
      </c>
      <c r="FX87" s="76">
        <v>0</v>
      </c>
      <c r="FY87" s="76">
        <v>0</v>
      </c>
      <c r="FZ87" s="76">
        <v>13</v>
      </c>
      <c r="GA87" s="76">
        <v>18</v>
      </c>
      <c r="GB87" s="76">
        <v>-5</v>
      </c>
      <c r="GC87" s="76">
        <v>2318</v>
      </c>
      <c r="GD87" s="76">
        <v>980</v>
      </c>
      <c r="GE87" s="76">
        <v>1338</v>
      </c>
      <c r="GF87" s="76">
        <v>0</v>
      </c>
      <c r="GG87" s="76">
        <v>0</v>
      </c>
      <c r="GH87" s="76">
        <v>0</v>
      </c>
      <c r="GI87" s="76">
        <v>0</v>
      </c>
      <c r="GJ87" s="76">
        <v>0</v>
      </c>
      <c r="GK87" s="76">
        <v>2179</v>
      </c>
      <c r="GL87" s="76">
        <v>2179</v>
      </c>
      <c r="GM87" s="76">
        <v>2523</v>
      </c>
      <c r="GN87" s="76">
        <v>622</v>
      </c>
      <c r="GO87" s="76">
        <v>0</v>
      </c>
      <c r="GP87" s="76">
        <v>0</v>
      </c>
      <c r="GQ87" s="76">
        <v>0</v>
      </c>
      <c r="GR87" s="76">
        <v>1353</v>
      </c>
      <c r="GS87" s="76">
        <v>0</v>
      </c>
      <c r="GT87" s="76">
        <v>0</v>
      </c>
      <c r="GU87" s="76">
        <v>124</v>
      </c>
      <c r="GV87" s="76">
        <v>0</v>
      </c>
      <c r="GW87" s="76">
        <v>1812</v>
      </c>
      <c r="GX87" s="76">
        <v>6434</v>
      </c>
      <c r="GY87" s="76">
        <v>0</v>
      </c>
      <c r="GZ87" s="76">
        <v>0</v>
      </c>
      <c r="HA87" s="76">
        <v>210</v>
      </c>
      <c r="HB87" s="76">
        <v>819</v>
      </c>
      <c r="HC87" s="76">
        <v>1029</v>
      </c>
      <c r="HD87" s="76">
        <v>0</v>
      </c>
      <c r="HE87" s="76">
        <v>104</v>
      </c>
      <c r="HF87" s="76">
        <v>104</v>
      </c>
      <c r="HG87" s="76">
        <v>3639</v>
      </c>
      <c r="HH87" s="76">
        <v>6</v>
      </c>
      <c r="HI87" s="76">
        <v>247</v>
      </c>
      <c r="HJ87" s="76">
        <v>0</v>
      </c>
      <c r="HK87" s="76">
        <v>42</v>
      </c>
      <c r="HL87" s="76">
        <v>-213</v>
      </c>
      <c r="HM87" s="76">
        <v>3721</v>
      </c>
      <c r="HN87" s="76">
        <v>6053</v>
      </c>
      <c r="HO87" s="76">
        <v>4687</v>
      </c>
      <c r="HP87" s="76">
        <v>0</v>
      </c>
      <c r="HQ87" s="76">
        <v>75</v>
      </c>
      <c r="HR87" s="76">
        <v>-25</v>
      </c>
      <c r="HS87" s="76">
        <v>0</v>
      </c>
      <c r="HT87" s="76">
        <v>5300</v>
      </c>
      <c r="HU87" s="76">
        <v>0</v>
      </c>
      <c r="HV87" s="76">
        <v>0</v>
      </c>
      <c r="HW87" s="76">
        <v>0</v>
      </c>
      <c r="HX87" s="76">
        <v>7</v>
      </c>
    </row>
    <row r="88" spans="1:232" x14ac:dyDescent="0.2">
      <c r="A88" s="74" t="s">
        <v>89</v>
      </c>
      <c r="B88" s="74" t="s">
        <v>87</v>
      </c>
      <c r="C88" s="75" t="s">
        <v>200</v>
      </c>
      <c r="D88" s="75">
        <v>12</v>
      </c>
      <c r="E88" s="76">
        <v>31853</v>
      </c>
      <c r="F88" s="76">
        <v>-874</v>
      </c>
      <c r="G88" s="76">
        <v>-21531</v>
      </c>
      <c r="H88" s="76">
        <v>9448</v>
      </c>
      <c r="I88" s="76">
        <v>2068</v>
      </c>
      <c r="J88" s="76">
        <v>0</v>
      </c>
      <c r="K88" s="76">
        <v>0</v>
      </c>
      <c r="L88" s="76">
        <v>0</v>
      </c>
      <c r="M88" s="76">
        <v>51</v>
      </c>
      <c r="N88" s="76">
        <v>-3999</v>
      </c>
      <c r="O88" s="76">
        <v>0</v>
      </c>
      <c r="P88" s="76">
        <v>-594</v>
      </c>
      <c r="Q88" s="76">
        <v>0</v>
      </c>
      <c r="R88" s="76">
        <v>0</v>
      </c>
      <c r="S88" s="76">
        <v>6974</v>
      </c>
      <c r="T88" s="76">
        <v>0</v>
      </c>
      <c r="U88" s="76">
        <v>6974</v>
      </c>
      <c r="V88" s="76">
        <v>0</v>
      </c>
      <c r="W88" s="76">
        <v>0</v>
      </c>
      <c r="X88" s="76">
        <v>-948</v>
      </c>
      <c r="Y88" s="76">
        <v>0</v>
      </c>
      <c r="Z88" s="76">
        <v>6026</v>
      </c>
      <c r="AA88" s="76">
        <v>23220</v>
      </c>
      <c r="AB88" s="76">
        <v>1849</v>
      </c>
      <c r="AC88" s="76">
        <v>25069</v>
      </c>
      <c r="AD88" s="76">
        <v>1753</v>
      </c>
      <c r="AE88" s="76">
        <v>0</v>
      </c>
      <c r="AF88" s="76">
        <v>148</v>
      </c>
      <c r="AG88" s="76">
        <v>32</v>
      </c>
      <c r="AH88" s="76">
        <v>27002</v>
      </c>
      <c r="AI88" s="76">
        <v>3183</v>
      </c>
      <c r="AJ88" s="76">
        <v>1863</v>
      </c>
      <c r="AK88" s="76">
        <v>3338</v>
      </c>
      <c r="AL88" s="76">
        <v>1352</v>
      </c>
      <c r="AM88" s="76">
        <v>2183</v>
      </c>
      <c r="AN88" s="76">
        <v>139</v>
      </c>
      <c r="AO88" s="76">
        <v>5470</v>
      </c>
      <c r="AP88" s="76">
        <v>0</v>
      </c>
      <c r="AQ88" s="76">
        <v>67</v>
      </c>
      <c r="AR88" s="76">
        <v>17595</v>
      </c>
      <c r="AS88" s="76">
        <v>9407</v>
      </c>
      <c r="AT88" s="76">
        <v>210</v>
      </c>
      <c r="AU88" s="76">
        <v>433058</v>
      </c>
      <c r="AV88" s="76">
        <v>0</v>
      </c>
      <c r="AW88" s="76">
        <v>2767</v>
      </c>
      <c r="AX88" s="76">
        <v>0</v>
      </c>
      <c r="AY88" s="76">
        <v>0</v>
      </c>
      <c r="AZ88" s="76">
        <v>0</v>
      </c>
      <c r="BA88" s="76">
        <v>0</v>
      </c>
      <c r="BB88" s="76">
        <v>0</v>
      </c>
      <c r="BC88" s="76">
        <v>0</v>
      </c>
      <c r="BD88" s="76">
        <v>0</v>
      </c>
      <c r="BE88" s="76">
        <v>435825</v>
      </c>
      <c r="BF88" s="76">
        <v>10804</v>
      </c>
      <c r="BG88" s="76">
        <v>2303</v>
      </c>
      <c r="BH88" s="76">
        <v>6532</v>
      </c>
      <c r="BI88" s="76">
        <v>0</v>
      </c>
      <c r="BJ88" s="76">
        <v>2275</v>
      </c>
      <c r="BK88" s="76">
        <v>21914</v>
      </c>
      <c r="BL88" s="76">
        <v>1200</v>
      </c>
      <c r="BM88" s="76">
        <v>0</v>
      </c>
      <c r="BN88" s="76">
        <v>1953</v>
      </c>
      <c r="BO88" s="76">
        <v>10234</v>
      </c>
      <c r="BP88" s="76">
        <v>13387</v>
      </c>
      <c r="BQ88" s="76">
        <v>8527</v>
      </c>
      <c r="BR88" s="76">
        <v>444352</v>
      </c>
      <c r="BS88" s="76">
        <v>164012</v>
      </c>
      <c r="BT88" s="76">
        <v>0</v>
      </c>
      <c r="BU88" s="76">
        <v>0</v>
      </c>
      <c r="BV88" s="76">
        <v>215425</v>
      </c>
      <c r="BW88" s="76">
        <v>0</v>
      </c>
      <c r="BX88" s="76">
        <v>26347</v>
      </c>
      <c r="BY88" s="76">
        <v>3347</v>
      </c>
      <c r="BZ88" s="76">
        <v>409131</v>
      </c>
      <c r="CA88" s="76">
        <v>5056</v>
      </c>
      <c r="CB88" s="76">
        <v>270</v>
      </c>
      <c r="CC88" s="76">
        <v>29895</v>
      </c>
      <c r="CD88" s="76">
        <v>45557</v>
      </c>
      <c r="CE88" s="76">
        <v>0</v>
      </c>
      <c r="CF88" s="76">
        <v>0</v>
      </c>
      <c r="CG88" s="76">
        <v>-15662</v>
      </c>
      <c r="CH88" s="76">
        <v>0</v>
      </c>
      <c r="CI88" s="76">
        <v>29895</v>
      </c>
      <c r="CJ88" s="76">
        <v>976</v>
      </c>
      <c r="CK88" s="76">
        <v>874</v>
      </c>
      <c r="CL88" s="76">
        <v>0</v>
      </c>
      <c r="CM88" s="76">
        <v>102</v>
      </c>
      <c r="CN88" s="76">
        <v>1092</v>
      </c>
      <c r="CO88" s="76">
        <v>0</v>
      </c>
      <c r="CP88" s="76">
        <v>978</v>
      </c>
      <c r="CQ88" s="76">
        <v>114</v>
      </c>
      <c r="CR88" s="76">
        <v>54</v>
      </c>
      <c r="CS88" s="76">
        <v>0</v>
      </c>
      <c r="CT88" s="76">
        <v>957</v>
      </c>
      <c r="CU88" s="76">
        <v>-903</v>
      </c>
      <c r="CV88" s="76">
        <v>42</v>
      </c>
      <c r="CW88" s="76">
        <v>0</v>
      </c>
      <c r="CX88" s="76">
        <v>420</v>
      </c>
      <c r="CY88" s="76">
        <v>-378</v>
      </c>
      <c r="CZ88" s="76">
        <v>1766</v>
      </c>
      <c r="DA88" s="76">
        <v>0</v>
      </c>
      <c r="DB88" s="76">
        <v>1269</v>
      </c>
      <c r="DC88" s="76">
        <v>497</v>
      </c>
      <c r="DD88" s="76">
        <v>3930</v>
      </c>
      <c r="DE88" s="76">
        <v>874</v>
      </c>
      <c r="DF88" s="76">
        <v>3624</v>
      </c>
      <c r="DG88" s="76">
        <v>-568</v>
      </c>
      <c r="DH88" s="76">
        <v>0</v>
      </c>
      <c r="DI88" s="76">
        <v>0</v>
      </c>
      <c r="DJ88" s="76">
        <v>0</v>
      </c>
      <c r="DK88" s="76">
        <v>0</v>
      </c>
      <c r="DL88" s="76">
        <v>0</v>
      </c>
      <c r="DM88" s="76">
        <v>0</v>
      </c>
      <c r="DN88" s="76">
        <v>0</v>
      </c>
      <c r="DO88" s="76">
        <v>0</v>
      </c>
      <c r="DP88" s="76">
        <v>769</v>
      </c>
      <c r="DQ88" s="76">
        <v>0</v>
      </c>
      <c r="DR88" s="76">
        <v>682</v>
      </c>
      <c r="DS88" s="76">
        <v>87</v>
      </c>
      <c r="DT88" s="76">
        <v>0</v>
      </c>
      <c r="DU88" s="76">
        <v>0</v>
      </c>
      <c r="DV88" s="76">
        <v>0</v>
      </c>
      <c r="DW88" s="76">
        <v>0</v>
      </c>
      <c r="DX88" s="76">
        <v>0</v>
      </c>
      <c r="DY88" s="76">
        <v>0</v>
      </c>
      <c r="DZ88" s="76">
        <v>0</v>
      </c>
      <c r="EA88" s="76">
        <v>0</v>
      </c>
      <c r="EB88" s="76">
        <v>152</v>
      </c>
      <c r="EC88" s="76">
        <v>0</v>
      </c>
      <c r="ED88" s="76">
        <v>-370</v>
      </c>
      <c r="EE88" s="76">
        <v>522</v>
      </c>
      <c r="EF88" s="76">
        <v>921</v>
      </c>
      <c r="EG88" s="76">
        <v>0</v>
      </c>
      <c r="EH88" s="76">
        <v>312</v>
      </c>
      <c r="EI88" s="76">
        <v>609</v>
      </c>
      <c r="EJ88" s="76">
        <v>4851</v>
      </c>
      <c r="EK88" s="76">
        <v>874</v>
      </c>
      <c r="EL88" s="76">
        <v>3936</v>
      </c>
      <c r="EM88" s="76">
        <v>41</v>
      </c>
      <c r="EN88" s="76">
        <v>1103</v>
      </c>
      <c r="EO88" s="76">
        <v>212</v>
      </c>
      <c r="EP88" s="76">
        <v>161</v>
      </c>
      <c r="EQ88" s="76">
        <v>212</v>
      </c>
      <c r="ER88" s="76">
        <v>474660</v>
      </c>
      <c r="ES88" s="76">
        <v>0</v>
      </c>
      <c r="ET88" s="76">
        <v>474660</v>
      </c>
      <c r="EU88" s="76">
        <v>29107</v>
      </c>
      <c r="EV88" s="76">
        <v>-3690</v>
      </c>
      <c r="EW88" s="76">
        <v>0</v>
      </c>
      <c r="EX88" s="76">
        <v>0</v>
      </c>
      <c r="EY88" s="76">
        <v>64</v>
      </c>
      <c r="EZ88" s="76">
        <v>500141</v>
      </c>
      <c r="FA88" s="76">
        <v>62388</v>
      </c>
      <c r="FB88" s="76">
        <v>5684</v>
      </c>
      <c r="FC88" s="76">
        <v>0</v>
      </c>
      <c r="FD88" s="76">
        <v>0</v>
      </c>
      <c r="FE88" s="76">
        <v>-989</v>
      </c>
      <c r="FF88" s="76">
        <v>0</v>
      </c>
      <c r="FG88" s="76">
        <v>0</v>
      </c>
      <c r="FH88" s="76">
        <v>67083</v>
      </c>
      <c r="FI88" s="76">
        <v>433058</v>
      </c>
      <c r="FJ88" s="76">
        <v>412272</v>
      </c>
      <c r="FK88" s="76">
        <v>2506</v>
      </c>
      <c r="FL88" s="76">
        <v>1412</v>
      </c>
      <c r="FM88" s="76">
        <v>1094</v>
      </c>
      <c r="FN88" s="76">
        <v>0</v>
      </c>
      <c r="FO88" s="76">
        <v>0</v>
      </c>
      <c r="FP88" s="76">
        <v>0</v>
      </c>
      <c r="FQ88" s="76">
        <v>355</v>
      </c>
      <c r="FR88" s="76">
        <v>352</v>
      </c>
      <c r="FS88" s="76">
        <v>3</v>
      </c>
      <c r="FT88" s="76">
        <v>1135</v>
      </c>
      <c r="FU88" s="76">
        <v>130</v>
      </c>
      <c r="FV88" s="76">
        <v>1005</v>
      </c>
      <c r="FW88" s="76">
        <v>0</v>
      </c>
      <c r="FX88" s="76">
        <v>0</v>
      </c>
      <c r="FY88" s="76">
        <v>0</v>
      </c>
      <c r="FZ88" s="76">
        <v>60</v>
      </c>
      <c r="GA88" s="76">
        <v>94</v>
      </c>
      <c r="GB88" s="76">
        <v>-34</v>
      </c>
      <c r="GC88" s="76">
        <v>4056</v>
      </c>
      <c r="GD88" s="76">
        <v>1988</v>
      </c>
      <c r="GE88" s="76">
        <v>2068</v>
      </c>
      <c r="GF88" s="76">
        <v>0</v>
      </c>
      <c r="GG88" s="76">
        <v>0</v>
      </c>
      <c r="GH88" s="76">
        <v>307</v>
      </c>
      <c r="GI88" s="76">
        <v>0</v>
      </c>
      <c r="GJ88" s="76">
        <v>0</v>
      </c>
      <c r="GK88" s="76">
        <v>1968</v>
      </c>
      <c r="GL88" s="76">
        <v>2275</v>
      </c>
      <c r="GM88" s="76">
        <v>2250</v>
      </c>
      <c r="GN88" s="76">
        <v>637</v>
      </c>
      <c r="GO88" s="76">
        <v>0</v>
      </c>
      <c r="GP88" s="76">
        <v>1267</v>
      </c>
      <c r="GQ88" s="76">
        <v>90</v>
      </c>
      <c r="GR88" s="76">
        <v>2462</v>
      </c>
      <c r="GS88" s="76">
        <v>0</v>
      </c>
      <c r="GT88" s="76">
        <v>0</v>
      </c>
      <c r="GU88" s="76">
        <v>0</v>
      </c>
      <c r="GV88" s="76">
        <v>0</v>
      </c>
      <c r="GW88" s="76">
        <v>3528</v>
      </c>
      <c r="GX88" s="76">
        <v>10234</v>
      </c>
      <c r="GY88" s="76">
        <v>2014</v>
      </c>
      <c r="GZ88" s="76">
        <v>235</v>
      </c>
      <c r="HA88" s="76">
        <v>0</v>
      </c>
      <c r="HB88" s="76">
        <v>1098</v>
      </c>
      <c r="HC88" s="76">
        <v>3347</v>
      </c>
      <c r="HD88" s="76">
        <v>0</v>
      </c>
      <c r="HE88" s="76">
        <v>270</v>
      </c>
      <c r="HF88" s="76">
        <v>270</v>
      </c>
      <c r="HG88" s="76">
        <v>4813</v>
      </c>
      <c r="HH88" s="76">
        <v>25</v>
      </c>
      <c r="HI88" s="76">
        <v>122</v>
      </c>
      <c r="HJ88" s="76">
        <v>16</v>
      </c>
      <c r="HK88" s="76">
        <v>65</v>
      </c>
      <c r="HL88" s="76">
        <v>-1042</v>
      </c>
      <c r="HM88" s="76">
        <v>3999</v>
      </c>
      <c r="HN88" s="76">
        <v>3234</v>
      </c>
      <c r="HO88" s="76">
        <v>6175</v>
      </c>
      <c r="HP88" s="76">
        <v>0</v>
      </c>
      <c r="HQ88" s="76">
        <v>50</v>
      </c>
      <c r="HR88" s="76">
        <v>-4</v>
      </c>
      <c r="HS88" s="76">
        <v>5</v>
      </c>
      <c r="HT88" s="76">
        <v>3795</v>
      </c>
      <c r="HU88" s="76">
        <v>0</v>
      </c>
      <c r="HV88" s="76">
        <v>0</v>
      </c>
      <c r="HW88" s="76">
        <v>0</v>
      </c>
      <c r="HX88" s="76">
        <v>0</v>
      </c>
    </row>
    <row r="89" spans="1:232" x14ac:dyDescent="0.2">
      <c r="A89" s="74" t="s">
        <v>432</v>
      </c>
      <c r="B89" s="74" t="s">
        <v>433</v>
      </c>
      <c r="C89" s="75" t="s">
        <v>200</v>
      </c>
      <c r="D89" s="75">
        <v>12</v>
      </c>
      <c r="E89" s="76">
        <v>62785</v>
      </c>
      <c r="F89" s="76">
        <v>0</v>
      </c>
      <c r="G89" s="76">
        <v>-43294</v>
      </c>
      <c r="H89" s="76">
        <v>19491</v>
      </c>
      <c r="I89" s="76">
        <v>2975</v>
      </c>
      <c r="J89" s="76">
        <v>0</v>
      </c>
      <c r="K89" s="76">
        <v>0</v>
      </c>
      <c r="L89" s="76">
        <v>0</v>
      </c>
      <c r="M89" s="76">
        <v>138</v>
      </c>
      <c r="N89" s="76">
        <v>-6530</v>
      </c>
      <c r="O89" s="76">
        <v>0</v>
      </c>
      <c r="P89" s="76">
        <v>0</v>
      </c>
      <c r="Q89" s="76">
        <v>0</v>
      </c>
      <c r="R89" s="76">
        <v>0</v>
      </c>
      <c r="S89" s="76">
        <v>16074</v>
      </c>
      <c r="T89" s="76">
        <v>0</v>
      </c>
      <c r="U89" s="76">
        <v>16074</v>
      </c>
      <c r="V89" s="76">
        <v>0</v>
      </c>
      <c r="W89" s="76">
        <v>-127</v>
      </c>
      <c r="X89" s="76">
        <v>0</v>
      </c>
      <c r="Y89" s="76">
        <v>0</v>
      </c>
      <c r="Z89" s="76">
        <v>15947</v>
      </c>
      <c r="AA89" s="76">
        <v>27836</v>
      </c>
      <c r="AB89" s="76">
        <v>3249</v>
      </c>
      <c r="AC89" s="76">
        <v>31085</v>
      </c>
      <c r="AD89" s="76">
        <v>1659</v>
      </c>
      <c r="AE89" s="76">
        <v>0</v>
      </c>
      <c r="AF89" s="76">
        <v>17315</v>
      </c>
      <c r="AG89" s="76">
        <v>75</v>
      </c>
      <c r="AH89" s="76">
        <v>50134</v>
      </c>
      <c r="AI89" s="76">
        <v>4199</v>
      </c>
      <c r="AJ89" s="76">
        <v>3566</v>
      </c>
      <c r="AK89" s="76">
        <v>2639</v>
      </c>
      <c r="AL89" s="76">
        <v>401</v>
      </c>
      <c r="AM89" s="76">
        <v>813</v>
      </c>
      <c r="AN89" s="76">
        <v>243</v>
      </c>
      <c r="AO89" s="76">
        <v>4852</v>
      </c>
      <c r="AP89" s="76">
        <v>0</v>
      </c>
      <c r="AQ89" s="76">
        <v>16332</v>
      </c>
      <c r="AR89" s="76">
        <v>33045</v>
      </c>
      <c r="AS89" s="76">
        <v>17089</v>
      </c>
      <c r="AT89" s="76">
        <v>435</v>
      </c>
      <c r="AU89" s="76">
        <v>523033</v>
      </c>
      <c r="AV89" s="76">
        <v>0</v>
      </c>
      <c r="AW89" s="76">
        <v>5740</v>
      </c>
      <c r="AX89" s="76">
        <v>0</v>
      </c>
      <c r="AY89" s="76">
        <v>0</v>
      </c>
      <c r="AZ89" s="76">
        <v>0</v>
      </c>
      <c r="BA89" s="76">
        <v>0</v>
      </c>
      <c r="BB89" s="76">
        <v>0</v>
      </c>
      <c r="BC89" s="76">
        <v>0</v>
      </c>
      <c r="BD89" s="76">
        <v>1905</v>
      </c>
      <c r="BE89" s="76">
        <v>530678</v>
      </c>
      <c r="BF89" s="76">
        <v>7765</v>
      </c>
      <c r="BG89" s="76">
        <v>3414</v>
      </c>
      <c r="BH89" s="76">
        <v>14484</v>
      </c>
      <c r="BI89" s="76">
        <v>0</v>
      </c>
      <c r="BJ89" s="76">
        <v>2154</v>
      </c>
      <c r="BK89" s="76">
        <v>27817</v>
      </c>
      <c r="BL89" s="76">
        <v>3663</v>
      </c>
      <c r="BM89" s="76">
        <v>0</v>
      </c>
      <c r="BN89" s="76">
        <v>1666</v>
      </c>
      <c r="BO89" s="76">
        <v>16454</v>
      </c>
      <c r="BP89" s="76">
        <v>21783</v>
      </c>
      <c r="BQ89" s="76">
        <v>6034</v>
      </c>
      <c r="BR89" s="76">
        <v>536712</v>
      </c>
      <c r="BS89" s="76">
        <v>293436</v>
      </c>
      <c r="BT89" s="76">
        <v>0</v>
      </c>
      <c r="BU89" s="76">
        <v>0</v>
      </c>
      <c r="BV89" s="76">
        <v>131658</v>
      </c>
      <c r="BW89" s="76">
        <v>0</v>
      </c>
      <c r="BX89" s="76">
        <v>0</v>
      </c>
      <c r="BY89" s="76">
        <v>12377</v>
      </c>
      <c r="BZ89" s="76">
        <v>437471</v>
      </c>
      <c r="CA89" s="76">
        <v>417</v>
      </c>
      <c r="CB89" s="76">
        <v>0</v>
      </c>
      <c r="CC89" s="76">
        <v>98824</v>
      </c>
      <c r="CD89" s="76">
        <v>98657</v>
      </c>
      <c r="CE89" s="76">
        <v>0</v>
      </c>
      <c r="CF89" s="76">
        <v>167</v>
      </c>
      <c r="CG89" s="76">
        <v>0</v>
      </c>
      <c r="CH89" s="76">
        <v>0</v>
      </c>
      <c r="CI89" s="76">
        <v>98824</v>
      </c>
      <c r="CJ89" s="76">
        <v>9412</v>
      </c>
      <c r="CK89" s="76">
        <v>0</v>
      </c>
      <c r="CL89" s="76">
        <v>7319</v>
      </c>
      <c r="CM89" s="76">
        <v>2093</v>
      </c>
      <c r="CN89" s="76">
        <v>1305</v>
      </c>
      <c r="CO89" s="76">
        <v>0</v>
      </c>
      <c r="CP89" s="76">
        <v>1305</v>
      </c>
      <c r="CQ89" s="76">
        <v>0</v>
      </c>
      <c r="CR89" s="76">
        <v>0</v>
      </c>
      <c r="CS89" s="76">
        <v>0</v>
      </c>
      <c r="CT89" s="76">
        <v>109</v>
      </c>
      <c r="CU89" s="76">
        <v>-109</v>
      </c>
      <c r="CV89" s="76">
        <v>0</v>
      </c>
      <c r="CW89" s="76">
        <v>0</v>
      </c>
      <c r="CX89" s="76">
        <v>0</v>
      </c>
      <c r="CY89" s="76">
        <v>0</v>
      </c>
      <c r="CZ89" s="76">
        <v>1344</v>
      </c>
      <c r="DA89" s="76">
        <v>0</v>
      </c>
      <c r="DB89" s="76">
        <v>784</v>
      </c>
      <c r="DC89" s="76">
        <v>560</v>
      </c>
      <c r="DD89" s="76">
        <v>12061</v>
      </c>
      <c r="DE89" s="76">
        <v>0</v>
      </c>
      <c r="DF89" s="76">
        <v>9517</v>
      </c>
      <c r="DG89" s="76">
        <v>2544</v>
      </c>
      <c r="DH89" s="76">
        <v>0</v>
      </c>
      <c r="DI89" s="76">
        <v>0</v>
      </c>
      <c r="DJ89" s="76">
        <v>0</v>
      </c>
      <c r="DK89" s="76">
        <v>0</v>
      </c>
      <c r="DL89" s="76">
        <v>0</v>
      </c>
      <c r="DM89" s="76">
        <v>0</v>
      </c>
      <c r="DN89" s="76">
        <v>0</v>
      </c>
      <c r="DO89" s="76">
        <v>0</v>
      </c>
      <c r="DP89" s="76">
        <v>490</v>
      </c>
      <c r="DQ89" s="76">
        <v>0</v>
      </c>
      <c r="DR89" s="76">
        <v>604</v>
      </c>
      <c r="DS89" s="76">
        <v>-114</v>
      </c>
      <c r="DT89" s="76">
        <v>0</v>
      </c>
      <c r="DU89" s="76">
        <v>0</v>
      </c>
      <c r="DV89" s="76">
        <v>0</v>
      </c>
      <c r="DW89" s="76">
        <v>0</v>
      </c>
      <c r="DX89" s="76">
        <v>0</v>
      </c>
      <c r="DY89" s="76">
        <v>0</v>
      </c>
      <c r="DZ89" s="76">
        <v>0</v>
      </c>
      <c r="EA89" s="76">
        <v>0</v>
      </c>
      <c r="EB89" s="76">
        <v>100</v>
      </c>
      <c r="EC89" s="76">
        <v>0</v>
      </c>
      <c r="ED89" s="76">
        <v>128</v>
      </c>
      <c r="EE89" s="76">
        <v>-28</v>
      </c>
      <c r="EF89" s="76">
        <v>590</v>
      </c>
      <c r="EG89" s="76">
        <v>0</v>
      </c>
      <c r="EH89" s="76">
        <v>732</v>
      </c>
      <c r="EI89" s="76">
        <v>-142</v>
      </c>
      <c r="EJ89" s="76">
        <v>12651</v>
      </c>
      <c r="EK89" s="76">
        <v>0</v>
      </c>
      <c r="EL89" s="76">
        <v>10249</v>
      </c>
      <c r="EM89" s="76">
        <v>2402</v>
      </c>
      <c r="EN89" s="76">
        <v>703</v>
      </c>
      <c r="EO89" s="76">
        <v>572</v>
      </c>
      <c r="EP89" s="76">
        <v>346</v>
      </c>
      <c r="EQ89" s="76">
        <v>572</v>
      </c>
      <c r="ER89" s="76">
        <v>489587</v>
      </c>
      <c r="ES89" s="76">
        <v>0</v>
      </c>
      <c r="ET89" s="76">
        <v>489587</v>
      </c>
      <c r="EU89" s="76">
        <v>76188</v>
      </c>
      <c r="EV89" s="76">
        <v>-5082</v>
      </c>
      <c r="EW89" s="76">
        <v>0</v>
      </c>
      <c r="EX89" s="76">
        <v>0</v>
      </c>
      <c r="EY89" s="76">
        <v>-413</v>
      </c>
      <c r="EZ89" s="76">
        <v>560280</v>
      </c>
      <c r="FA89" s="76">
        <v>32736</v>
      </c>
      <c r="FB89" s="76">
        <v>4768</v>
      </c>
      <c r="FC89" s="76">
        <v>0</v>
      </c>
      <c r="FD89" s="76">
        <v>0</v>
      </c>
      <c r="FE89" s="76">
        <v>-257</v>
      </c>
      <c r="FF89" s="76">
        <v>0</v>
      </c>
      <c r="FG89" s="76">
        <v>0</v>
      </c>
      <c r="FH89" s="76">
        <v>37247</v>
      </c>
      <c r="FI89" s="76">
        <v>523033</v>
      </c>
      <c r="FJ89" s="76">
        <v>456851</v>
      </c>
      <c r="FK89" s="76">
        <v>6987</v>
      </c>
      <c r="FL89" s="76">
        <v>4673</v>
      </c>
      <c r="FM89" s="76">
        <v>2314</v>
      </c>
      <c r="FN89" s="76">
        <v>0</v>
      </c>
      <c r="FO89" s="76">
        <v>0</v>
      </c>
      <c r="FP89" s="76">
        <v>0</v>
      </c>
      <c r="FQ89" s="76">
        <v>0</v>
      </c>
      <c r="FR89" s="76">
        <v>0</v>
      </c>
      <c r="FS89" s="76">
        <v>0</v>
      </c>
      <c r="FT89" s="76">
        <v>923</v>
      </c>
      <c r="FU89" s="76">
        <v>606</v>
      </c>
      <c r="FV89" s="76">
        <v>317</v>
      </c>
      <c r="FW89" s="76">
        <v>0</v>
      </c>
      <c r="FX89" s="76">
        <v>0</v>
      </c>
      <c r="FY89" s="76">
        <v>0</v>
      </c>
      <c r="FZ89" s="76">
        <v>1070</v>
      </c>
      <c r="GA89" s="76">
        <v>726</v>
      </c>
      <c r="GB89" s="76">
        <v>344</v>
      </c>
      <c r="GC89" s="76">
        <v>8980</v>
      </c>
      <c r="GD89" s="76">
        <v>6005</v>
      </c>
      <c r="GE89" s="76">
        <v>2975</v>
      </c>
      <c r="GF89" s="76">
        <v>0</v>
      </c>
      <c r="GG89" s="76">
        <v>0</v>
      </c>
      <c r="GH89" s="76">
        <v>2154</v>
      </c>
      <c r="GI89" s="76">
        <v>0</v>
      </c>
      <c r="GJ89" s="76">
        <v>0</v>
      </c>
      <c r="GK89" s="76">
        <v>0</v>
      </c>
      <c r="GL89" s="76">
        <v>2154</v>
      </c>
      <c r="GM89" s="76">
        <v>1893</v>
      </c>
      <c r="GN89" s="76">
        <v>1436</v>
      </c>
      <c r="GO89" s="76">
        <v>0</v>
      </c>
      <c r="GP89" s="76">
        <v>682</v>
      </c>
      <c r="GQ89" s="76">
        <v>124</v>
      </c>
      <c r="GR89" s="76">
        <v>1869</v>
      </c>
      <c r="GS89" s="76">
        <v>0</v>
      </c>
      <c r="GT89" s="76">
        <v>0</v>
      </c>
      <c r="GU89" s="76">
        <v>567</v>
      </c>
      <c r="GV89" s="76">
        <v>0</v>
      </c>
      <c r="GW89" s="76">
        <v>9883</v>
      </c>
      <c r="GX89" s="76">
        <v>16454</v>
      </c>
      <c r="GY89" s="76">
        <v>2543</v>
      </c>
      <c r="GZ89" s="76">
        <v>0</v>
      </c>
      <c r="HA89" s="76">
        <v>3727</v>
      </c>
      <c r="HB89" s="76">
        <v>6107</v>
      </c>
      <c r="HC89" s="76">
        <v>12377</v>
      </c>
      <c r="HD89" s="76">
        <v>0</v>
      </c>
      <c r="HE89" s="76">
        <v>0</v>
      </c>
      <c r="HF89" s="76">
        <v>0</v>
      </c>
      <c r="HG89" s="76">
        <v>8109</v>
      </c>
      <c r="HH89" s="76">
        <v>295</v>
      </c>
      <c r="HI89" s="76">
        <v>90</v>
      </c>
      <c r="HJ89" s="76">
        <v>14</v>
      </c>
      <c r="HK89" s="76">
        <v>0</v>
      </c>
      <c r="HL89" s="76">
        <v>-1978</v>
      </c>
      <c r="HM89" s="76">
        <v>6530</v>
      </c>
      <c r="HN89" s="76">
        <v>1065</v>
      </c>
      <c r="HO89" s="76">
        <v>5164</v>
      </c>
      <c r="HP89" s="76">
        <v>0</v>
      </c>
      <c r="HQ89" s="76">
        <v>262</v>
      </c>
      <c r="HR89" s="76">
        <v>-55</v>
      </c>
      <c r="HS89" s="76">
        <v>33</v>
      </c>
      <c r="HT89" s="76">
        <v>4825</v>
      </c>
      <c r="HU89" s="76">
        <v>3</v>
      </c>
      <c r="HV89" s="76">
        <v>0</v>
      </c>
      <c r="HW89" s="76">
        <v>27</v>
      </c>
      <c r="HX89" s="76">
        <v>495</v>
      </c>
    </row>
    <row r="90" spans="1:232" x14ac:dyDescent="0.2">
      <c r="A90" s="74" t="s">
        <v>436</v>
      </c>
      <c r="B90" s="74" t="s">
        <v>437</v>
      </c>
      <c r="C90" s="75" t="s">
        <v>200</v>
      </c>
      <c r="D90" s="75">
        <v>12</v>
      </c>
      <c r="E90" s="76">
        <v>352698</v>
      </c>
      <c r="F90" s="76">
        <v>-10226</v>
      </c>
      <c r="G90" s="76">
        <v>-259163</v>
      </c>
      <c r="H90" s="76">
        <v>83309</v>
      </c>
      <c r="I90" s="76">
        <v>3774</v>
      </c>
      <c r="J90" s="76">
        <v>0</v>
      </c>
      <c r="K90" s="76">
        <v>0</v>
      </c>
      <c r="L90" s="76">
        <v>1859</v>
      </c>
      <c r="M90" s="76">
        <v>2156</v>
      </c>
      <c r="N90" s="76">
        <v>-42660</v>
      </c>
      <c r="O90" s="76">
        <v>0</v>
      </c>
      <c r="P90" s="76">
        <v>0</v>
      </c>
      <c r="Q90" s="76">
        <v>0</v>
      </c>
      <c r="R90" s="76">
        <v>0</v>
      </c>
      <c r="S90" s="76">
        <v>48438</v>
      </c>
      <c r="T90" s="76">
        <v>-1029</v>
      </c>
      <c r="U90" s="76">
        <v>47409</v>
      </c>
      <c r="V90" s="76">
        <v>0</v>
      </c>
      <c r="W90" s="76">
        <v>-18750</v>
      </c>
      <c r="X90" s="76">
        <v>0</v>
      </c>
      <c r="Y90" s="76">
        <v>0</v>
      </c>
      <c r="Z90" s="76">
        <v>28659</v>
      </c>
      <c r="AA90" s="76">
        <v>221556</v>
      </c>
      <c r="AB90" s="76">
        <v>38394</v>
      </c>
      <c r="AC90" s="76">
        <v>259950</v>
      </c>
      <c r="AD90" s="76">
        <v>9012</v>
      </c>
      <c r="AE90" s="76">
        <v>5082</v>
      </c>
      <c r="AF90" s="76">
        <v>127</v>
      </c>
      <c r="AG90" s="76">
        <v>0</v>
      </c>
      <c r="AH90" s="76">
        <v>274171</v>
      </c>
      <c r="AI90" s="76">
        <v>55768</v>
      </c>
      <c r="AJ90" s="76">
        <v>29358</v>
      </c>
      <c r="AK90" s="76">
        <v>35931</v>
      </c>
      <c r="AL90" s="76">
        <v>21946</v>
      </c>
      <c r="AM90" s="76">
        <v>2949</v>
      </c>
      <c r="AN90" s="76">
        <v>4855</v>
      </c>
      <c r="AO90" s="76">
        <v>41482</v>
      </c>
      <c r="AP90" s="76">
        <v>1483</v>
      </c>
      <c r="AQ90" s="76">
        <v>4985</v>
      </c>
      <c r="AR90" s="76">
        <v>198757</v>
      </c>
      <c r="AS90" s="76">
        <v>75414</v>
      </c>
      <c r="AT90" s="76">
        <v>7404</v>
      </c>
      <c r="AU90" s="76">
        <v>2090311</v>
      </c>
      <c r="AV90" s="76">
        <v>0</v>
      </c>
      <c r="AW90" s="76">
        <v>26150</v>
      </c>
      <c r="AX90" s="76">
        <v>21055</v>
      </c>
      <c r="AY90" s="76">
        <v>682</v>
      </c>
      <c r="AZ90" s="76">
        <v>0</v>
      </c>
      <c r="BA90" s="76">
        <v>33576</v>
      </c>
      <c r="BB90" s="76">
        <v>10569</v>
      </c>
      <c r="BC90" s="76">
        <v>0</v>
      </c>
      <c r="BD90" s="76">
        <v>8341</v>
      </c>
      <c r="BE90" s="76">
        <v>2190684</v>
      </c>
      <c r="BF90" s="76">
        <v>94758</v>
      </c>
      <c r="BG90" s="76">
        <v>9382</v>
      </c>
      <c r="BH90" s="76">
        <v>27918</v>
      </c>
      <c r="BI90" s="76">
        <v>0</v>
      </c>
      <c r="BJ90" s="76">
        <v>17483</v>
      </c>
      <c r="BK90" s="76">
        <v>149541</v>
      </c>
      <c r="BL90" s="76">
        <v>14988</v>
      </c>
      <c r="BM90" s="76">
        <v>0</v>
      </c>
      <c r="BN90" s="76">
        <v>8452</v>
      </c>
      <c r="BO90" s="76">
        <v>97575</v>
      </c>
      <c r="BP90" s="76">
        <v>121015</v>
      </c>
      <c r="BQ90" s="76">
        <v>28526</v>
      </c>
      <c r="BR90" s="76">
        <v>2219210</v>
      </c>
      <c r="BS90" s="76">
        <v>898759</v>
      </c>
      <c r="BT90" s="76">
        <v>0</v>
      </c>
      <c r="BU90" s="76">
        <v>0</v>
      </c>
      <c r="BV90" s="76">
        <v>739881</v>
      </c>
      <c r="BW90" s="76">
        <v>682</v>
      </c>
      <c r="BX90" s="76">
        <v>0</v>
      </c>
      <c r="BY90" s="76">
        <v>10543</v>
      </c>
      <c r="BZ90" s="76">
        <v>1649865</v>
      </c>
      <c r="CA90" s="76">
        <v>73799</v>
      </c>
      <c r="CB90" s="76">
        <v>0</v>
      </c>
      <c r="CC90" s="76">
        <v>495546</v>
      </c>
      <c r="CD90" s="76">
        <v>494474</v>
      </c>
      <c r="CE90" s="76">
        <v>0</v>
      </c>
      <c r="CF90" s="76">
        <v>1072</v>
      </c>
      <c r="CG90" s="76">
        <v>0</v>
      </c>
      <c r="CH90" s="76">
        <v>0</v>
      </c>
      <c r="CI90" s="76">
        <v>495546</v>
      </c>
      <c r="CJ90" s="76">
        <v>9020</v>
      </c>
      <c r="CK90" s="76">
        <v>4837</v>
      </c>
      <c r="CL90" s="76">
        <v>0</v>
      </c>
      <c r="CM90" s="76">
        <v>4183</v>
      </c>
      <c r="CN90" s="76">
        <v>49351</v>
      </c>
      <c r="CO90" s="76">
        <v>0</v>
      </c>
      <c r="CP90" s="76">
        <v>46479</v>
      </c>
      <c r="CQ90" s="76">
        <v>2872</v>
      </c>
      <c r="CR90" s="76">
        <v>0</v>
      </c>
      <c r="CS90" s="76">
        <v>0</v>
      </c>
      <c r="CT90" s="76">
        <v>5858</v>
      </c>
      <c r="CU90" s="76">
        <v>-5858</v>
      </c>
      <c r="CV90" s="76">
        <v>0</v>
      </c>
      <c r="CW90" s="76">
        <v>0</v>
      </c>
      <c r="CX90" s="76">
        <v>924</v>
      </c>
      <c r="CY90" s="76">
        <v>-924</v>
      </c>
      <c r="CZ90" s="76">
        <v>5534</v>
      </c>
      <c r="DA90" s="76">
        <v>0</v>
      </c>
      <c r="DB90" s="76">
        <v>2781</v>
      </c>
      <c r="DC90" s="76">
        <v>2753</v>
      </c>
      <c r="DD90" s="76">
        <v>63905</v>
      </c>
      <c r="DE90" s="76">
        <v>4837</v>
      </c>
      <c r="DF90" s="76">
        <v>56042</v>
      </c>
      <c r="DG90" s="76">
        <v>3026</v>
      </c>
      <c r="DH90" s="76">
        <v>8457</v>
      </c>
      <c r="DI90" s="76">
        <v>5389</v>
      </c>
      <c r="DJ90" s="76">
        <v>259</v>
      </c>
      <c r="DK90" s="76">
        <v>2809</v>
      </c>
      <c r="DL90" s="76">
        <v>0</v>
      </c>
      <c r="DM90" s="76">
        <v>0</v>
      </c>
      <c r="DN90" s="76">
        <v>0</v>
      </c>
      <c r="DO90" s="76">
        <v>0</v>
      </c>
      <c r="DP90" s="76">
        <v>0</v>
      </c>
      <c r="DQ90" s="76">
        <v>0</v>
      </c>
      <c r="DR90" s="76">
        <v>0</v>
      </c>
      <c r="DS90" s="76">
        <v>0</v>
      </c>
      <c r="DT90" s="76">
        <v>2987</v>
      </c>
      <c r="DU90" s="76">
        <v>0</v>
      </c>
      <c r="DV90" s="76">
        <v>1095</v>
      </c>
      <c r="DW90" s="76">
        <v>1892</v>
      </c>
      <c r="DX90" s="76">
        <v>0</v>
      </c>
      <c r="DY90" s="76">
        <v>0</v>
      </c>
      <c r="DZ90" s="76">
        <v>0</v>
      </c>
      <c r="EA90" s="76">
        <v>0</v>
      </c>
      <c r="EB90" s="76">
        <v>3178</v>
      </c>
      <c r="EC90" s="76">
        <v>0</v>
      </c>
      <c r="ED90" s="76">
        <v>3010</v>
      </c>
      <c r="EE90" s="76">
        <v>168</v>
      </c>
      <c r="EF90" s="76">
        <v>14622</v>
      </c>
      <c r="EG90" s="76">
        <v>5389</v>
      </c>
      <c r="EH90" s="76">
        <v>4364</v>
      </c>
      <c r="EI90" s="76">
        <v>4869</v>
      </c>
      <c r="EJ90" s="76">
        <v>78527</v>
      </c>
      <c r="EK90" s="76">
        <v>10226</v>
      </c>
      <c r="EL90" s="76">
        <v>60406</v>
      </c>
      <c r="EM90" s="76">
        <v>7895</v>
      </c>
      <c r="EN90" s="76">
        <v>11583</v>
      </c>
      <c r="EO90" s="76">
        <v>4232</v>
      </c>
      <c r="EP90" s="76">
        <v>2487</v>
      </c>
      <c r="EQ90" s="76">
        <v>3946</v>
      </c>
      <c r="ER90" s="76">
        <v>2367045</v>
      </c>
      <c r="ES90" s="76">
        <v>0</v>
      </c>
      <c r="ET90" s="76">
        <v>2367045</v>
      </c>
      <c r="EU90" s="76">
        <v>121865</v>
      </c>
      <c r="EV90" s="76">
        <v>-18595</v>
      </c>
      <c r="EW90" s="76">
        <v>0</v>
      </c>
      <c r="EX90" s="76">
        <v>0</v>
      </c>
      <c r="EY90" s="76">
        <v>894</v>
      </c>
      <c r="EZ90" s="76">
        <v>2471209</v>
      </c>
      <c r="FA90" s="76">
        <v>348313</v>
      </c>
      <c r="FB90" s="76">
        <v>41482</v>
      </c>
      <c r="FC90" s="76">
        <v>1483</v>
      </c>
      <c r="FD90" s="76">
        <v>0</v>
      </c>
      <c r="FE90" s="76">
        <v>-10912</v>
      </c>
      <c r="FF90" s="76">
        <v>0</v>
      </c>
      <c r="FG90" s="76">
        <v>532</v>
      </c>
      <c r="FH90" s="76">
        <v>380898</v>
      </c>
      <c r="FI90" s="76">
        <v>2090311</v>
      </c>
      <c r="FJ90" s="76">
        <v>2018732</v>
      </c>
      <c r="FK90" s="76">
        <v>5538</v>
      </c>
      <c r="FL90" s="76">
        <v>3081</v>
      </c>
      <c r="FM90" s="76">
        <v>2457</v>
      </c>
      <c r="FN90" s="76">
        <v>990</v>
      </c>
      <c r="FO90" s="76">
        <v>528</v>
      </c>
      <c r="FP90" s="76">
        <v>462</v>
      </c>
      <c r="FQ90" s="76">
        <v>2430</v>
      </c>
      <c r="FR90" s="76">
        <v>2311</v>
      </c>
      <c r="FS90" s="76">
        <v>119</v>
      </c>
      <c r="FT90" s="76">
        <v>2741</v>
      </c>
      <c r="FU90" s="76">
        <v>2005</v>
      </c>
      <c r="FV90" s="76">
        <v>736</v>
      </c>
      <c r="FW90" s="76">
        <v>0</v>
      </c>
      <c r="FX90" s="76">
        <v>0</v>
      </c>
      <c r="FY90" s="76">
        <v>0</v>
      </c>
      <c r="FZ90" s="76">
        <v>0</v>
      </c>
      <c r="GA90" s="76">
        <v>0</v>
      </c>
      <c r="GB90" s="76">
        <v>0</v>
      </c>
      <c r="GC90" s="76">
        <v>11699</v>
      </c>
      <c r="GD90" s="76">
        <v>7925</v>
      </c>
      <c r="GE90" s="76">
        <v>3774</v>
      </c>
      <c r="GF90" s="76">
        <v>0</v>
      </c>
      <c r="GG90" s="76">
        <v>66</v>
      </c>
      <c r="GH90" s="76">
        <v>1973</v>
      </c>
      <c r="GI90" s="76">
        <v>0</v>
      </c>
      <c r="GJ90" s="76">
        <v>0</v>
      </c>
      <c r="GK90" s="76">
        <v>15444</v>
      </c>
      <c r="GL90" s="76">
        <v>17483</v>
      </c>
      <c r="GM90" s="76">
        <v>913</v>
      </c>
      <c r="GN90" s="76">
        <v>7440</v>
      </c>
      <c r="GO90" s="76">
        <v>0</v>
      </c>
      <c r="GP90" s="76">
        <v>670</v>
      </c>
      <c r="GQ90" s="76">
        <v>786</v>
      </c>
      <c r="GR90" s="76">
        <v>60867</v>
      </c>
      <c r="GS90" s="76">
        <v>0</v>
      </c>
      <c r="GT90" s="76">
        <v>0</v>
      </c>
      <c r="GU90" s="76">
        <v>0</v>
      </c>
      <c r="GV90" s="76">
        <v>0</v>
      </c>
      <c r="GW90" s="76">
        <v>26899</v>
      </c>
      <c r="GX90" s="76">
        <v>97575</v>
      </c>
      <c r="GY90" s="76">
        <v>6841</v>
      </c>
      <c r="GZ90" s="76">
        <v>3005</v>
      </c>
      <c r="HA90" s="76">
        <v>0</v>
      </c>
      <c r="HB90" s="76">
        <v>697</v>
      </c>
      <c r="HC90" s="76">
        <v>10543</v>
      </c>
      <c r="HD90" s="76">
        <v>0</v>
      </c>
      <c r="HE90" s="76">
        <v>0</v>
      </c>
      <c r="HF90" s="76">
        <v>0</v>
      </c>
      <c r="HG90" s="76">
        <v>43162</v>
      </c>
      <c r="HH90" s="76">
        <v>0</v>
      </c>
      <c r="HI90" s="76">
        <v>1884</v>
      </c>
      <c r="HJ90" s="76">
        <v>33</v>
      </c>
      <c r="HK90" s="76">
        <v>0</v>
      </c>
      <c r="HL90" s="76">
        <v>-2419</v>
      </c>
      <c r="HM90" s="76">
        <v>42660</v>
      </c>
      <c r="HN90" s="76">
        <v>13281</v>
      </c>
      <c r="HO90" s="76">
        <v>49264</v>
      </c>
      <c r="HP90" s="76">
        <v>1516</v>
      </c>
      <c r="HQ90" s="76">
        <v>1054</v>
      </c>
      <c r="HR90" s="76">
        <v>-450</v>
      </c>
      <c r="HS90" s="76">
        <v>-913</v>
      </c>
      <c r="HT90" s="76">
        <v>50420</v>
      </c>
      <c r="HU90" s="76">
        <v>118</v>
      </c>
      <c r="HV90" s="76">
        <v>0</v>
      </c>
      <c r="HW90" s="76">
        <v>827</v>
      </c>
      <c r="HX90" s="76">
        <v>3194</v>
      </c>
    </row>
    <row r="91" spans="1:232" x14ac:dyDescent="0.2">
      <c r="A91" s="74" t="s">
        <v>439</v>
      </c>
      <c r="B91" s="74" t="s">
        <v>440</v>
      </c>
      <c r="C91" s="75" t="s">
        <v>200</v>
      </c>
      <c r="D91" s="75">
        <v>12</v>
      </c>
      <c r="E91" s="76">
        <v>202353</v>
      </c>
      <c r="F91" s="76">
        <v>-4886</v>
      </c>
      <c r="G91" s="76">
        <v>-165185</v>
      </c>
      <c r="H91" s="76">
        <v>32282</v>
      </c>
      <c r="I91" s="76">
        <v>638</v>
      </c>
      <c r="J91" s="76">
        <v>0</v>
      </c>
      <c r="K91" s="76">
        <v>0</v>
      </c>
      <c r="L91" s="76">
        <v>0</v>
      </c>
      <c r="M91" s="76">
        <v>7337</v>
      </c>
      <c r="N91" s="76">
        <v>-23436</v>
      </c>
      <c r="O91" s="76">
        <v>0</v>
      </c>
      <c r="P91" s="76">
        <v>182</v>
      </c>
      <c r="Q91" s="76">
        <v>0</v>
      </c>
      <c r="R91" s="76">
        <v>0</v>
      </c>
      <c r="S91" s="76">
        <v>17003</v>
      </c>
      <c r="T91" s="76">
        <v>-21</v>
      </c>
      <c r="U91" s="76">
        <v>16982</v>
      </c>
      <c r="V91" s="76">
        <v>0</v>
      </c>
      <c r="W91" s="76">
        <v>44</v>
      </c>
      <c r="X91" s="76">
        <v>-2500</v>
      </c>
      <c r="Y91" s="76">
        <v>0</v>
      </c>
      <c r="Z91" s="76">
        <v>14526</v>
      </c>
      <c r="AA91" s="76">
        <v>84980</v>
      </c>
      <c r="AB91" s="76">
        <v>41225</v>
      </c>
      <c r="AC91" s="76">
        <v>126205</v>
      </c>
      <c r="AD91" s="76">
        <v>320</v>
      </c>
      <c r="AE91" s="76">
        <v>0</v>
      </c>
      <c r="AF91" s="76">
        <v>0</v>
      </c>
      <c r="AG91" s="76">
        <v>15013</v>
      </c>
      <c r="AH91" s="76">
        <v>141538</v>
      </c>
      <c r="AI91" s="76">
        <v>26520</v>
      </c>
      <c r="AJ91" s="76">
        <v>36710</v>
      </c>
      <c r="AK91" s="76">
        <v>11369</v>
      </c>
      <c r="AL91" s="76">
        <v>6160</v>
      </c>
      <c r="AM91" s="76">
        <v>1129</v>
      </c>
      <c r="AN91" s="76">
        <v>72</v>
      </c>
      <c r="AO91" s="76">
        <v>29145</v>
      </c>
      <c r="AP91" s="76">
        <v>3995</v>
      </c>
      <c r="AQ91" s="76">
        <v>-4500</v>
      </c>
      <c r="AR91" s="76">
        <v>110600</v>
      </c>
      <c r="AS91" s="76">
        <v>30938</v>
      </c>
      <c r="AT91" s="76">
        <v>3494</v>
      </c>
      <c r="AU91" s="76">
        <v>1089750</v>
      </c>
      <c r="AV91" s="76">
        <v>0</v>
      </c>
      <c r="AW91" s="76">
        <v>1513</v>
      </c>
      <c r="AX91" s="76">
        <v>0</v>
      </c>
      <c r="AY91" s="76">
        <v>0</v>
      </c>
      <c r="AZ91" s="76">
        <v>0</v>
      </c>
      <c r="BA91" s="76">
        <v>0</v>
      </c>
      <c r="BB91" s="76">
        <v>0</v>
      </c>
      <c r="BC91" s="76">
        <v>0</v>
      </c>
      <c r="BD91" s="76">
        <v>0</v>
      </c>
      <c r="BE91" s="76">
        <v>1091263</v>
      </c>
      <c r="BF91" s="76">
        <v>1604</v>
      </c>
      <c r="BG91" s="76">
        <v>16660</v>
      </c>
      <c r="BH91" s="76">
        <v>69532</v>
      </c>
      <c r="BI91" s="76">
        <v>0</v>
      </c>
      <c r="BJ91" s="76">
        <v>119025</v>
      </c>
      <c r="BK91" s="76">
        <v>206821</v>
      </c>
      <c r="BL91" s="76">
        <v>22138</v>
      </c>
      <c r="BM91" s="76">
        <v>0</v>
      </c>
      <c r="BN91" s="76">
        <v>0</v>
      </c>
      <c r="BO91" s="76">
        <v>75284</v>
      </c>
      <c r="BP91" s="76">
        <v>97422</v>
      </c>
      <c r="BQ91" s="76">
        <v>109399</v>
      </c>
      <c r="BR91" s="76">
        <v>1200662</v>
      </c>
      <c r="BS91" s="76">
        <v>434863</v>
      </c>
      <c r="BT91" s="76">
        <v>0</v>
      </c>
      <c r="BU91" s="76">
        <v>2111</v>
      </c>
      <c r="BV91" s="76">
        <v>33843</v>
      </c>
      <c r="BW91" s="76">
        <v>0</v>
      </c>
      <c r="BX91" s="76">
        <v>75880</v>
      </c>
      <c r="BY91" s="76">
        <v>16168</v>
      </c>
      <c r="BZ91" s="76">
        <v>562865</v>
      </c>
      <c r="CA91" s="76">
        <v>0</v>
      </c>
      <c r="CB91" s="76">
        <v>0</v>
      </c>
      <c r="CC91" s="76">
        <v>637797</v>
      </c>
      <c r="CD91" s="76">
        <v>398360</v>
      </c>
      <c r="CE91" s="76">
        <v>303440</v>
      </c>
      <c r="CF91" s="76">
        <v>0</v>
      </c>
      <c r="CG91" s="76">
        <v>-64003</v>
      </c>
      <c r="CH91" s="76">
        <v>0</v>
      </c>
      <c r="CI91" s="76">
        <v>637797</v>
      </c>
      <c r="CJ91" s="76">
        <v>5983</v>
      </c>
      <c r="CK91" s="76">
        <v>4886</v>
      </c>
      <c r="CL91" s="76">
        <v>0</v>
      </c>
      <c r="CM91" s="76">
        <v>1097</v>
      </c>
      <c r="CN91" s="76">
        <v>2926</v>
      </c>
      <c r="CO91" s="76">
        <v>0</v>
      </c>
      <c r="CP91" s="76">
        <v>2813</v>
      </c>
      <c r="CQ91" s="76">
        <v>113</v>
      </c>
      <c r="CR91" s="76">
        <v>0</v>
      </c>
      <c r="CS91" s="76">
        <v>0</v>
      </c>
      <c r="CT91" s="76">
        <v>0</v>
      </c>
      <c r="CU91" s="76">
        <v>0</v>
      </c>
      <c r="CV91" s="76">
        <v>0</v>
      </c>
      <c r="CW91" s="76">
        <v>0</v>
      </c>
      <c r="CX91" s="76">
        <v>0</v>
      </c>
      <c r="CY91" s="76">
        <v>0</v>
      </c>
      <c r="CZ91" s="76">
        <v>0</v>
      </c>
      <c r="DA91" s="76">
        <v>0</v>
      </c>
      <c r="DB91" s="76">
        <v>0</v>
      </c>
      <c r="DC91" s="76">
        <v>0</v>
      </c>
      <c r="DD91" s="76">
        <v>8909</v>
      </c>
      <c r="DE91" s="76">
        <v>4886</v>
      </c>
      <c r="DF91" s="76">
        <v>2813</v>
      </c>
      <c r="DG91" s="76">
        <v>1210</v>
      </c>
      <c r="DH91" s="76">
        <v>0</v>
      </c>
      <c r="DI91" s="76">
        <v>0</v>
      </c>
      <c r="DJ91" s="76">
        <v>0</v>
      </c>
      <c r="DK91" s="76">
        <v>0</v>
      </c>
      <c r="DL91" s="76">
        <v>0</v>
      </c>
      <c r="DM91" s="76">
        <v>0</v>
      </c>
      <c r="DN91" s="76">
        <v>0</v>
      </c>
      <c r="DO91" s="76">
        <v>0</v>
      </c>
      <c r="DP91" s="76">
        <v>0</v>
      </c>
      <c r="DQ91" s="76">
        <v>0</v>
      </c>
      <c r="DR91" s="76">
        <v>0</v>
      </c>
      <c r="DS91" s="76">
        <v>0</v>
      </c>
      <c r="DT91" s="76">
        <v>0</v>
      </c>
      <c r="DU91" s="76">
        <v>0</v>
      </c>
      <c r="DV91" s="76">
        <v>0</v>
      </c>
      <c r="DW91" s="76">
        <v>0</v>
      </c>
      <c r="DX91" s="76">
        <v>0</v>
      </c>
      <c r="DY91" s="76">
        <v>0</v>
      </c>
      <c r="DZ91" s="76">
        <v>0</v>
      </c>
      <c r="EA91" s="76">
        <v>0</v>
      </c>
      <c r="EB91" s="76">
        <v>51906</v>
      </c>
      <c r="EC91" s="76">
        <v>0</v>
      </c>
      <c r="ED91" s="76">
        <v>51772</v>
      </c>
      <c r="EE91" s="76">
        <v>134</v>
      </c>
      <c r="EF91" s="76">
        <v>51906</v>
      </c>
      <c r="EG91" s="76">
        <v>0</v>
      </c>
      <c r="EH91" s="76">
        <v>51772</v>
      </c>
      <c r="EI91" s="76">
        <v>134</v>
      </c>
      <c r="EJ91" s="76">
        <v>60815</v>
      </c>
      <c r="EK91" s="76">
        <v>4886</v>
      </c>
      <c r="EL91" s="76">
        <v>54585</v>
      </c>
      <c r="EM91" s="76">
        <v>1344</v>
      </c>
      <c r="EN91" s="76">
        <v>1361</v>
      </c>
      <c r="EO91" s="76">
        <v>1035</v>
      </c>
      <c r="EP91" s="76">
        <v>461</v>
      </c>
      <c r="EQ91" s="76">
        <v>1035</v>
      </c>
      <c r="ER91" s="76">
        <v>1323509</v>
      </c>
      <c r="ES91" s="76">
        <v>0</v>
      </c>
      <c r="ET91" s="76">
        <v>1323509</v>
      </c>
      <c r="EU91" s="76">
        <v>36180</v>
      </c>
      <c r="EV91" s="76">
        <v>-29170</v>
      </c>
      <c r="EW91" s="76">
        <v>0</v>
      </c>
      <c r="EX91" s="76">
        <v>0</v>
      </c>
      <c r="EY91" s="76">
        <v>-2015</v>
      </c>
      <c r="EZ91" s="76">
        <v>1328504</v>
      </c>
      <c r="FA91" s="76">
        <v>234131</v>
      </c>
      <c r="FB91" s="76">
        <v>28235</v>
      </c>
      <c r="FC91" s="76">
        <v>3995</v>
      </c>
      <c r="FD91" s="76">
        <v>0</v>
      </c>
      <c r="FE91" s="76">
        <v>-27607</v>
      </c>
      <c r="FF91" s="76">
        <v>0</v>
      </c>
      <c r="FG91" s="76">
        <v>0</v>
      </c>
      <c r="FH91" s="76">
        <v>238754</v>
      </c>
      <c r="FI91" s="76">
        <v>1089750</v>
      </c>
      <c r="FJ91" s="76">
        <v>1089378</v>
      </c>
      <c r="FK91" s="76">
        <v>827</v>
      </c>
      <c r="FL91" s="76">
        <v>574</v>
      </c>
      <c r="FM91" s="76">
        <v>253</v>
      </c>
      <c r="FN91" s="76">
        <v>0</v>
      </c>
      <c r="FO91" s="76">
        <v>0</v>
      </c>
      <c r="FP91" s="76">
        <v>0</v>
      </c>
      <c r="FQ91" s="76">
        <v>0</v>
      </c>
      <c r="FR91" s="76">
        <v>0</v>
      </c>
      <c r="FS91" s="76">
        <v>0</v>
      </c>
      <c r="FT91" s="76">
        <v>1513</v>
      </c>
      <c r="FU91" s="76">
        <v>1264</v>
      </c>
      <c r="FV91" s="76">
        <v>249</v>
      </c>
      <c r="FW91" s="76">
        <v>0</v>
      </c>
      <c r="FX91" s="76">
        <v>0</v>
      </c>
      <c r="FY91" s="76">
        <v>0</v>
      </c>
      <c r="FZ91" s="76">
        <v>1713</v>
      </c>
      <c r="GA91" s="76">
        <v>1577</v>
      </c>
      <c r="GB91" s="76">
        <v>136</v>
      </c>
      <c r="GC91" s="76">
        <v>4053</v>
      </c>
      <c r="GD91" s="76">
        <v>3415</v>
      </c>
      <c r="GE91" s="76">
        <v>638</v>
      </c>
      <c r="GF91" s="76">
        <v>0</v>
      </c>
      <c r="GG91" s="76">
        <v>0</v>
      </c>
      <c r="GH91" s="76">
        <v>625</v>
      </c>
      <c r="GI91" s="76">
        <v>0</v>
      </c>
      <c r="GJ91" s="76">
        <v>0</v>
      </c>
      <c r="GK91" s="76">
        <v>118400</v>
      </c>
      <c r="GL91" s="76">
        <v>119025</v>
      </c>
      <c r="GM91" s="76">
        <v>3750</v>
      </c>
      <c r="GN91" s="76">
        <v>0</v>
      </c>
      <c r="GO91" s="76">
        <v>0</v>
      </c>
      <c r="GP91" s="76">
        <v>0</v>
      </c>
      <c r="GQ91" s="76">
        <v>0</v>
      </c>
      <c r="GR91" s="76">
        <v>61334</v>
      </c>
      <c r="GS91" s="76">
        <v>0</v>
      </c>
      <c r="GT91" s="76">
        <v>0</v>
      </c>
      <c r="GU91" s="76">
        <v>1069</v>
      </c>
      <c r="GV91" s="76">
        <v>0</v>
      </c>
      <c r="GW91" s="76">
        <v>9131</v>
      </c>
      <c r="GX91" s="76">
        <v>75284</v>
      </c>
      <c r="GY91" s="76">
        <v>2005</v>
      </c>
      <c r="GZ91" s="76">
        <v>0</v>
      </c>
      <c r="HA91" s="76">
        <v>8757</v>
      </c>
      <c r="HB91" s="76">
        <v>5406</v>
      </c>
      <c r="HC91" s="76">
        <v>16168</v>
      </c>
      <c r="HD91" s="76">
        <v>0</v>
      </c>
      <c r="HE91" s="76">
        <v>0</v>
      </c>
      <c r="HF91" s="76">
        <v>0</v>
      </c>
      <c r="HG91" s="76">
        <v>21568</v>
      </c>
      <c r="HH91" s="76">
        <v>1591</v>
      </c>
      <c r="HI91" s="76">
        <v>454</v>
      </c>
      <c r="HJ91" s="76">
        <v>0</v>
      </c>
      <c r="HK91" s="76">
        <v>91</v>
      </c>
      <c r="HL91" s="76">
        <v>-268</v>
      </c>
      <c r="HM91" s="76">
        <v>23436</v>
      </c>
      <c r="HN91" s="76">
        <v>26235</v>
      </c>
      <c r="HO91" s="76">
        <v>29145</v>
      </c>
      <c r="HP91" s="76">
        <v>3995</v>
      </c>
      <c r="HQ91" s="76">
        <v>151</v>
      </c>
      <c r="HR91" s="76">
        <v>-66</v>
      </c>
      <c r="HS91" s="76">
        <v>-27</v>
      </c>
      <c r="HT91" s="76">
        <v>19581</v>
      </c>
      <c r="HU91" s="76">
        <v>0</v>
      </c>
      <c r="HV91" s="76">
        <v>0</v>
      </c>
      <c r="HW91" s="76">
        <v>0</v>
      </c>
      <c r="HX91" s="76">
        <v>8</v>
      </c>
    </row>
    <row r="92" spans="1:232" x14ac:dyDescent="0.2">
      <c r="A92" s="74" t="s">
        <v>91</v>
      </c>
      <c r="B92" s="74" t="s">
        <v>90</v>
      </c>
      <c r="C92" s="75" t="s">
        <v>200</v>
      </c>
      <c r="D92" s="75">
        <v>12</v>
      </c>
      <c r="E92" s="76">
        <v>45965</v>
      </c>
      <c r="F92" s="76">
        <v>-4153</v>
      </c>
      <c r="G92" s="76">
        <v>-20126</v>
      </c>
      <c r="H92" s="76">
        <v>21686</v>
      </c>
      <c r="I92" s="76">
        <v>1377</v>
      </c>
      <c r="J92" s="76">
        <v>0</v>
      </c>
      <c r="K92" s="76">
        <v>0</v>
      </c>
      <c r="L92" s="76">
        <v>0</v>
      </c>
      <c r="M92" s="76">
        <v>839</v>
      </c>
      <c r="N92" s="76">
        <v>-12134</v>
      </c>
      <c r="O92" s="76">
        <v>0</v>
      </c>
      <c r="P92" s="76">
        <v>0</v>
      </c>
      <c r="Q92" s="76">
        <v>-6617</v>
      </c>
      <c r="R92" s="76">
        <v>0</v>
      </c>
      <c r="S92" s="76">
        <v>5151</v>
      </c>
      <c r="T92" s="76">
        <v>0</v>
      </c>
      <c r="U92" s="76">
        <v>5151</v>
      </c>
      <c r="V92" s="76">
        <v>4015</v>
      </c>
      <c r="W92" s="76">
        <v>-5393</v>
      </c>
      <c r="X92" s="76">
        <v>0</v>
      </c>
      <c r="Y92" s="76">
        <v>0</v>
      </c>
      <c r="Z92" s="76">
        <v>3773</v>
      </c>
      <c r="AA92" s="76">
        <v>33006</v>
      </c>
      <c r="AB92" s="76">
        <v>1622</v>
      </c>
      <c r="AC92" s="76">
        <v>34628</v>
      </c>
      <c r="AD92" s="76">
        <v>0</v>
      </c>
      <c r="AE92" s="76">
        <v>0</v>
      </c>
      <c r="AF92" s="76">
        <v>0</v>
      </c>
      <c r="AG92" s="76">
        <v>0</v>
      </c>
      <c r="AH92" s="76">
        <v>34628</v>
      </c>
      <c r="AI92" s="76">
        <v>5963</v>
      </c>
      <c r="AJ92" s="76">
        <v>1605</v>
      </c>
      <c r="AK92" s="76">
        <v>3020</v>
      </c>
      <c r="AL92" s="76">
        <v>2600</v>
      </c>
      <c r="AM92" s="76">
        <v>0</v>
      </c>
      <c r="AN92" s="76">
        <v>166</v>
      </c>
      <c r="AO92" s="76">
        <v>4595</v>
      </c>
      <c r="AP92" s="76">
        <v>0</v>
      </c>
      <c r="AQ92" s="76">
        <v>456</v>
      </c>
      <c r="AR92" s="76">
        <v>18405</v>
      </c>
      <c r="AS92" s="76">
        <v>16223</v>
      </c>
      <c r="AT92" s="76">
        <v>410</v>
      </c>
      <c r="AU92" s="76">
        <v>0</v>
      </c>
      <c r="AV92" s="76">
        <v>421803</v>
      </c>
      <c r="AW92" s="76">
        <v>9080</v>
      </c>
      <c r="AX92" s="76">
        <v>562</v>
      </c>
      <c r="AY92" s="76">
        <v>0</v>
      </c>
      <c r="AZ92" s="76">
        <v>19223</v>
      </c>
      <c r="BA92" s="76">
        <v>2427</v>
      </c>
      <c r="BB92" s="76">
        <v>0</v>
      </c>
      <c r="BC92" s="76">
        <v>0</v>
      </c>
      <c r="BD92" s="76">
        <v>0</v>
      </c>
      <c r="BE92" s="76">
        <v>453095</v>
      </c>
      <c r="BF92" s="76">
        <v>5138</v>
      </c>
      <c r="BG92" s="76">
        <v>0</v>
      </c>
      <c r="BH92" s="76">
        <v>67054</v>
      </c>
      <c r="BI92" s="76">
        <v>0</v>
      </c>
      <c r="BJ92" s="76">
        <v>2523</v>
      </c>
      <c r="BK92" s="76">
        <v>74715</v>
      </c>
      <c r="BL92" s="76">
        <v>0</v>
      </c>
      <c r="BM92" s="76">
        <v>0</v>
      </c>
      <c r="BN92" s="76">
        <v>0</v>
      </c>
      <c r="BO92" s="76">
        <v>8396</v>
      </c>
      <c r="BP92" s="76">
        <v>8396</v>
      </c>
      <c r="BQ92" s="76">
        <v>66319</v>
      </c>
      <c r="BR92" s="76">
        <v>519414</v>
      </c>
      <c r="BS92" s="76">
        <v>306161</v>
      </c>
      <c r="BT92" s="76">
        <v>0</v>
      </c>
      <c r="BU92" s="76">
        <v>0</v>
      </c>
      <c r="BV92" s="76">
        <v>0</v>
      </c>
      <c r="BW92" s="76">
        <v>0</v>
      </c>
      <c r="BX92" s="76">
        <v>0</v>
      </c>
      <c r="BY92" s="76">
        <v>0</v>
      </c>
      <c r="BZ92" s="76">
        <v>306161</v>
      </c>
      <c r="CA92" s="76">
        <v>20624</v>
      </c>
      <c r="CB92" s="76">
        <v>0</v>
      </c>
      <c r="CC92" s="76">
        <v>192629</v>
      </c>
      <c r="CD92" s="76">
        <v>51584</v>
      </c>
      <c r="CE92" s="76">
        <v>141045</v>
      </c>
      <c r="CF92" s="76">
        <v>0</v>
      </c>
      <c r="CG92" s="76">
        <v>0</v>
      </c>
      <c r="CH92" s="76">
        <v>0</v>
      </c>
      <c r="CI92" s="76">
        <v>192629</v>
      </c>
      <c r="CJ92" s="76">
        <v>8324</v>
      </c>
      <c r="CK92" s="76">
        <v>4123</v>
      </c>
      <c r="CL92" s="76">
        <v>0</v>
      </c>
      <c r="CM92" s="76">
        <v>4201</v>
      </c>
      <c r="CN92" s="76">
        <v>152</v>
      </c>
      <c r="CO92" s="76">
        <v>0</v>
      </c>
      <c r="CP92" s="76">
        <v>126</v>
      </c>
      <c r="CQ92" s="76">
        <v>26</v>
      </c>
      <c r="CR92" s="76">
        <v>0</v>
      </c>
      <c r="CS92" s="76">
        <v>0</v>
      </c>
      <c r="CT92" s="76">
        <v>0</v>
      </c>
      <c r="CU92" s="76">
        <v>0</v>
      </c>
      <c r="CV92" s="76">
        <v>0</v>
      </c>
      <c r="CW92" s="76">
        <v>0</v>
      </c>
      <c r="CX92" s="76">
        <v>0</v>
      </c>
      <c r="CY92" s="76">
        <v>0</v>
      </c>
      <c r="CZ92" s="76">
        <v>119</v>
      </c>
      <c r="DA92" s="76">
        <v>0</v>
      </c>
      <c r="DB92" s="76">
        <v>0</v>
      </c>
      <c r="DC92" s="76">
        <v>119</v>
      </c>
      <c r="DD92" s="76">
        <v>8595</v>
      </c>
      <c r="DE92" s="76">
        <v>4123</v>
      </c>
      <c r="DF92" s="76">
        <v>126</v>
      </c>
      <c r="DG92" s="76">
        <v>4346</v>
      </c>
      <c r="DH92" s="76">
        <v>0</v>
      </c>
      <c r="DI92" s="76">
        <v>0</v>
      </c>
      <c r="DJ92" s="76">
        <v>0</v>
      </c>
      <c r="DK92" s="76">
        <v>0</v>
      </c>
      <c r="DL92" s="76">
        <v>0</v>
      </c>
      <c r="DM92" s="76">
        <v>0</v>
      </c>
      <c r="DN92" s="76">
        <v>0</v>
      </c>
      <c r="DO92" s="76">
        <v>0</v>
      </c>
      <c r="DP92" s="76">
        <v>0</v>
      </c>
      <c r="DQ92" s="76">
        <v>0</v>
      </c>
      <c r="DR92" s="76">
        <v>0</v>
      </c>
      <c r="DS92" s="76">
        <v>0</v>
      </c>
      <c r="DT92" s="76">
        <v>587</v>
      </c>
      <c r="DU92" s="76">
        <v>0</v>
      </c>
      <c r="DV92" s="76">
        <v>108</v>
      </c>
      <c r="DW92" s="76">
        <v>479</v>
      </c>
      <c r="DX92" s="76">
        <v>0</v>
      </c>
      <c r="DY92" s="76">
        <v>0</v>
      </c>
      <c r="DZ92" s="76">
        <v>0</v>
      </c>
      <c r="EA92" s="76">
        <v>0</v>
      </c>
      <c r="EB92" s="76">
        <v>2155</v>
      </c>
      <c r="EC92" s="76">
        <v>30</v>
      </c>
      <c r="ED92" s="76">
        <v>1487</v>
      </c>
      <c r="EE92" s="76">
        <v>638</v>
      </c>
      <c r="EF92" s="76">
        <v>2742</v>
      </c>
      <c r="EG92" s="76">
        <v>30</v>
      </c>
      <c r="EH92" s="76">
        <v>1595</v>
      </c>
      <c r="EI92" s="76">
        <v>1117</v>
      </c>
      <c r="EJ92" s="76">
        <v>11337</v>
      </c>
      <c r="EK92" s="76">
        <v>4153</v>
      </c>
      <c r="EL92" s="76">
        <v>1721</v>
      </c>
      <c r="EM92" s="76">
        <v>5463</v>
      </c>
      <c r="EN92" s="76">
        <v>737</v>
      </c>
      <c r="EO92" s="76">
        <v>560</v>
      </c>
      <c r="EP92" s="76">
        <v>49</v>
      </c>
      <c r="EQ92" s="76">
        <v>560</v>
      </c>
      <c r="ER92" s="76">
        <v>0</v>
      </c>
      <c r="ES92" s="76">
        <v>455706</v>
      </c>
      <c r="ET92" s="76">
        <v>455706</v>
      </c>
      <c r="EU92" s="76">
        <v>23665</v>
      </c>
      <c r="EV92" s="76">
        <v>-4178</v>
      </c>
      <c r="EW92" s="76">
        <v>0</v>
      </c>
      <c r="EX92" s="76">
        <v>0</v>
      </c>
      <c r="EY92" s="76">
        <v>-4761</v>
      </c>
      <c r="EZ92" s="76">
        <v>470432</v>
      </c>
      <c r="FA92" s="76">
        <v>44035</v>
      </c>
      <c r="FB92" s="76">
        <v>4595</v>
      </c>
      <c r="FC92" s="76">
        <v>0</v>
      </c>
      <c r="FD92" s="76">
        <v>0</v>
      </c>
      <c r="FE92" s="76">
        <v>0</v>
      </c>
      <c r="FF92" s="76">
        <v>0</v>
      </c>
      <c r="FG92" s="76">
        <v>0</v>
      </c>
      <c r="FH92" s="76">
        <v>48630</v>
      </c>
      <c r="FI92" s="76">
        <v>421802</v>
      </c>
      <c r="FJ92" s="76">
        <v>411671</v>
      </c>
      <c r="FK92" s="76">
        <v>714</v>
      </c>
      <c r="FL92" s="76">
        <v>236</v>
      </c>
      <c r="FM92" s="76">
        <v>478</v>
      </c>
      <c r="FN92" s="76">
        <v>0</v>
      </c>
      <c r="FO92" s="76">
        <v>0</v>
      </c>
      <c r="FP92" s="76">
        <v>0</v>
      </c>
      <c r="FQ92" s="76">
        <v>1686</v>
      </c>
      <c r="FR92" s="76">
        <v>787</v>
      </c>
      <c r="FS92" s="76">
        <v>899</v>
      </c>
      <c r="FT92" s="76">
        <v>0</v>
      </c>
      <c r="FU92" s="76">
        <v>0</v>
      </c>
      <c r="FV92" s="76">
        <v>0</v>
      </c>
      <c r="FW92" s="76">
        <v>0</v>
      </c>
      <c r="FX92" s="76">
        <v>0</v>
      </c>
      <c r="FY92" s="76">
        <v>0</v>
      </c>
      <c r="FZ92" s="76">
        <v>0</v>
      </c>
      <c r="GA92" s="76">
        <v>0</v>
      </c>
      <c r="GB92" s="76">
        <v>0</v>
      </c>
      <c r="GC92" s="76">
        <v>2400</v>
      </c>
      <c r="GD92" s="76">
        <v>1023</v>
      </c>
      <c r="GE92" s="76">
        <v>1377</v>
      </c>
      <c r="GF92" s="76">
        <v>0</v>
      </c>
      <c r="GG92" s="76">
        <v>0</v>
      </c>
      <c r="GH92" s="76">
        <v>0</v>
      </c>
      <c r="GI92" s="76">
        <v>0</v>
      </c>
      <c r="GJ92" s="76">
        <v>0</v>
      </c>
      <c r="GK92" s="76">
        <v>2523</v>
      </c>
      <c r="GL92" s="76">
        <v>2523</v>
      </c>
      <c r="GM92" s="76">
        <v>1662</v>
      </c>
      <c r="GN92" s="76">
        <v>954</v>
      </c>
      <c r="GO92" s="76">
        <v>0</v>
      </c>
      <c r="GP92" s="76">
        <v>663</v>
      </c>
      <c r="GQ92" s="76">
        <v>0</v>
      </c>
      <c r="GR92" s="76">
        <v>4563</v>
      </c>
      <c r="GS92" s="76">
        <v>0</v>
      </c>
      <c r="GT92" s="76">
        <v>0</v>
      </c>
      <c r="GU92" s="76">
        <v>0</v>
      </c>
      <c r="GV92" s="76">
        <v>0</v>
      </c>
      <c r="GW92" s="76">
        <v>554</v>
      </c>
      <c r="GX92" s="76">
        <v>8396</v>
      </c>
      <c r="GY92" s="76">
        <v>0</v>
      </c>
      <c r="GZ92" s="76">
        <v>0</v>
      </c>
      <c r="HA92" s="76">
        <v>0</v>
      </c>
      <c r="HB92" s="76">
        <v>0</v>
      </c>
      <c r="HC92" s="76">
        <v>0</v>
      </c>
      <c r="HD92" s="76">
        <v>0</v>
      </c>
      <c r="HE92" s="76">
        <v>0</v>
      </c>
      <c r="HF92" s="76">
        <v>0</v>
      </c>
      <c r="HG92" s="76">
        <v>13086</v>
      </c>
      <c r="HH92" s="76">
        <v>0</v>
      </c>
      <c r="HI92" s="76">
        <v>530</v>
      </c>
      <c r="HJ92" s="76">
        <v>0</v>
      </c>
      <c r="HK92" s="76">
        <v>0</v>
      </c>
      <c r="HL92" s="76">
        <v>-1482</v>
      </c>
      <c r="HM92" s="76">
        <v>12134</v>
      </c>
      <c r="HN92" s="76">
        <v>2210</v>
      </c>
      <c r="HO92" s="76">
        <v>5141</v>
      </c>
      <c r="HP92" s="76">
        <v>1</v>
      </c>
      <c r="HQ92" s="76">
        <v>124</v>
      </c>
      <c r="HR92" s="76">
        <v>-10</v>
      </c>
      <c r="HS92" s="76">
        <v>-13</v>
      </c>
      <c r="HT92" s="76">
        <v>5438</v>
      </c>
      <c r="HU92" s="76">
        <v>0</v>
      </c>
      <c r="HV92" s="76">
        <v>0</v>
      </c>
      <c r="HW92" s="76">
        <v>0</v>
      </c>
      <c r="HX92" s="76">
        <v>78</v>
      </c>
    </row>
    <row r="93" spans="1:232" x14ac:dyDescent="0.2">
      <c r="A93" s="74" t="s">
        <v>445</v>
      </c>
      <c r="B93" s="74" t="s">
        <v>446</v>
      </c>
      <c r="C93" s="75" t="s">
        <v>200</v>
      </c>
      <c r="D93" s="75">
        <v>12</v>
      </c>
      <c r="E93" s="76">
        <v>10015</v>
      </c>
      <c r="F93" s="76">
        <v>-309</v>
      </c>
      <c r="G93" s="76">
        <v>-5898</v>
      </c>
      <c r="H93" s="76">
        <v>3808</v>
      </c>
      <c r="I93" s="76">
        <v>71</v>
      </c>
      <c r="J93" s="76">
        <v>0</v>
      </c>
      <c r="K93" s="76">
        <v>0</v>
      </c>
      <c r="L93" s="76">
        <v>0</v>
      </c>
      <c r="M93" s="76">
        <v>13</v>
      </c>
      <c r="N93" s="76">
        <v>-691</v>
      </c>
      <c r="O93" s="76">
        <v>0</v>
      </c>
      <c r="P93" s="76">
        <v>5</v>
      </c>
      <c r="Q93" s="76">
        <v>0</v>
      </c>
      <c r="R93" s="76">
        <v>0</v>
      </c>
      <c r="S93" s="76">
        <v>3206</v>
      </c>
      <c r="T93" s="76">
        <v>0</v>
      </c>
      <c r="U93" s="76">
        <v>3206</v>
      </c>
      <c r="V93" s="76">
        <v>0</v>
      </c>
      <c r="W93" s="76">
        <v>0</v>
      </c>
      <c r="X93" s="76">
        <v>0</v>
      </c>
      <c r="Y93" s="76">
        <v>0</v>
      </c>
      <c r="Z93" s="76">
        <v>3206</v>
      </c>
      <c r="AA93" s="76">
        <v>8861</v>
      </c>
      <c r="AB93" s="76">
        <v>462</v>
      </c>
      <c r="AC93" s="76">
        <v>9323</v>
      </c>
      <c r="AD93" s="76">
        <v>215</v>
      </c>
      <c r="AE93" s="76">
        <v>0</v>
      </c>
      <c r="AF93" s="76">
        <v>0</v>
      </c>
      <c r="AG93" s="76">
        <v>0</v>
      </c>
      <c r="AH93" s="76">
        <v>9538</v>
      </c>
      <c r="AI93" s="76">
        <v>1640</v>
      </c>
      <c r="AJ93" s="76">
        <v>518</v>
      </c>
      <c r="AK93" s="76">
        <v>1182</v>
      </c>
      <c r="AL93" s="76">
        <v>0</v>
      </c>
      <c r="AM93" s="76">
        <v>660</v>
      </c>
      <c r="AN93" s="76">
        <v>37</v>
      </c>
      <c r="AO93" s="76">
        <v>1138</v>
      </c>
      <c r="AP93" s="76">
        <v>295</v>
      </c>
      <c r="AQ93" s="76">
        <v>428</v>
      </c>
      <c r="AR93" s="76">
        <v>5898</v>
      </c>
      <c r="AS93" s="76">
        <v>3640</v>
      </c>
      <c r="AT93" s="76">
        <v>51</v>
      </c>
      <c r="AU93" s="76">
        <v>69134</v>
      </c>
      <c r="AV93" s="76">
        <v>0</v>
      </c>
      <c r="AW93" s="76">
        <v>2587</v>
      </c>
      <c r="AX93" s="76">
        <v>15</v>
      </c>
      <c r="AY93" s="76">
        <v>0</v>
      </c>
      <c r="AZ93" s="76">
        <v>0</v>
      </c>
      <c r="BA93" s="76">
        <v>0</v>
      </c>
      <c r="BB93" s="76">
        <v>0</v>
      </c>
      <c r="BC93" s="76">
        <v>0</v>
      </c>
      <c r="BD93" s="76">
        <v>0</v>
      </c>
      <c r="BE93" s="76">
        <v>71736</v>
      </c>
      <c r="BF93" s="76">
        <v>0</v>
      </c>
      <c r="BG93" s="76">
        <v>650</v>
      </c>
      <c r="BH93" s="76">
        <v>3385</v>
      </c>
      <c r="BI93" s="76">
        <v>0</v>
      </c>
      <c r="BJ93" s="76">
        <v>9</v>
      </c>
      <c r="BK93" s="76">
        <v>4044</v>
      </c>
      <c r="BL93" s="76">
        <v>1238</v>
      </c>
      <c r="BM93" s="76">
        <v>0</v>
      </c>
      <c r="BN93" s="76">
        <v>215</v>
      </c>
      <c r="BO93" s="76">
        <v>2088</v>
      </c>
      <c r="BP93" s="76">
        <v>3541</v>
      </c>
      <c r="BQ93" s="76">
        <v>503</v>
      </c>
      <c r="BR93" s="76">
        <v>72239</v>
      </c>
      <c r="BS93" s="76">
        <v>22793</v>
      </c>
      <c r="BT93" s="76">
        <v>0</v>
      </c>
      <c r="BU93" s="76">
        <v>0</v>
      </c>
      <c r="BV93" s="76">
        <v>17040</v>
      </c>
      <c r="BW93" s="76">
        <v>0</v>
      </c>
      <c r="BX93" s="76">
        <v>0</v>
      </c>
      <c r="BY93" s="76">
        <v>0</v>
      </c>
      <c r="BZ93" s="76">
        <v>39833</v>
      </c>
      <c r="CA93" s="76">
        <v>1309</v>
      </c>
      <c r="CB93" s="76">
        <v>0</v>
      </c>
      <c r="CC93" s="76">
        <v>31097</v>
      </c>
      <c r="CD93" s="76">
        <v>31097</v>
      </c>
      <c r="CE93" s="76">
        <v>0</v>
      </c>
      <c r="CF93" s="76">
        <v>0</v>
      </c>
      <c r="CG93" s="76">
        <v>0</v>
      </c>
      <c r="CH93" s="76">
        <v>0</v>
      </c>
      <c r="CI93" s="76">
        <v>31097</v>
      </c>
      <c r="CJ93" s="76">
        <v>267</v>
      </c>
      <c r="CK93" s="76">
        <v>237</v>
      </c>
      <c r="CL93" s="76">
        <v>0</v>
      </c>
      <c r="CM93" s="76">
        <v>30</v>
      </c>
      <c r="CN93" s="76">
        <v>0</v>
      </c>
      <c r="CO93" s="76">
        <v>0</v>
      </c>
      <c r="CP93" s="76">
        <v>0</v>
      </c>
      <c r="CQ93" s="76">
        <v>0</v>
      </c>
      <c r="CR93" s="76">
        <v>0</v>
      </c>
      <c r="CS93" s="76">
        <v>0</v>
      </c>
      <c r="CT93" s="76">
        <v>0</v>
      </c>
      <c r="CU93" s="76">
        <v>0</v>
      </c>
      <c r="CV93" s="76">
        <v>0</v>
      </c>
      <c r="CW93" s="76">
        <v>0</v>
      </c>
      <c r="CX93" s="76">
        <v>0</v>
      </c>
      <c r="CY93" s="76">
        <v>0</v>
      </c>
      <c r="CZ93" s="76">
        <v>210</v>
      </c>
      <c r="DA93" s="76">
        <v>72</v>
      </c>
      <c r="DB93" s="76">
        <v>0</v>
      </c>
      <c r="DC93" s="76">
        <v>138</v>
      </c>
      <c r="DD93" s="76">
        <v>477</v>
      </c>
      <c r="DE93" s="76">
        <v>309</v>
      </c>
      <c r="DF93" s="76">
        <v>0</v>
      </c>
      <c r="DG93" s="76">
        <v>168</v>
      </c>
      <c r="DH93" s="76">
        <v>0</v>
      </c>
      <c r="DI93" s="76">
        <v>0</v>
      </c>
      <c r="DJ93" s="76">
        <v>0</v>
      </c>
      <c r="DK93" s="76">
        <v>0</v>
      </c>
      <c r="DL93" s="76">
        <v>0</v>
      </c>
      <c r="DM93" s="76">
        <v>0</v>
      </c>
      <c r="DN93" s="76">
        <v>0</v>
      </c>
      <c r="DO93" s="76">
        <v>0</v>
      </c>
      <c r="DP93" s="76">
        <v>0</v>
      </c>
      <c r="DQ93" s="76">
        <v>0</v>
      </c>
      <c r="DR93" s="76">
        <v>0</v>
      </c>
      <c r="DS93" s="76">
        <v>0</v>
      </c>
      <c r="DT93" s="76">
        <v>0</v>
      </c>
      <c r="DU93" s="76">
        <v>0</v>
      </c>
      <c r="DV93" s="76">
        <v>0</v>
      </c>
      <c r="DW93" s="76">
        <v>0</v>
      </c>
      <c r="DX93" s="76">
        <v>0</v>
      </c>
      <c r="DY93" s="76">
        <v>0</v>
      </c>
      <c r="DZ93" s="76">
        <v>0</v>
      </c>
      <c r="EA93" s="76">
        <v>0</v>
      </c>
      <c r="EB93" s="76">
        <v>0</v>
      </c>
      <c r="EC93" s="76">
        <v>0</v>
      </c>
      <c r="ED93" s="76">
        <v>0</v>
      </c>
      <c r="EE93" s="76">
        <v>0</v>
      </c>
      <c r="EF93" s="76">
        <v>0</v>
      </c>
      <c r="EG93" s="76">
        <v>0</v>
      </c>
      <c r="EH93" s="76">
        <v>0</v>
      </c>
      <c r="EI93" s="76">
        <v>0</v>
      </c>
      <c r="EJ93" s="76">
        <v>477</v>
      </c>
      <c r="EK93" s="76">
        <v>309</v>
      </c>
      <c r="EL93" s="76">
        <v>0</v>
      </c>
      <c r="EM93" s="76">
        <v>168</v>
      </c>
      <c r="EN93" s="76">
        <v>193</v>
      </c>
      <c r="EO93" s="76">
        <v>44</v>
      </c>
      <c r="EP93" s="76">
        <v>73</v>
      </c>
      <c r="EQ93" s="76">
        <v>44</v>
      </c>
      <c r="ER93" s="76">
        <v>82001</v>
      </c>
      <c r="ES93" s="76">
        <v>0</v>
      </c>
      <c r="ET93" s="76">
        <v>82001</v>
      </c>
      <c r="EU93" s="76">
        <v>2548</v>
      </c>
      <c r="EV93" s="76">
        <v>-43</v>
      </c>
      <c r="EW93" s="76">
        <v>0</v>
      </c>
      <c r="EX93" s="76">
        <v>0</v>
      </c>
      <c r="EY93" s="76">
        <v>-84</v>
      </c>
      <c r="EZ93" s="76">
        <v>84422</v>
      </c>
      <c r="FA93" s="76">
        <v>13856</v>
      </c>
      <c r="FB93" s="76">
        <v>1138</v>
      </c>
      <c r="FC93" s="76">
        <v>295</v>
      </c>
      <c r="FD93" s="76">
        <v>0</v>
      </c>
      <c r="FE93" s="76">
        <v>0</v>
      </c>
      <c r="FF93" s="76">
        <v>0</v>
      </c>
      <c r="FG93" s="76">
        <v>0</v>
      </c>
      <c r="FH93" s="76">
        <v>15289</v>
      </c>
      <c r="FI93" s="76">
        <v>69133</v>
      </c>
      <c r="FJ93" s="76">
        <v>68145</v>
      </c>
      <c r="FK93" s="76">
        <v>116</v>
      </c>
      <c r="FL93" s="76">
        <v>43</v>
      </c>
      <c r="FM93" s="76">
        <v>73</v>
      </c>
      <c r="FN93" s="76">
        <v>0</v>
      </c>
      <c r="FO93" s="76">
        <v>0</v>
      </c>
      <c r="FP93" s="76">
        <v>0</v>
      </c>
      <c r="FQ93" s="76">
        <v>0</v>
      </c>
      <c r="FR93" s="76">
        <v>0</v>
      </c>
      <c r="FS93" s="76">
        <v>0</v>
      </c>
      <c r="FT93" s="76">
        <v>0</v>
      </c>
      <c r="FU93" s="76">
        <v>0</v>
      </c>
      <c r="FV93" s="76">
        <v>0</v>
      </c>
      <c r="FW93" s="76">
        <v>0</v>
      </c>
      <c r="FX93" s="76">
        <v>0</v>
      </c>
      <c r="FY93" s="76">
        <v>0</v>
      </c>
      <c r="FZ93" s="76">
        <v>0</v>
      </c>
      <c r="GA93" s="76">
        <v>2</v>
      </c>
      <c r="GB93" s="76">
        <v>-2</v>
      </c>
      <c r="GC93" s="76">
        <v>116</v>
      </c>
      <c r="GD93" s="76">
        <v>45</v>
      </c>
      <c r="GE93" s="76">
        <v>71</v>
      </c>
      <c r="GF93" s="76">
        <v>0</v>
      </c>
      <c r="GG93" s="76">
        <v>0</v>
      </c>
      <c r="GH93" s="76">
        <v>0</v>
      </c>
      <c r="GI93" s="76">
        <v>0</v>
      </c>
      <c r="GJ93" s="76">
        <v>0</v>
      </c>
      <c r="GK93" s="76">
        <v>9</v>
      </c>
      <c r="GL93" s="76">
        <v>9</v>
      </c>
      <c r="GM93" s="76">
        <v>1555</v>
      </c>
      <c r="GN93" s="76">
        <v>224</v>
      </c>
      <c r="GO93" s="76">
        <v>0</v>
      </c>
      <c r="GP93" s="76">
        <v>215</v>
      </c>
      <c r="GQ93" s="76">
        <v>0</v>
      </c>
      <c r="GR93" s="76">
        <v>0</v>
      </c>
      <c r="GS93" s="76">
        <v>0</v>
      </c>
      <c r="GT93" s="76">
        <v>0</v>
      </c>
      <c r="GU93" s="76">
        <v>0</v>
      </c>
      <c r="GV93" s="76">
        <v>0</v>
      </c>
      <c r="GW93" s="76">
        <v>94</v>
      </c>
      <c r="GX93" s="76">
        <v>2088</v>
      </c>
      <c r="GY93" s="76">
        <v>0</v>
      </c>
      <c r="GZ93" s="76">
        <v>0</v>
      </c>
      <c r="HA93" s="76">
        <v>0</v>
      </c>
      <c r="HB93" s="76">
        <v>0</v>
      </c>
      <c r="HC93" s="76">
        <v>0</v>
      </c>
      <c r="HD93" s="76">
        <v>0</v>
      </c>
      <c r="HE93" s="76">
        <v>0</v>
      </c>
      <c r="HF93" s="76">
        <v>0</v>
      </c>
      <c r="HG93" s="76">
        <v>702</v>
      </c>
      <c r="HH93" s="76">
        <v>0</v>
      </c>
      <c r="HI93" s="76">
        <v>0</v>
      </c>
      <c r="HJ93" s="76">
        <v>0</v>
      </c>
      <c r="HK93" s="76">
        <v>0</v>
      </c>
      <c r="HL93" s="76">
        <v>-10</v>
      </c>
      <c r="HM93" s="76">
        <v>692</v>
      </c>
      <c r="HN93" s="76">
        <v>1196</v>
      </c>
      <c r="HO93" s="76">
        <v>1220</v>
      </c>
      <c r="HP93" s="76">
        <v>295</v>
      </c>
      <c r="HQ93" s="76">
        <v>0</v>
      </c>
      <c r="HR93" s="76">
        <v>0</v>
      </c>
      <c r="HS93" s="76">
        <v>0</v>
      </c>
      <c r="HT93" s="76">
        <v>1646</v>
      </c>
      <c r="HU93" s="76">
        <v>0</v>
      </c>
      <c r="HV93" s="76">
        <v>0</v>
      </c>
      <c r="HW93" s="76">
        <v>0</v>
      </c>
      <c r="HX93" s="76">
        <v>0</v>
      </c>
    </row>
    <row r="94" spans="1:232" x14ac:dyDescent="0.2">
      <c r="A94" s="74" t="s">
        <v>448</v>
      </c>
      <c r="B94" s="74" t="s">
        <v>449</v>
      </c>
      <c r="C94" s="75" t="s">
        <v>200</v>
      </c>
      <c r="D94" s="75">
        <v>12</v>
      </c>
      <c r="E94" s="76">
        <v>7724</v>
      </c>
      <c r="F94" s="76">
        <v>-222</v>
      </c>
      <c r="G94" s="76">
        <v>-4385</v>
      </c>
      <c r="H94" s="76">
        <v>3117</v>
      </c>
      <c r="I94" s="76">
        <v>308</v>
      </c>
      <c r="J94" s="76">
        <v>0</v>
      </c>
      <c r="K94" s="76">
        <v>0</v>
      </c>
      <c r="L94" s="76">
        <v>80</v>
      </c>
      <c r="M94" s="76">
        <v>116</v>
      </c>
      <c r="N94" s="76">
        <v>-2321</v>
      </c>
      <c r="O94" s="76">
        <v>0</v>
      </c>
      <c r="P94" s="76">
        <v>32</v>
      </c>
      <c r="Q94" s="76">
        <v>0</v>
      </c>
      <c r="R94" s="76">
        <v>0</v>
      </c>
      <c r="S94" s="76">
        <v>1332</v>
      </c>
      <c r="T94" s="76">
        <v>0</v>
      </c>
      <c r="U94" s="76">
        <v>1332</v>
      </c>
      <c r="V94" s="76">
        <v>0</v>
      </c>
      <c r="W94" s="76">
        <v>0</v>
      </c>
      <c r="X94" s="76">
        <v>0</v>
      </c>
      <c r="Y94" s="76">
        <v>0</v>
      </c>
      <c r="Z94" s="76">
        <v>1332</v>
      </c>
      <c r="AA94" s="76">
        <v>6802</v>
      </c>
      <c r="AB94" s="76">
        <v>418</v>
      </c>
      <c r="AC94" s="76">
        <v>7220</v>
      </c>
      <c r="AD94" s="76">
        <v>7</v>
      </c>
      <c r="AE94" s="76">
        <v>0</v>
      </c>
      <c r="AF94" s="76">
        <v>0</v>
      </c>
      <c r="AG94" s="76">
        <v>0</v>
      </c>
      <c r="AH94" s="76">
        <v>7227</v>
      </c>
      <c r="AI94" s="76">
        <v>1387</v>
      </c>
      <c r="AJ94" s="76">
        <v>499</v>
      </c>
      <c r="AK94" s="76">
        <v>1070</v>
      </c>
      <c r="AL94" s="76">
        <v>260</v>
      </c>
      <c r="AM94" s="76">
        <v>0</v>
      </c>
      <c r="AN94" s="76">
        <v>29</v>
      </c>
      <c r="AO94" s="76">
        <v>1004</v>
      </c>
      <c r="AP94" s="76">
        <v>0</v>
      </c>
      <c r="AQ94" s="76">
        <v>133</v>
      </c>
      <c r="AR94" s="76">
        <v>4382</v>
      </c>
      <c r="AS94" s="76">
        <v>2845</v>
      </c>
      <c r="AT94" s="76">
        <v>39</v>
      </c>
      <c r="AU94" s="76">
        <v>87317</v>
      </c>
      <c r="AV94" s="76">
        <v>0</v>
      </c>
      <c r="AW94" s="76">
        <v>1198</v>
      </c>
      <c r="AX94" s="76">
        <v>16</v>
      </c>
      <c r="AY94" s="76">
        <v>0</v>
      </c>
      <c r="AZ94" s="76">
        <v>0</v>
      </c>
      <c r="BA94" s="76">
        <v>0</v>
      </c>
      <c r="BB94" s="76">
        <v>0</v>
      </c>
      <c r="BC94" s="76">
        <v>0</v>
      </c>
      <c r="BD94" s="76">
        <v>0</v>
      </c>
      <c r="BE94" s="76">
        <v>88531</v>
      </c>
      <c r="BF94" s="76">
        <v>585</v>
      </c>
      <c r="BG94" s="76">
        <v>167</v>
      </c>
      <c r="BH94" s="76">
        <v>12474</v>
      </c>
      <c r="BI94" s="76">
        <v>417</v>
      </c>
      <c r="BJ94" s="76">
        <v>451</v>
      </c>
      <c r="BK94" s="76">
        <v>14094</v>
      </c>
      <c r="BL94" s="76">
        <v>563</v>
      </c>
      <c r="BM94" s="76">
        <v>0</v>
      </c>
      <c r="BN94" s="76">
        <v>0</v>
      </c>
      <c r="BO94" s="76">
        <v>2020</v>
      </c>
      <c r="BP94" s="76">
        <v>2583</v>
      </c>
      <c r="BQ94" s="76">
        <v>11511</v>
      </c>
      <c r="BR94" s="76">
        <v>100042</v>
      </c>
      <c r="BS94" s="76">
        <v>50991</v>
      </c>
      <c r="BT94" s="76">
        <v>0</v>
      </c>
      <c r="BU94" s="76">
        <v>0</v>
      </c>
      <c r="BV94" s="76">
        <v>0</v>
      </c>
      <c r="BW94" s="76">
        <v>0</v>
      </c>
      <c r="BX94" s="76">
        <v>0</v>
      </c>
      <c r="BY94" s="76">
        <v>2148</v>
      </c>
      <c r="BZ94" s="76">
        <v>53139</v>
      </c>
      <c r="CA94" s="76">
        <v>472</v>
      </c>
      <c r="CB94" s="76">
        <v>0</v>
      </c>
      <c r="CC94" s="76">
        <v>46431</v>
      </c>
      <c r="CD94" s="76">
        <v>14667</v>
      </c>
      <c r="CE94" s="76">
        <v>31718</v>
      </c>
      <c r="CF94" s="76">
        <v>46</v>
      </c>
      <c r="CG94" s="76">
        <v>0</v>
      </c>
      <c r="CH94" s="76">
        <v>0</v>
      </c>
      <c r="CI94" s="76">
        <v>46431</v>
      </c>
      <c r="CJ94" s="76">
        <v>356</v>
      </c>
      <c r="CK94" s="76">
        <v>222</v>
      </c>
      <c r="CL94" s="76">
        <v>0</v>
      </c>
      <c r="CM94" s="76">
        <v>134</v>
      </c>
      <c r="CN94" s="76">
        <v>0</v>
      </c>
      <c r="CO94" s="76">
        <v>0</v>
      </c>
      <c r="CP94" s="76">
        <v>0</v>
      </c>
      <c r="CQ94" s="76">
        <v>0</v>
      </c>
      <c r="CR94" s="76">
        <v>0</v>
      </c>
      <c r="CS94" s="76">
        <v>0</v>
      </c>
      <c r="CT94" s="76">
        <v>0</v>
      </c>
      <c r="CU94" s="76">
        <v>0</v>
      </c>
      <c r="CV94" s="76">
        <v>0</v>
      </c>
      <c r="CW94" s="76">
        <v>0</v>
      </c>
      <c r="CX94" s="76">
        <v>0</v>
      </c>
      <c r="CY94" s="76">
        <v>0</v>
      </c>
      <c r="CZ94" s="76">
        <v>86</v>
      </c>
      <c r="DA94" s="76">
        <v>0</v>
      </c>
      <c r="DB94" s="76">
        <v>3</v>
      </c>
      <c r="DC94" s="76">
        <v>83</v>
      </c>
      <c r="DD94" s="76">
        <v>442</v>
      </c>
      <c r="DE94" s="76">
        <v>222</v>
      </c>
      <c r="DF94" s="76">
        <v>3</v>
      </c>
      <c r="DG94" s="76">
        <v>217</v>
      </c>
      <c r="DH94" s="76">
        <v>0</v>
      </c>
      <c r="DI94" s="76">
        <v>0</v>
      </c>
      <c r="DJ94" s="76">
        <v>0</v>
      </c>
      <c r="DK94" s="76">
        <v>0</v>
      </c>
      <c r="DL94" s="76">
        <v>0</v>
      </c>
      <c r="DM94" s="76">
        <v>0</v>
      </c>
      <c r="DN94" s="76">
        <v>0</v>
      </c>
      <c r="DO94" s="76">
        <v>0</v>
      </c>
      <c r="DP94" s="76">
        <v>0</v>
      </c>
      <c r="DQ94" s="76">
        <v>0</v>
      </c>
      <c r="DR94" s="76">
        <v>0</v>
      </c>
      <c r="DS94" s="76">
        <v>0</v>
      </c>
      <c r="DT94" s="76">
        <v>0</v>
      </c>
      <c r="DU94" s="76">
        <v>0</v>
      </c>
      <c r="DV94" s="76">
        <v>0</v>
      </c>
      <c r="DW94" s="76">
        <v>0</v>
      </c>
      <c r="DX94" s="76">
        <v>0</v>
      </c>
      <c r="DY94" s="76">
        <v>0</v>
      </c>
      <c r="DZ94" s="76">
        <v>0</v>
      </c>
      <c r="EA94" s="76">
        <v>0</v>
      </c>
      <c r="EB94" s="76">
        <v>55</v>
      </c>
      <c r="EC94" s="76">
        <v>0</v>
      </c>
      <c r="ED94" s="76">
        <v>0</v>
      </c>
      <c r="EE94" s="76">
        <v>55</v>
      </c>
      <c r="EF94" s="76">
        <v>55</v>
      </c>
      <c r="EG94" s="76">
        <v>0</v>
      </c>
      <c r="EH94" s="76">
        <v>0</v>
      </c>
      <c r="EI94" s="76">
        <v>55</v>
      </c>
      <c r="EJ94" s="76">
        <v>497</v>
      </c>
      <c r="EK94" s="76">
        <v>222</v>
      </c>
      <c r="EL94" s="76">
        <v>3</v>
      </c>
      <c r="EM94" s="76">
        <v>272</v>
      </c>
      <c r="EN94" s="76">
        <v>207</v>
      </c>
      <c r="EO94" s="76">
        <v>27</v>
      </c>
      <c r="EP94" s="76">
        <v>40</v>
      </c>
      <c r="EQ94" s="76">
        <v>27</v>
      </c>
      <c r="ER94" s="76">
        <v>0</v>
      </c>
      <c r="ES94" s="76">
        <v>87827</v>
      </c>
      <c r="ET94" s="76">
        <v>87827</v>
      </c>
      <c r="EU94" s="76">
        <v>5004</v>
      </c>
      <c r="EV94" s="76">
        <v>-204</v>
      </c>
      <c r="EW94" s="76">
        <v>0</v>
      </c>
      <c r="EX94" s="76">
        <v>0</v>
      </c>
      <c r="EY94" s="76">
        <v>-2112</v>
      </c>
      <c r="EZ94" s="76">
        <v>90515</v>
      </c>
      <c r="FA94" s="76">
        <v>4330</v>
      </c>
      <c r="FB94" s="76">
        <v>956</v>
      </c>
      <c r="FC94" s="76">
        <v>0</v>
      </c>
      <c r="FD94" s="76">
        <v>0</v>
      </c>
      <c r="FE94" s="76">
        <v>-7</v>
      </c>
      <c r="FF94" s="76">
        <v>0</v>
      </c>
      <c r="FG94" s="76">
        <v>-2081</v>
      </c>
      <c r="FH94" s="76">
        <v>3198</v>
      </c>
      <c r="FI94" s="76">
        <v>87317</v>
      </c>
      <c r="FJ94" s="76">
        <v>83497</v>
      </c>
      <c r="FK94" s="76">
        <v>0</v>
      </c>
      <c r="FL94" s="76">
        <v>0</v>
      </c>
      <c r="FM94" s="76">
        <v>0</v>
      </c>
      <c r="FN94" s="76">
        <v>0</v>
      </c>
      <c r="FO94" s="76">
        <v>0</v>
      </c>
      <c r="FP94" s="76">
        <v>0</v>
      </c>
      <c r="FQ94" s="76">
        <v>0</v>
      </c>
      <c r="FR94" s="76">
        <v>0</v>
      </c>
      <c r="FS94" s="76">
        <v>0</v>
      </c>
      <c r="FT94" s="76">
        <v>467</v>
      </c>
      <c r="FU94" s="76">
        <v>159</v>
      </c>
      <c r="FV94" s="76">
        <v>308</v>
      </c>
      <c r="FW94" s="76">
        <v>0</v>
      </c>
      <c r="FX94" s="76">
        <v>0</v>
      </c>
      <c r="FY94" s="76">
        <v>0</v>
      </c>
      <c r="FZ94" s="76">
        <v>0</v>
      </c>
      <c r="GA94" s="76">
        <v>0</v>
      </c>
      <c r="GB94" s="76">
        <v>0</v>
      </c>
      <c r="GC94" s="76">
        <v>467</v>
      </c>
      <c r="GD94" s="76">
        <v>159</v>
      </c>
      <c r="GE94" s="76">
        <v>308</v>
      </c>
      <c r="GF94" s="76">
        <v>0</v>
      </c>
      <c r="GG94" s="76">
        <v>0</v>
      </c>
      <c r="GH94" s="76">
        <v>60</v>
      </c>
      <c r="GI94" s="76">
        <v>0</v>
      </c>
      <c r="GJ94" s="76">
        <v>0</v>
      </c>
      <c r="GK94" s="76">
        <v>391</v>
      </c>
      <c r="GL94" s="76">
        <v>451</v>
      </c>
      <c r="GM94" s="76">
        <v>1076</v>
      </c>
      <c r="GN94" s="76">
        <v>102</v>
      </c>
      <c r="GO94" s="76">
        <v>0</v>
      </c>
      <c r="GP94" s="76">
        <v>13</v>
      </c>
      <c r="GQ94" s="76">
        <v>313</v>
      </c>
      <c r="GR94" s="76">
        <v>405</v>
      </c>
      <c r="GS94" s="76">
        <v>0</v>
      </c>
      <c r="GT94" s="76">
        <v>0</v>
      </c>
      <c r="GU94" s="76">
        <v>75</v>
      </c>
      <c r="GV94" s="76">
        <v>0</v>
      </c>
      <c r="GW94" s="76">
        <v>36</v>
      </c>
      <c r="GX94" s="76">
        <v>2020</v>
      </c>
      <c r="GY94" s="76">
        <v>91</v>
      </c>
      <c r="GZ94" s="76">
        <v>0</v>
      </c>
      <c r="HA94" s="76">
        <v>0</v>
      </c>
      <c r="HB94" s="76">
        <v>2057</v>
      </c>
      <c r="HC94" s="76">
        <v>2148</v>
      </c>
      <c r="HD94" s="76">
        <v>0</v>
      </c>
      <c r="HE94" s="76">
        <v>0</v>
      </c>
      <c r="HF94" s="76">
        <v>0</v>
      </c>
      <c r="HG94" s="76">
        <v>2411</v>
      </c>
      <c r="HH94" s="76">
        <v>-63</v>
      </c>
      <c r="HI94" s="76">
        <v>19</v>
      </c>
      <c r="HJ94" s="76">
        <v>0</v>
      </c>
      <c r="HK94" s="76">
        <v>0</v>
      </c>
      <c r="HL94" s="76">
        <v>-46</v>
      </c>
      <c r="HM94" s="76">
        <v>2321</v>
      </c>
      <c r="HN94" s="76">
        <v>328</v>
      </c>
      <c r="HO94" s="76">
        <v>1036</v>
      </c>
      <c r="HP94" s="76">
        <v>0</v>
      </c>
      <c r="HQ94" s="76">
        <v>29</v>
      </c>
      <c r="HR94" s="76">
        <v>-28</v>
      </c>
      <c r="HS94" s="76">
        <v>32</v>
      </c>
      <c r="HT94" s="76">
        <v>1318</v>
      </c>
      <c r="HU94" s="76">
        <v>0</v>
      </c>
      <c r="HV94" s="76">
        <v>0</v>
      </c>
      <c r="HW94" s="76">
        <v>0</v>
      </c>
      <c r="HX94" s="76">
        <v>0</v>
      </c>
    </row>
    <row r="95" spans="1:232" x14ac:dyDescent="0.2">
      <c r="A95" s="74" t="s">
        <v>93</v>
      </c>
      <c r="B95" s="74" t="s">
        <v>92</v>
      </c>
      <c r="C95" s="75" t="s">
        <v>200</v>
      </c>
      <c r="D95" s="75">
        <v>12</v>
      </c>
      <c r="E95" s="76">
        <v>315658</v>
      </c>
      <c r="F95" s="76">
        <v>0</v>
      </c>
      <c r="G95" s="76">
        <v>-223723</v>
      </c>
      <c r="H95" s="76">
        <v>91935</v>
      </c>
      <c r="I95" s="76">
        <v>64029</v>
      </c>
      <c r="J95" s="76">
        <v>0</v>
      </c>
      <c r="K95" s="76">
        <v>1267</v>
      </c>
      <c r="L95" s="76">
        <v>5266</v>
      </c>
      <c r="M95" s="76">
        <v>3246</v>
      </c>
      <c r="N95" s="76">
        <v>-108677</v>
      </c>
      <c r="O95" s="76">
        <v>4587</v>
      </c>
      <c r="P95" s="76">
        <v>0</v>
      </c>
      <c r="Q95" s="76">
        <v>0</v>
      </c>
      <c r="R95" s="76">
        <v>0</v>
      </c>
      <c r="S95" s="76">
        <v>61653</v>
      </c>
      <c r="T95" s="76">
        <v>-30</v>
      </c>
      <c r="U95" s="76">
        <v>61623</v>
      </c>
      <c r="V95" s="76">
        <v>0</v>
      </c>
      <c r="W95" s="76">
        <v>-14296</v>
      </c>
      <c r="X95" s="76">
        <v>0</v>
      </c>
      <c r="Y95" s="76">
        <v>-252</v>
      </c>
      <c r="Z95" s="76">
        <v>47075</v>
      </c>
      <c r="AA95" s="76">
        <v>196174</v>
      </c>
      <c r="AB95" s="76">
        <v>20882</v>
      </c>
      <c r="AC95" s="76">
        <v>217056</v>
      </c>
      <c r="AD95" s="76">
        <v>10763</v>
      </c>
      <c r="AE95" s="76">
        <v>0</v>
      </c>
      <c r="AF95" s="76">
        <v>135</v>
      </c>
      <c r="AG95" s="76">
        <v>5379</v>
      </c>
      <c r="AH95" s="76">
        <v>233333</v>
      </c>
      <c r="AI95" s="76">
        <v>26958</v>
      </c>
      <c r="AJ95" s="76">
        <v>26560</v>
      </c>
      <c r="AK95" s="76">
        <v>21158</v>
      </c>
      <c r="AL95" s="76">
        <v>15548</v>
      </c>
      <c r="AM95" s="76">
        <v>2010</v>
      </c>
      <c r="AN95" s="76">
        <v>1052</v>
      </c>
      <c r="AO95" s="76">
        <v>33265</v>
      </c>
      <c r="AP95" s="76">
        <v>-1394</v>
      </c>
      <c r="AQ95" s="76">
        <v>136</v>
      </c>
      <c r="AR95" s="76">
        <v>125293</v>
      </c>
      <c r="AS95" s="76">
        <v>108040</v>
      </c>
      <c r="AT95" s="76">
        <v>1750</v>
      </c>
      <c r="AU95" s="76">
        <v>2895398</v>
      </c>
      <c r="AV95" s="76">
        <v>0</v>
      </c>
      <c r="AW95" s="76">
        <v>19590</v>
      </c>
      <c r="AX95" s="76">
        <v>313</v>
      </c>
      <c r="AY95" s="76">
        <v>0</v>
      </c>
      <c r="AZ95" s="76">
        <v>57175</v>
      </c>
      <c r="BA95" s="76">
        <v>0</v>
      </c>
      <c r="BB95" s="76">
        <v>0</v>
      </c>
      <c r="BC95" s="76">
        <v>0</v>
      </c>
      <c r="BD95" s="76">
        <v>59417</v>
      </c>
      <c r="BE95" s="76">
        <v>3031893</v>
      </c>
      <c r="BF95" s="76">
        <v>182716</v>
      </c>
      <c r="BG95" s="76">
        <v>0</v>
      </c>
      <c r="BH95" s="76">
        <v>44514</v>
      </c>
      <c r="BI95" s="76">
        <v>0</v>
      </c>
      <c r="BJ95" s="76">
        <v>31313</v>
      </c>
      <c r="BK95" s="76">
        <v>258543</v>
      </c>
      <c r="BL95" s="76">
        <v>62238</v>
      </c>
      <c r="BM95" s="76">
        <v>0</v>
      </c>
      <c r="BN95" s="76">
        <v>92</v>
      </c>
      <c r="BO95" s="76">
        <v>66937</v>
      </c>
      <c r="BP95" s="76">
        <v>129267</v>
      </c>
      <c r="BQ95" s="76">
        <v>129276</v>
      </c>
      <c r="BR95" s="76">
        <v>3161169</v>
      </c>
      <c r="BS95" s="76">
        <v>1307369</v>
      </c>
      <c r="BT95" s="76">
        <v>0</v>
      </c>
      <c r="BU95" s="76">
        <v>0</v>
      </c>
      <c r="BV95" s="76">
        <v>1085321</v>
      </c>
      <c r="BW95" s="76">
        <v>0</v>
      </c>
      <c r="BX95" s="76">
        <v>327629</v>
      </c>
      <c r="BY95" s="76">
        <v>60394</v>
      </c>
      <c r="BZ95" s="76">
        <v>2780713</v>
      </c>
      <c r="CA95" s="76">
        <v>24785</v>
      </c>
      <c r="CB95" s="76">
        <v>3823</v>
      </c>
      <c r="CC95" s="76">
        <v>351848</v>
      </c>
      <c r="CD95" s="76">
        <v>377893</v>
      </c>
      <c r="CE95" s="76">
        <v>0</v>
      </c>
      <c r="CF95" s="76">
        <v>1813</v>
      </c>
      <c r="CG95" s="76">
        <v>-29832</v>
      </c>
      <c r="CH95" s="76">
        <v>1974</v>
      </c>
      <c r="CI95" s="76">
        <v>351848</v>
      </c>
      <c r="CJ95" s="76">
        <v>34201</v>
      </c>
      <c r="CK95" s="76">
        <v>0</v>
      </c>
      <c r="CL95" s="76">
        <v>23503</v>
      </c>
      <c r="CM95" s="76">
        <v>10698</v>
      </c>
      <c r="CN95" s="76">
        <v>1656</v>
      </c>
      <c r="CO95" s="76">
        <v>0</v>
      </c>
      <c r="CP95" s="76">
        <v>29756</v>
      </c>
      <c r="CQ95" s="76">
        <v>-28100</v>
      </c>
      <c r="CR95" s="76">
        <v>0</v>
      </c>
      <c r="CS95" s="76">
        <v>0</v>
      </c>
      <c r="CT95" s="76">
        <v>0</v>
      </c>
      <c r="CU95" s="76">
        <v>0</v>
      </c>
      <c r="CV95" s="76">
        <v>0</v>
      </c>
      <c r="CW95" s="76">
        <v>0</v>
      </c>
      <c r="CX95" s="76">
        <v>0</v>
      </c>
      <c r="CY95" s="76">
        <v>0</v>
      </c>
      <c r="CZ95" s="76">
        <v>23691</v>
      </c>
      <c r="DA95" s="76">
        <v>0</v>
      </c>
      <c r="DB95" s="76">
        <v>26971</v>
      </c>
      <c r="DC95" s="76">
        <v>-3280</v>
      </c>
      <c r="DD95" s="76">
        <v>59548</v>
      </c>
      <c r="DE95" s="76">
        <v>0</v>
      </c>
      <c r="DF95" s="76">
        <v>80230</v>
      </c>
      <c r="DG95" s="76">
        <v>-20682</v>
      </c>
      <c r="DH95" s="76">
        <v>20571</v>
      </c>
      <c r="DI95" s="76">
        <v>0</v>
      </c>
      <c r="DJ95" s="76">
        <v>17168</v>
      </c>
      <c r="DK95" s="76">
        <v>3403</v>
      </c>
      <c r="DL95" s="76">
        <v>0</v>
      </c>
      <c r="DM95" s="76">
        <v>0</v>
      </c>
      <c r="DN95" s="76">
        <v>0</v>
      </c>
      <c r="DO95" s="76">
        <v>0</v>
      </c>
      <c r="DP95" s="76">
        <v>0</v>
      </c>
      <c r="DQ95" s="76">
        <v>0</v>
      </c>
      <c r="DR95" s="76">
        <v>0</v>
      </c>
      <c r="DS95" s="76">
        <v>0</v>
      </c>
      <c r="DT95" s="76">
        <v>0</v>
      </c>
      <c r="DU95" s="76">
        <v>0</v>
      </c>
      <c r="DV95" s="76">
        <v>0</v>
      </c>
      <c r="DW95" s="76">
        <v>0</v>
      </c>
      <c r="DX95" s="76">
        <v>0</v>
      </c>
      <c r="DY95" s="76">
        <v>0</v>
      </c>
      <c r="DZ95" s="76">
        <v>0</v>
      </c>
      <c r="EA95" s="76">
        <v>0</v>
      </c>
      <c r="EB95" s="76">
        <v>2206</v>
      </c>
      <c r="EC95" s="76">
        <v>0</v>
      </c>
      <c r="ED95" s="76">
        <v>1032</v>
      </c>
      <c r="EE95" s="76">
        <v>1174</v>
      </c>
      <c r="EF95" s="76">
        <v>22777</v>
      </c>
      <c r="EG95" s="76">
        <v>0</v>
      </c>
      <c r="EH95" s="76">
        <v>18200</v>
      </c>
      <c r="EI95" s="76">
        <v>4577</v>
      </c>
      <c r="EJ95" s="76">
        <v>82325</v>
      </c>
      <c r="EK95" s="76">
        <v>0</v>
      </c>
      <c r="EL95" s="76">
        <v>98430</v>
      </c>
      <c r="EM95" s="76">
        <v>-16105</v>
      </c>
      <c r="EN95" s="76">
        <v>11052</v>
      </c>
      <c r="EO95" s="76">
        <v>3417</v>
      </c>
      <c r="EP95" s="76">
        <v>583</v>
      </c>
      <c r="EQ95" s="76">
        <v>3417</v>
      </c>
      <c r="ER95" s="76">
        <v>3026107</v>
      </c>
      <c r="ES95" s="76">
        <v>0</v>
      </c>
      <c r="ET95" s="76">
        <v>3026107</v>
      </c>
      <c r="EU95" s="76">
        <v>234220</v>
      </c>
      <c r="EV95" s="76">
        <v>-82066</v>
      </c>
      <c r="EW95" s="76">
        <v>0</v>
      </c>
      <c r="EX95" s="76">
        <v>0</v>
      </c>
      <c r="EY95" s="76">
        <v>0</v>
      </c>
      <c r="EZ95" s="76">
        <v>3178261</v>
      </c>
      <c r="FA95" s="76">
        <v>261763</v>
      </c>
      <c r="FB95" s="76">
        <v>34505</v>
      </c>
      <c r="FC95" s="76">
        <v>-1550</v>
      </c>
      <c r="FD95" s="76">
        <v>0</v>
      </c>
      <c r="FE95" s="76">
        <v>-11855</v>
      </c>
      <c r="FF95" s="76">
        <v>0</v>
      </c>
      <c r="FG95" s="76">
        <v>0</v>
      </c>
      <c r="FH95" s="76">
        <v>282863</v>
      </c>
      <c r="FI95" s="76">
        <v>2895398</v>
      </c>
      <c r="FJ95" s="76">
        <v>2764344</v>
      </c>
      <c r="FK95" s="76">
        <v>23236</v>
      </c>
      <c r="FL95" s="76">
        <v>11331</v>
      </c>
      <c r="FM95" s="76">
        <v>11905</v>
      </c>
      <c r="FN95" s="76">
        <v>3192</v>
      </c>
      <c r="FO95" s="76">
        <v>1609</v>
      </c>
      <c r="FP95" s="76">
        <v>1583</v>
      </c>
      <c r="FQ95" s="76">
        <v>0</v>
      </c>
      <c r="FR95" s="76">
        <v>0</v>
      </c>
      <c r="FS95" s="76">
        <v>0</v>
      </c>
      <c r="FT95" s="76">
        <v>112114</v>
      </c>
      <c r="FU95" s="76">
        <v>61573</v>
      </c>
      <c r="FV95" s="76">
        <v>50541</v>
      </c>
      <c r="FW95" s="76">
        <v>0</v>
      </c>
      <c r="FX95" s="76">
        <v>0</v>
      </c>
      <c r="FY95" s="76">
        <v>0</v>
      </c>
      <c r="FZ95" s="76">
        <v>0</v>
      </c>
      <c r="GA95" s="76">
        <v>0</v>
      </c>
      <c r="GB95" s="76">
        <v>0</v>
      </c>
      <c r="GC95" s="76">
        <v>138542</v>
      </c>
      <c r="GD95" s="76">
        <v>74513</v>
      </c>
      <c r="GE95" s="76">
        <v>64029</v>
      </c>
      <c r="GF95" s="76">
        <v>0</v>
      </c>
      <c r="GG95" s="76">
        <v>0</v>
      </c>
      <c r="GH95" s="76">
        <v>305</v>
      </c>
      <c r="GI95" s="76">
        <v>0</v>
      </c>
      <c r="GJ95" s="76">
        <v>0</v>
      </c>
      <c r="GK95" s="76">
        <v>31008</v>
      </c>
      <c r="GL95" s="76">
        <v>31313</v>
      </c>
      <c r="GM95" s="76">
        <v>5798</v>
      </c>
      <c r="GN95" s="76">
        <v>11757</v>
      </c>
      <c r="GO95" s="76">
        <v>0</v>
      </c>
      <c r="GP95" s="76">
        <v>0</v>
      </c>
      <c r="GQ95" s="76">
        <v>0</v>
      </c>
      <c r="GR95" s="76">
        <v>43596</v>
      </c>
      <c r="GS95" s="76">
        <v>0</v>
      </c>
      <c r="GT95" s="76">
        <v>0</v>
      </c>
      <c r="GU95" s="76">
        <v>361</v>
      </c>
      <c r="GV95" s="76">
        <v>0</v>
      </c>
      <c r="GW95" s="76">
        <v>5425</v>
      </c>
      <c r="GX95" s="76">
        <v>66937</v>
      </c>
      <c r="GY95" s="76">
        <v>24364</v>
      </c>
      <c r="GZ95" s="76">
        <v>1456</v>
      </c>
      <c r="HA95" s="76">
        <v>2609</v>
      </c>
      <c r="HB95" s="76">
        <v>31965</v>
      </c>
      <c r="HC95" s="76">
        <v>60394</v>
      </c>
      <c r="HD95" s="76">
        <v>0</v>
      </c>
      <c r="HE95" s="76">
        <v>3823</v>
      </c>
      <c r="HF95" s="76">
        <v>3823</v>
      </c>
      <c r="HG95" s="76">
        <v>77579</v>
      </c>
      <c r="HH95" s="76">
        <v>0</v>
      </c>
      <c r="HI95" s="76">
        <v>233</v>
      </c>
      <c r="HJ95" s="76">
        <v>0</v>
      </c>
      <c r="HK95" s="76">
        <v>39309</v>
      </c>
      <c r="HL95" s="76">
        <v>-8444</v>
      </c>
      <c r="HM95" s="76">
        <v>108677</v>
      </c>
      <c r="HN95" s="76">
        <v>24393</v>
      </c>
      <c r="HO95" s="76">
        <v>36966</v>
      </c>
      <c r="HP95" s="76">
        <v>-1550</v>
      </c>
      <c r="HQ95" s="76">
        <v>1687</v>
      </c>
      <c r="HR95" s="76">
        <v>-167</v>
      </c>
      <c r="HS95" s="76">
        <v>-817</v>
      </c>
      <c r="HT95" s="76">
        <v>48045</v>
      </c>
      <c r="HU95" s="76">
        <v>125</v>
      </c>
      <c r="HV95" s="76">
        <v>0</v>
      </c>
      <c r="HW95" s="76">
        <v>-6</v>
      </c>
      <c r="HX95" s="76">
        <v>195</v>
      </c>
    </row>
    <row r="96" spans="1:232" x14ac:dyDescent="0.2">
      <c r="A96" s="74" t="s">
        <v>95</v>
      </c>
      <c r="B96" s="74" t="s">
        <v>94</v>
      </c>
      <c r="C96" s="75" t="s">
        <v>201</v>
      </c>
      <c r="D96" s="75">
        <v>12</v>
      </c>
      <c r="E96" s="76">
        <v>17717</v>
      </c>
      <c r="F96" s="76">
        <v>-1160</v>
      </c>
      <c r="G96" s="76">
        <v>-12475</v>
      </c>
      <c r="H96" s="76">
        <v>4082</v>
      </c>
      <c r="I96" s="76">
        <v>-339</v>
      </c>
      <c r="J96" s="76">
        <v>19</v>
      </c>
      <c r="K96" s="76">
        <v>0</v>
      </c>
      <c r="L96" s="76">
        <v>0</v>
      </c>
      <c r="M96" s="76">
        <v>5</v>
      </c>
      <c r="N96" s="76">
        <v>-2733</v>
      </c>
      <c r="O96" s="76">
        <v>0</v>
      </c>
      <c r="P96" s="76">
        <v>0</v>
      </c>
      <c r="Q96" s="76">
        <v>0</v>
      </c>
      <c r="R96" s="76">
        <v>0</v>
      </c>
      <c r="S96" s="76">
        <v>1034</v>
      </c>
      <c r="T96" s="76">
        <v>0</v>
      </c>
      <c r="U96" s="76">
        <v>1034</v>
      </c>
      <c r="V96" s="76">
        <v>0</v>
      </c>
      <c r="W96" s="76">
        <v>0</v>
      </c>
      <c r="X96" s="76">
        <v>0</v>
      </c>
      <c r="Y96" s="76">
        <v>0</v>
      </c>
      <c r="Z96" s="76">
        <v>1034</v>
      </c>
      <c r="AA96" s="76">
        <v>12223</v>
      </c>
      <c r="AB96" s="76">
        <v>1381</v>
      </c>
      <c r="AC96" s="76">
        <v>13604</v>
      </c>
      <c r="AD96" s="76">
        <v>542</v>
      </c>
      <c r="AE96" s="76">
        <v>0</v>
      </c>
      <c r="AF96" s="76">
        <v>0</v>
      </c>
      <c r="AG96" s="76">
        <v>282</v>
      </c>
      <c r="AH96" s="76">
        <v>14428</v>
      </c>
      <c r="AI96" s="76">
        <v>4242</v>
      </c>
      <c r="AJ96" s="76">
        <v>733</v>
      </c>
      <c r="AK96" s="76">
        <v>2297</v>
      </c>
      <c r="AL96" s="76">
        <v>788</v>
      </c>
      <c r="AM96" s="76">
        <v>55</v>
      </c>
      <c r="AN96" s="76">
        <v>-24</v>
      </c>
      <c r="AO96" s="76">
        <v>1971</v>
      </c>
      <c r="AP96" s="76">
        <v>0</v>
      </c>
      <c r="AQ96" s="76">
        <v>0</v>
      </c>
      <c r="AR96" s="76">
        <v>10062</v>
      </c>
      <c r="AS96" s="76">
        <v>4366</v>
      </c>
      <c r="AT96" s="76">
        <v>440</v>
      </c>
      <c r="AU96" s="76">
        <v>159783</v>
      </c>
      <c r="AV96" s="76">
        <v>0</v>
      </c>
      <c r="AW96" s="76">
        <v>1618</v>
      </c>
      <c r="AX96" s="76">
        <v>0</v>
      </c>
      <c r="AY96" s="76">
        <v>0</v>
      </c>
      <c r="AZ96" s="76">
        <v>0</v>
      </c>
      <c r="BA96" s="76">
        <v>0</v>
      </c>
      <c r="BB96" s="76">
        <v>0</v>
      </c>
      <c r="BC96" s="76">
        <v>0</v>
      </c>
      <c r="BD96" s="76">
        <v>0</v>
      </c>
      <c r="BE96" s="76">
        <v>161401</v>
      </c>
      <c r="BF96" s="76">
        <v>0</v>
      </c>
      <c r="BG96" s="76">
        <v>2166</v>
      </c>
      <c r="BH96" s="76">
        <v>4169</v>
      </c>
      <c r="BI96" s="76">
        <v>0</v>
      </c>
      <c r="BJ96" s="76">
        <v>0</v>
      </c>
      <c r="BK96" s="76">
        <v>6335</v>
      </c>
      <c r="BL96" s="76">
        <v>2080</v>
      </c>
      <c r="BM96" s="76">
        <v>0</v>
      </c>
      <c r="BN96" s="76">
        <v>543</v>
      </c>
      <c r="BO96" s="76">
        <v>6665</v>
      </c>
      <c r="BP96" s="76">
        <v>9288</v>
      </c>
      <c r="BQ96" s="76">
        <v>-2953</v>
      </c>
      <c r="BR96" s="76">
        <v>158448</v>
      </c>
      <c r="BS96" s="76">
        <v>64417</v>
      </c>
      <c r="BT96" s="76">
        <v>0</v>
      </c>
      <c r="BU96" s="76">
        <v>0</v>
      </c>
      <c r="BV96" s="76">
        <v>81044</v>
      </c>
      <c r="BW96" s="76">
        <v>0</v>
      </c>
      <c r="BX96" s="76">
        <v>0</v>
      </c>
      <c r="BY96" s="76">
        <v>3407</v>
      </c>
      <c r="BZ96" s="76">
        <v>148868</v>
      </c>
      <c r="CA96" s="76">
        <v>0</v>
      </c>
      <c r="CB96" s="76">
        <v>0</v>
      </c>
      <c r="CC96" s="76">
        <v>9580</v>
      </c>
      <c r="CD96" s="76">
        <v>9580</v>
      </c>
      <c r="CE96" s="76">
        <v>0</v>
      </c>
      <c r="CF96" s="76">
        <v>0</v>
      </c>
      <c r="CG96" s="76">
        <v>0</v>
      </c>
      <c r="CH96" s="76">
        <v>0</v>
      </c>
      <c r="CI96" s="76">
        <v>9580</v>
      </c>
      <c r="CJ96" s="76">
        <v>0</v>
      </c>
      <c r="CK96" s="76">
        <v>0</v>
      </c>
      <c r="CL96" s="76">
        <v>0</v>
      </c>
      <c r="CM96" s="76">
        <v>0</v>
      </c>
      <c r="CN96" s="76">
        <v>0</v>
      </c>
      <c r="CO96" s="76">
        <v>0</v>
      </c>
      <c r="CP96" s="76">
        <v>0</v>
      </c>
      <c r="CQ96" s="76">
        <v>0</v>
      </c>
      <c r="CR96" s="76">
        <v>939</v>
      </c>
      <c r="CS96" s="76">
        <v>0</v>
      </c>
      <c r="CT96" s="76">
        <v>1174</v>
      </c>
      <c r="CU96" s="76">
        <v>-235</v>
      </c>
      <c r="CV96" s="76">
        <v>0</v>
      </c>
      <c r="CW96" s="76">
        <v>0</v>
      </c>
      <c r="CX96" s="76">
        <v>0</v>
      </c>
      <c r="CY96" s="76">
        <v>0</v>
      </c>
      <c r="CZ96" s="76">
        <v>1145</v>
      </c>
      <c r="DA96" s="76">
        <v>33</v>
      </c>
      <c r="DB96" s="76">
        <v>1004</v>
      </c>
      <c r="DC96" s="76">
        <v>108</v>
      </c>
      <c r="DD96" s="76">
        <v>2084</v>
      </c>
      <c r="DE96" s="76">
        <v>33</v>
      </c>
      <c r="DF96" s="76">
        <v>2178</v>
      </c>
      <c r="DG96" s="76">
        <v>-127</v>
      </c>
      <c r="DH96" s="76">
        <v>1087</v>
      </c>
      <c r="DI96" s="76">
        <v>1127</v>
      </c>
      <c r="DJ96" s="76">
        <v>0</v>
      </c>
      <c r="DK96" s="76">
        <v>-40</v>
      </c>
      <c r="DL96" s="76">
        <v>118</v>
      </c>
      <c r="DM96" s="76">
        <v>0</v>
      </c>
      <c r="DN96" s="76">
        <v>235</v>
      </c>
      <c r="DO96" s="76">
        <v>-117</v>
      </c>
      <c r="DP96" s="76">
        <v>0</v>
      </c>
      <c r="DQ96" s="76">
        <v>0</v>
      </c>
      <c r="DR96" s="76">
        <v>0</v>
      </c>
      <c r="DS96" s="76">
        <v>0</v>
      </c>
      <c r="DT96" s="76">
        <v>0</v>
      </c>
      <c r="DU96" s="76">
        <v>0</v>
      </c>
      <c r="DV96" s="76">
        <v>0</v>
      </c>
      <c r="DW96" s="76">
        <v>0</v>
      </c>
      <c r="DX96" s="76">
        <v>0</v>
      </c>
      <c r="DY96" s="76">
        <v>0</v>
      </c>
      <c r="DZ96" s="76">
        <v>0</v>
      </c>
      <c r="EA96" s="76">
        <v>0</v>
      </c>
      <c r="EB96" s="76">
        <v>0</v>
      </c>
      <c r="EC96" s="76">
        <v>0</v>
      </c>
      <c r="ED96" s="76">
        <v>0</v>
      </c>
      <c r="EE96" s="76">
        <v>0</v>
      </c>
      <c r="EF96" s="76">
        <v>1205</v>
      </c>
      <c r="EG96" s="76">
        <v>1127</v>
      </c>
      <c r="EH96" s="76">
        <v>235</v>
      </c>
      <c r="EI96" s="76">
        <v>-157</v>
      </c>
      <c r="EJ96" s="76">
        <v>3289</v>
      </c>
      <c r="EK96" s="76">
        <v>1160</v>
      </c>
      <c r="EL96" s="76">
        <v>2413</v>
      </c>
      <c r="EM96" s="76">
        <v>-284</v>
      </c>
      <c r="EN96" s="76">
        <v>688</v>
      </c>
      <c r="EO96" s="76">
        <v>511</v>
      </c>
      <c r="EP96" s="76">
        <v>14</v>
      </c>
      <c r="EQ96" s="76">
        <v>260</v>
      </c>
      <c r="ER96" s="76">
        <v>174591</v>
      </c>
      <c r="ES96" s="76">
        <v>0</v>
      </c>
      <c r="ET96" s="76">
        <v>174591</v>
      </c>
      <c r="EU96" s="76">
        <v>7625</v>
      </c>
      <c r="EV96" s="76">
        <v>-788</v>
      </c>
      <c r="EW96" s="76">
        <v>0</v>
      </c>
      <c r="EX96" s="76">
        <v>0</v>
      </c>
      <c r="EY96" s="76">
        <v>-489</v>
      </c>
      <c r="EZ96" s="76">
        <v>180939</v>
      </c>
      <c r="FA96" s="76">
        <v>19779</v>
      </c>
      <c r="FB96" s="76">
        <v>1979</v>
      </c>
      <c r="FC96" s="76">
        <v>0</v>
      </c>
      <c r="FD96" s="76">
        <v>0</v>
      </c>
      <c r="FE96" s="76">
        <v>-113</v>
      </c>
      <c r="FF96" s="76">
        <v>0</v>
      </c>
      <c r="FG96" s="76">
        <v>-489</v>
      </c>
      <c r="FH96" s="76">
        <v>21156</v>
      </c>
      <c r="FI96" s="76">
        <v>159783</v>
      </c>
      <c r="FJ96" s="76">
        <v>154812</v>
      </c>
      <c r="FK96" s="76">
        <v>0</v>
      </c>
      <c r="FL96" s="76">
        <v>0</v>
      </c>
      <c r="FM96" s="76">
        <v>0</v>
      </c>
      <c r="FN96" s="76">
        <v>83</v>
      </c>
      <c r="FO96" s="76">
        <v>66</v>
      </c>
      <c r="FP96" s="76">
        <v>17</v>
      </c>
      <c r="FQ96" s="76">
        <v>0</v>
      </c>
      <c r="FR96" s="76">
        <v>0</v>
      </c>
      <c r="FS96" s="76">
        <v>0</v>
      </c>
      <c r="FT96" s="76">
        <v>57</v>
      </c>
      <c r="FU96" s="76">
        <v>413</v>
      </c>
      <c r="FV96" s="76">
        <v>-356</v>
      </c>
      <c r="FW96" s="76">
        <v>0</v>
      </c>
      <c r="FX96" s="76">
        <v>0</v>
      </c>
      <c r="FY96" s="76">
        <v>0</v>
      </c>
      <c r="FZ96" s="76">
        <v>0</v>
      </c>
      <c r="GA96" s="76">
        <v>0</v>
      </c>
      <c r="GB96" s="76">
        <v>0</v>
      </c>
      <c r="GC96" s="76">
        <v>140</v>
      </c>
      <c r="GD96" s="76">
        <v>479</v>
      </c>
      <c r="GE96" s="76">
        <v>-339</v>
      </c>
      <c r="GF96" s="76">
        <v>0</v>
      </c>
      <c r="GG96" s="76">
        <v>0</v>
      </c>
      <c r="GH96" s="76">
        <v>0</v>
      </c>
      <c r="GI96" s="76">
        <v>0</v>
      </c>
      <c r="GJ96" s="76">
        <v>0</v>
      </c>
      <c r="GK96" s="76">
        <v>0</v>
      </c>
      <c r="GL96" s="76">
        <v>0</v>
      </c>
      <c r="GM96" s="76">
        <v>1126</v>
      </c>
      <c r="GN96" s="76">
        <v>130</v>
      </c>
      <c r="GO96" s="76">
        <v>0</v>
      </c>
      <c r="GP96" s="76">
        <v>650</v>
      </c>
      <c r="GQ96" s="76">
        <v>428</v>
      </c>
      <c r="GR96" s="76">
        <v>3427</v>
      </c>
      <c r="GS96" s="76">
        <v>0</v>
      </c>
      <c r="GT96" s="76">
        <v>0</v>
      </c>
      <c r="GU96" s="76">
        <v>520</v>
      </c>
      <c r="GV96" s="76">
        <v>0</v>
      </c>
      <c r="GW96" s="76">
        <v>384</v>
      </c>
      <c r="GX96" s="76">
        <v>6665</v>
      </c>
      <c r="GY96" s="76">
        <v>0</v>
      </c>
      <c r="GZ96" s="76">
        <v>0</v>
      </c>
      <c r="HA96" s="76">
        <v>3388</v>
      </c>
      <c r="HB96" s="76">
        <v>19</v>
      </c>
      <c r="HC96" s="76">
        <v>3407</v>
      </c>
      <c r="HD96" s="76">
        <v>0</v>
      </c>
      <c r="HE96" s="76">
        <v>0</v>
      </c>
      <c r="HF96" s="76">
        <v>0</v>
      </c>
      <c r="HG96" s="76">
        <v>2733</v>
      </c>
      <c r="HH96" s="76">
        <v>0</v>
      </c>
      <c r="HI96" s="76">
        <v>0</v>
      </c>
      <c r="HJ96" s="76">
        <v>0</v>
      </c>
      <c r="HK96" s="76">
        <v>0</v>
      </c>
      <c r="HL96" s="76">
        <v>0</v>
      </c>
      <c r="HM96" s="76">
        <v>2733</v>
      </c>
      <c r="HN96" s="76">
        <v>982</v>
      </c>
      <c r="HO96" s="76">
        <v>2163</v>
      </c>
      <c r="HP96" s="76">
        <v>0</v>
      </c>
      <c r="HQ96" s="76">
        <v>65</v>
      </c>
      <c r="HR96" s="76">
        <v>-6</v>
      </c>
      <c r="HS96" s="76">
        <v>0</v>
      </c>
      <c r="HT96" s="76">
        <v>2764</v>
      </c>
      <c r="HU96" s="76">
        <v>0</v>
      </c>
      <c r="HV96" s="76">
        <v>0</v>
      </c>
      <c r="HW96" s="76">
        <v>-201</v>
      </c>
      <c r="HX96" s="76">
        <v>8</v>
      </c>
    </row>
    <row r="97" spans="1:232" x14ac:dyDescent="0.2">
      <c r="A97" s="74" t="s">
        <v>455</v>
      </c>
      <c r="B97" s="74" t="s">
        <v>456</v>
      </c>
      <c r="C97" s="75" t="s">
        <v>200</v>
      </c>
      <c r="D97" s="75">
        <v>12</v>
      </c>
      <c r="E97" s="76">
        <v>15879</v>
      </c>
      <c r="F97" s="76">
        <v>0</v>
      </c>
      <c r="G97" s="76">
        <v>-14502</v>
      </c>
      <c r="H97" s="76">
        <v>1377</v>
      </c>
      <c r="I97" s="76">
        <v>0</v>
      </c>
      <c r="J97" s="76">
        <v>0</v>
      </c>
      <c r="K97" s="76">
        <v>0</v>
      </c>
      <c r="L97" s="76">
        <v>0</v>
      </c>
      <c r="M97" s="76">
        <v>6</v>
      </c>
      <c r="N97" s="76">
        <v>-29</v>
      </c>
      <c r="O97" s="76">
        <v>0</v>
      </c>
      <c r="P97" s="76">
        <v>0</v>
      </c>
      <c r="Q97" s="76">
        <v>0</v>
      </c>
      <c r="R97" s="76">
        <v>0</v>
      </c>
      <c r="S97" s="76">
        <v>1354</v>
      </c>
      <c r="T97" s="76">
        <v>-276</v>
      </c>
      <c r="U97" s="76">
        <v>1078</v>
      </c>
      <c r="V97" s="76">
        <v>0</v>
      </c>
      <c r="W97" s="76">
        <v>0</v>
      </c>
      <c r="X97" s="76">
        <v>0</v>
      </c>
      <c r="Y97" s="76">
        <v>0</v>
      </c>
      <c r="Z97" s="76">
        <v>1078</v>
      </c>
      <c r="AA97" s="76">
        <v>14040</v>
      </c>
      <c r="AB97" s="76">
        <v>1521</v>
      </c>
      <c r="AC97" s="76">
        <v>15561</v>
      </c>
      <c r="AD97" s="76">
        <v>0</v>
      </c>
      <c r="AE97" s="76">
        <v>0</v>
      </c>
      <c r="AF97" s="76">
        <v>318</v>
      </c>
      <c r="AG97" s="76">
        <v>0</v>
      </c>
      <c r="AH97" s="76">
        <v>15879</v>
      </c>
      <c r="AI97" s="76">
        <v>1750</v>
      </c>
      <c r="AJ97" s="76">
        <v>1402</v>
      </c>
      <c r="AK97" s="76">
        <v>808</v>
      </c>
      <c r="AL97" s="76">
        <v>576</v>
      </c>
      <c r="AM97" s="76">
        <v>0</v>
      </c>
      <c r="AN97" s="76">
        <v>42</v>
      </c>
      <c r="AO97" s="76">
        <v>55</v>
      </c>
      <c r="AP97" s="76">
        <v>0</v>
      </c>
      <c r="AQ97" s="76">
        <v>9868</v>
      </c>
      <c r="AR97" s="76">
        <v>14501</v>
      </c>
      <c r="AS97" s="76">
        <v>1378</v>
      </c>
      <c r="AT97" s="76">
        <v>1252</v>
      </c>
      <c r="AU97" s="76">
        <v>1035</v>
      </c>
      <c r="AV97" s="76">
        <v>0</v>
      </c>
      <c r="AW97" s="76">
        <v>43</v>
      </c>
      <c r="AX97" s="76">
        <v>0</v>
      </c>
      <c r="AY97" s="76">
        <v>0</v>
      </c>
      <c r="AZ97" s="76">
        <v>0</v>
      </c>
      <c r="BA97" s="76">
        <v>0</v>
      </c>
      <c r="BB97" s="76">
        <v>0</v>
      </c>
      <c r="BC97" s="76">
        <v>0</v>
      </c>
      <c r="BD97" s="76">
        <v>0</v>
      </c>
      <c r="BE97" s="76">
        <v>1078</v>
      </c>
      <c r="BF97" s="76">
        <v>0</v>
      </c>
      <c r="BG97" s="76">
        <v>2032</v>
      </c>
      <c r="BH97" s="76">
        <v>3213</v>
      </c>
      <c r="BI97" s="76">
        <v>0</v>
      </c>
      <c r="BJ97" s="76">
        <v>0</v>
      </c>
      <c r="BK97" s="76">
        <v>5245</v>
      </c>
      <c r="BL97" s="76">
        <v>37</v>
      </c>
      <c r="BM97" s="76">
        <v>0</v>
      </c>
      <c r="BN97" s="76">
        <v>0</v>
      </c>
      <c r="BO97" s="76">
        <v>2501</v>
      </c>
      <c r="BP97" s="76">
        <v>2538</v>
      </c>
      <c r="BQ97" s="76">
        <v>2707</v>
      </c>
      <c r="BR97" s="76">
        <v>3785</v>
      </c>
      <c r="BS97" s="76">
        <v>476</v>
      </c>
      <c r="BT97" s="76">
        <v>0</v>
      </c>
      <c r="BU97" s="76">
        <v>0</v>
      </c>
      <c r="BV97" s="76">
        <v>0</v>
      </c>
      <c r="BW97" s="76">
        <v>0</v>
      </c>
      <c r="BX97" s="76">
        <v>0</v>
      </c>
      <c r="BY97" s="76">
        <v>1807</v>
      </c>
      <c r="BZ97" s="76">
        <v>2283</v>
      </c>
      <c r="CA97" s="76">
        <v>0</v>
      </c>
      <c r="CB97" s="76">
        <v>15</v>
      </c>
      <c r="CC97" s="76">
        <v>1487</v>
      </c>
      <c r="CD97" s="76">
        <v>1487</v>
      </c>
      <c r="CE97" s="76">
        <v>0</v>
      </c>
      <c r="CF97" s="76">
        <v>0</v>
      </c>
      <c r="CG97" s="76">
        <v>0</v>
      </c>
      <c r="CH97" s="76">
        <v>0</v>
      </c>
      <c r="CI97" s="76">
        <v>1487</v>
      </c>
      <c r="CJ97" s="76">
        <v>0</v>
      </c>
      <c r="CK97" s="76">
        <v>0</v>
      </c>
      <c r="CL97" s="76">
        <v>0</v>
      </c>
      <c r="CM97" s="76">
        <v>0</v>
      </c>
      <c r="CN97" s="76">
        <v>0</v>
      </c>
      <c r="CO97" s="76">
        <v>0</v>
      </c>
      <c r="CP97" s="76">
        <v>0</v>
      </c>
      <c r="CQ97" s="76">
        <v>0</v>
      </c>
      <c r="CR97" s="76">
        <v>0</v>
      </c>
      <c r="CS97" s="76">
        <v>0</v>
      </c>
      <c r="CT97" s="76">
        <v>0</v>
      </c>
      <c r="CU97" s="76">
        <v>0</v>
      </c>
      <c r="CV97" s="76">
        <v>0</v>
      </c>
      <c r="CW97" s="76">
        <v>0</v>
      </c>
      <c r="CX97" s="76">
        <v>0</v>
      </c>
      <c r="CY97" s="76">
        <v>0</v>
      </c>
      <c r="CZ97" s="76">
        <v>0</v>
      </c>
      <c r="DA97" s="76">
        <v>0</v>
      </c>
      <c r="DB97" s="76">
        <v>0</v>
      </c>
      <c r="DC97" s="76">
        <v>0</v>
      </c>
      <c r="DD97" s="76">
        <v>0</v>
      </c>
      <c r="DE97" s="76">
        <v>0</v>
      </c>
      <c r="DF97" s="76">
        <v>0</v>
      </c>
      <c r="DG97" s="76">
        <v>0</v>
      </c>
      <c r="DH97" s="76">
        <v>0</v>
      </c>
      <c r="DI97" s="76">
        <v>0</v>
      </c>
      <c r="DJ97" s="76">
        <v>0</v>
      </c>
      <c r="DK97" s="76">
        <v>0</v>
      </c>
      <c r="DL97" s="76">
        <v>0</v>
      </c>
      <c r="DM97" s="76">
        <v>0</v>
      </c>
      <c r="DN97" s="76">
        <v>0</v>
      </c>
      <c r="DO97" s="76">
        <v>0</v>
      </c>
      <c r="DP97" s="76">
        <v>0</v>
      </c>
      <c r="DQ97" s="76">
        <v>0</v>
      </c>
      <c r="DR97" s="76">
        <v>0</v>
      </c>
      <c r="DS97" s="76">
        <v>0</v>
      </c>
      <c r="DT97" s="76">
        <v>0</v>
      </c>
      <c r="DU97" s="76">
        <v>0</v>
      </c>
      <c r="DV97" s="76">
        <v>0</v>
      </c>
      <c r="DW97" s="76">
        <v>0</v>
      </c>
      <c r="DX97" s="76">
        <v>0</v>
      </c>
      <c r="DY97" s="76">
        <v>0</v>
      </c>
      <c r="DZ97" s="76">
        <v>0</v>
      </c>
      <c r="EA97" s="76">
        <v>0</v>
      </c>
      <c r="EB97" s="76">
        <v>0</v>
      </c>
      <c r="EC97" s="76">
        <v>0</v>
      </c>
      <c r="ED97" s="76">
        <v>0</v>
      </c>
      <c r="EE97" s="76">
        <v>0</v>
      </c>
      <c r="EF97" s="76">
        <v>0</v>
      </c>
      <c r="EG97" s="76">
        <v>0</v>
      </c>
      <c r="EH97" s="76">
        <v>0</v>
      </c>
      <c r="EI97" s="76">
        <v>0</v>
      </c>
      <c r="EJ97" s="76">
        <v>0</v>
      </c>
      <c r="EK97" s="76">
        <v>0</v>
      </c>
      <c r="EL97" s="76">
        <v>0</v>
      </c>
      <c r="EM97" s="76">
        <v>0</v>
      </c>
      <c r="EN97" s="76">
        <v>852</v>
      </c>
      <c r="EO97" s="76">
        <v>36</v>
      </c>
      <c r="EP97" s="76">
        <v>27</v>
      </c>
      <c r="EQ97" s="76">
        <v>36</v>
      </c>
      <c r="ER97" s="76">
        <v>1260</v>
      </c>
      <c r="ES97" s="76">
        <v>0</v>
      </c>
      <c r="ET97" s="76">
        <v>1260</v>
      </c>
      <c r="EU97" s="76">
        <v>0</v>
      </c>
      <c r="EV97" s="76">
        <v>-44</v>
      </c>
      <c r="EW97" s="76">
        <v>0</v>
      </c>
      <c r="EX97" s="76">
        <v>0</v>
      </c>
      <c r="EY97" s="76">
        <v>0</v>
      </c>
      <c r="EZ97" s="76">
        <v>1216</v>
      </c>
      <c r="FA97" s="76">
        <v>170</v>
      </c>
      <c r="FB97" s="76">
        <v>37</v>
      </c>
      <c r="FC97" s="76">
        <v>0</v>
      </c>
      <c r="FD97" s="76">
        <v>0</v>
      </c>
      <c r="FE97" s="76">
        <v>-26</v>
      </c>
      <c r="FF97" s="76">
        <v>0</v>
      </c>
      <c r="FG97" s="76">
        <v>0</v>
      </c>
      <c r="FH97" s="76">
        <v>181</v>
      </c>
      <c r="FI97" s="76">
        <v>1035</v>
      </c>
      <c r="FJ97" s="76">
        <v>1090</v>
      </c>
      <c r="FK97" s="76">
        <v>0</v>
      </c>
      <c r="FL97" s="76">
        <v>0</v>
      </c>
      <c r="FM97" s="76">
        <v>0</v>
      </c>
      <c r="FN97" s="76">
        <v>0</v>
      </c>
      <c r="FO97" s="76">
        <v>0</v>
      </c>
      <c r="FP97" s="76">
        <v>0</v>
      </c>
      <c r="FQ97" s="76">
        <v>0</v>
      </c>
      <c r="FR97" s="76">
        <v>0</v>
      </c>
      <c r="FS97" s="76">
        <v>0</v>
      </c>
      <c r="FT97" s="76">
        <v>0</v>
      </c>
      <c r="FU97" s="76">
        <v>0</v>
      </c>
      <c r="FV97" s="76">
        <v>0</v>
      </c>
      <c r="FW97" s="76">
        <v>0</v>
      </c>
      <c r="FX97" s="76">
        <v>0</v>
      </c>
      <c r="FY97" s="76">
        <v>0</v>
      </c>
      <c r="FZ97" s="76">
        <v>0</v>
      </c>
      <c r="GA97" s="76">
        <v>0</v>
      </c>
      <c r="GB97" s="76">
        <v>0</v>
      </c>
      <c r="GC97" s="76">
        <v>0</v>
      </c>
      <c r="GD97" s="76">
        <v>0</v>
      </c>
      <c r="GE97" s="76">
        <v>0</v>
      </c>
      <c r="GF97" s="76">
        <v>0</v>
      </c>
      <c r="GG97" s="76">
        <v>0</v>
      </c>
      <c r="GH97" s="76">
        <v>0</v>
      </c>
      <c r="GI97" s="76">
        <v>0</v>
      </c>
      <c r="GJ97" s="76">
        <v>0</v>
      </c>
      <c r="GK97" s="76">
        <v>0</v>
      </c>
      <c r="GL97" s="76">
        <v>0</v>
      </c>
      <c r="GM97" s="76">
        <v>1088</v>
      </c>
      <c r="GN97" s="76">
        <v>45</v>
      </c>
      <c r="GO97" s="76">
        <v>0</v>
      </c>
      <c r="GP97" s="76">
        <v>0</v>
      </c>
      <c r="GQ97" s="76">
        <v>0</v>
      </c>
      <c r="GR97" s="76">
        <v>1014</v>
      </c>
      <c r="GS97" s="76">
        <v>0</v>
      </c>
      <c r="GT97" s="76">
        <v>0</v>
      </c>
      <c r="GU97" s="76">
        <v>0</v>
      </c>
      <c r="GV97" s="76">
        <v>0</v>
      </c>
      <c r="GW97" s="76">
        <v>354</v>
      </c>
      <c r="GX97" s="76">
        <v>2501</v>
      </c>
      <c r="GY97" s="76">
        <v>0</v>
      </c>
      <c r="GZ97" s="76">
        <v>0</v>
      </c>
      <c r="HA97" s="76">
        <v>0</v>
      </c>
      <c r="HB97" s="76">
        <v>1807</v>
      </c>
      <c r="HC97" s="76">
        <v>1807</v>
      </c>
      <c r="HD97" s="76">
        <v>0</v>
      </c>
      <c r="HE97" s="76">
        <v>15</v>
      </c>
      <c r="HF97" s="76">
        <v>15</v>
      </c>
      <c r="HG97" s="76">
        <v>29</v>
      </c>
      <c r="HH97" s="76">
        <v>0</v>
      </c>
      <c r="HI97" s="76">
        <v>0</v>
      </c>
      <c r="HJ97" s="76">
        <v>0</v>
      </c>
      <c r="HK97" s="76">
        <v>0</v>
      </c>
      <c r="HL97" s="76">
        <v>0</v>
      </c>
      <c r="HM97" s="76">
        <v>29</v>
      </c>
      <c r="HN97" s="76">
        <v>0</v>
      </c>
      <c r="HO97" s="76">
        <v>54</v>
      </c>
      <c r="HP97" s="76">
        <v>0</v>
      </c>
      <c r="HQ97" s="76">
        <v>393</v>
      </c>
      <c r="HR97" s="76">
        <v>-31</v>
      </c>
      <c r="HS97" s="76">
        <v>6</v>
      </c>
      <c r="HT97" s="76">
        <v>1285</v>
      </c>
      <c r="HU97" s="76">
        <v>0</v>
      </c>
      <c r="HV97" s="76">
        <v>0</v>
      </c>
      <c r="HW97" s="76">
        <v>0</v>
      </c>
      <c r="HX97" s="76">
        <v>0</v>
      </c>
    </row>
    <row r="98" spans="1:232" x14ac:dyDescent="0.2">
      <c r="A98" s="74" t="s">
        <v>97</v>
      </c>
      <c r="B98" s="74" t="s">
        <v>96</v>
      </c>
      <c r="C98" s="75" t="s">
        <v>200</v>
      </c>
      <c r="D98" s="75">
        <v>12</v>
      </c>
      <c r="E98" s="76">
        <v>98340</v>
      </c>
      <c r="F98" s="76">
        <v>0</v>
      </c>
      <c r="G98" s="76">
        <v>-85414</v>
      </c>
      <c r="H98" s="76">
        <v>12926</v>
      </c>
      <c r="I98" s="76">
        <v>1329</v>
      </c>
      <c r="J98" s="76">
        <v>0</v>
      </c>
      <c r="K98" s="76">
        <v>0</v>
      </c>
      <c r="L98" s="76">
        <v>1</v>
      </c>
      <c r="M98" s="76">
        <v>38</v>
      </c>
      <c r="N98" s="76">
        <v>-17830</v>
      </c>
      <c r="O98" s="76">
        <v>0</v>
      </c>
      <c r="P98" s="76">
        <v>0</v>
      </c>
      <c r="Q98" s="76">
        <v>0</v>
      </c>
      <c r="R98" s="76">
        <v>0</v>
      </c>
      <c r="S98" s="76">
        <v>-3536</v>
      </c>
      <c r="T98" s="76">
        <v>-34</v>
      </c>
      <c r="U98" s="76">
        <v>-3570</v>
      </c>
      <c r="V98" s="76">
        <v>0</v>
      </c>
      <c r="W98" s="76">
        <v>2379</v>
      </c>
      <c r="X98" s="76">
        <v>0</v>
      </c>
      <c r="Y98" s="76">
        <v>0</v>
      </c>
      <c r="Z98" s="76">
        <v>-1191</v>
      </c>
      <c r="AA98" s="76">
        <v>87034</v>
      </c>
      <c r="AB98" s="76">
        <v>7244</v>
      </c>
      <c r="AC98" s="76">
        <v>94278</v>
      </c>
      <c r="AD98" s="76">
        <v>766</v>
      </c>
      <c r="AE98" s="76">
        <v>0</v>
      </c>
      <c r="AF98" s="76">
        <v>0</v>
      </c>
      <c r="AG98" s="76">
        <v>0</v>
      </c>
      <c r="AH98" s="76">
        <v>95044</v>
      </c>
      <c r="AI98" s="76">
        <v>22556</v>
      </c>
      <c r="AJ98" s="76">
        <v>3287</v>
      </c>
      <c r="AK98" s="76">
        <v>19626</v>
      </c>
      <c r="AL98" s="76">
        <v>4004</v>
      </c>
      <c r="AM98" s="76">
        <v>2153</v>
      </c>
      <c r="AN98" s="76">
        <v>1472</v>
      </c>
      <c r="AO98" s="76">
        <v>17867</v>
      </c>
      <c r="AP98" s="76">
        <v>7100</v>
      </c>
      <c r="AQ98" s="76">
        <v>1045</v>
      </c>
      <c r="AR98" s="76">
        <v>79110</v>
      </c>
      <c r="AS98" s="76">
        <v>15934</v>
      </c>
      <c r="AT98" s="76">
        <v>3881</v>
      </c>
      <c r="AU98" s="76">
        <v>421049</v>
      </c>
      <c r="AV98" s="76">
        <v>0</v>
      </c>
      <c r="AW98" s="76">
        <v>7756</v>
      </c>
      <c r="AX98" s="76">
        <v>0</v>
      </c>
      <c r="AY98" s="76">
        <v>0</v>
      </c>
      <c r="AZ98" s="76">
        <v>0</v>
      </c>
      <c r="BA98" s="76">
        <v>130</v>
      </c>
      <c r="BB98" s="76">
        <v>0</v>
      </c>
      <c r="BC98" s="76">
        <v>0</v>
      </c>
      <c r="BD98" s="76">
        <v>0</v>
      </c>
      <c r="BE98" s="76">
        <v>428935</v>
      </c>
      <c r="BF98" s="76">
        <v>38</v>
      </c>
      <c r="BG98" s="76">
        <v>5096</v>
      </c>
      <c r="BH98" s="76">
        <v>10525</v>
      </c>
      <c r="BI98" s="76">
        <v>0</v>
      </c>
      <c r="BJ98" s="76">
        <v>696</v>
      </c>
      <c r="BK98" s="76">
        <v>16355</v>
      </c>
      <c r="BL98" s="76">
        <v>1009</v>
      </c>
      <c r="BM98" s="76">
        <v>0</v>
      </c>
      <c r="BN98" s="76">
        <v>794</v>
      </c>
      <c r="BO98" s="76">
        <v>13365</v>
      </c>
      <c r="BP98" s="76">
        <v>15168</v>
      </c>
      <c r="BQ98" s="76">
        <v>1187</v>
      </c>
      <c r="BR98" s="76">
        <v>430122</v>
      </c>
      <c r="BS98" s="76">
        <v>292689</v>
      </c>
      <c r="BT98" s="76">
        <v>0</v>
      </c>
      <c r="BU98" s="76">
        <v>0</v>
      </c>
      <c r="BV98" s="76">
        <v>68849</v>
      </c>
      <c r="BW98" s="76">
        <v>0</v>
      </c>
      <c r="BX98" s="76">
        <v>0</v>
      </c>
      <c r="BY98" s="76">
        <v>2734</v>
      </c>
      <c r="BZ98" s="76">
        <v>364272</v>
      </c>
      <c r="CA98" s="76">
        <v>21820</v>
      </c>
      <c r="CB98" s="76">
        <v>121</v>
      </c>
      <c r="CC98" s="76">
        <v>43909</v>
      </c>
      <c r="CD98" s="76">
        <v>43882</v>
      </c>
      <c r="CE98" s="76">
        <v>0</v>
      </c>
      <c r="CF98" s="76">
        <v>27</v>
      </c>
      <c r="CG98" s="76">
        <v>0</v>
      </c>
      <c r="CH98" s="76">
        <v>0</v>
      </c>
      <c r="CI98" s="76">
        <v>43909</v>
      </c>
      <c r="CJ98" s="76">
        <v>0</v>
      </c>
      <c r="CK98" s="76">
        <v>0</v>
      </c>
      <c r="CL98" s="76">
        <v>0</v>
      </c>
      <c r="CM98" s="76">
        <v>0</v>
      </c>
      <c r="CN98" s="76">
        <v>746</v>
      </c>
      <c r="CO98" s="76">
        <v>0</v>
      </c>
      <c r="CP98" s="76">
        <v>1065</v>
      </c>
      <c r="CQ98" s="76">
        <v>-319</v>
      </c>
      <c r="CR98" s="76">
        <v>0</v>
      </c>
      <c r="CS98" s="76">
        <v>0</v>
      </c>
      <c r="CT98" s="76">
        <v>19</v>
      </c>
      <c r="CU98" s="76">
        <v>-19</v>
      </c>
      <c r="CV98" s="76">
        <v>0</v>
      </c>
      <c r="CW98" s="76">
        <v>0</v>
      </c>
      <c r="CX98" s="76">
        <v>0</v>
      </c>
      <c r="CY98" s="76">
        <v>0</v>
      </c>
      <c r="CZ98" s="76">
        <v>6</v>
      </c>
      <c r="DA98" s="76">
        <v>0</v>
      </c>
      <c r="DB98" s="76">
        <v>770</v>
      </c>
      <c r="DC98" s="76">
        <v>-764</v>
      </c>
      <c r="DD98" s="76">
        <v>752</v>
      </c>
      <c r="DE98" s="76">
        <v>0</v>
      </c>
      <c r="DF98" s="76">
        <v>1854</v>
      </c>
      <c r="DG98" s="76">
        <v>-1102</v>
      </c>
      <c r="DH98" s="76">
        <v>0</v>
      </c>
      <c r="DI98" s="76">
        <v>0</v>
      </c>
      <c r="DJ98" s="76">
        <v>0</v>
      </c>
      <c r="DK98" s="76">
        <v>0</v>
      </c>
      <c r="DL98" s="76">
        <v>0</v>
      </c>
      <c r="DM98" s="76">
        <v>0</v>
      </c>
      <c r="DN98" s="76">
        <v>0</v>
      </c>
      <c r="DO98" s="76">
        <v>0</v>
      </c>
      <c r="DP98" s="76">
        <v>0</v>
      </c>
      <c r="DQ98" s="76">
        <v>0</v>
      </c>
      <c r="DR98" s="76">
        <v>0</v>
      </c>
      <c r="DS98" s="76">
        <v>0</v>
      </c>
      <c r="DT98" s="76">
        <v>0</v>
      </c>
      <c r="DU98" s="76">
        <v>0</v>
      </c>
      <c r="DV98" s="76">
        <v>0</v>
      </c>
      <c r="DW98" s="76">
        <v>0</v>
      </c>
      <c r="DX98" s="76">
        <v>0</v>
      </c>
      <c r="DY98" s="76">
        <v>0</v>
      </c>
      <c r="DZ98" s="76">
        <v>0</v>
      </c>
      <c r="EA98" s="76">
        <v>0</v>
      </c>
      <c r="EB98" s="76">
        <v>2544</v>
      </c>
      <c r="EC98" s="76">
        <v>0</v>
      </c>
      <c r="ED98" s="76">
        <v>4450</v>
      </c>
      <c r="EE98" s="76">
        <v>-1906</v>
      </c>
      <c r="EF98" s="76">
        <v>2544</v>
      </c>
      <c r="EG98" s="76">
        <v>0</v>
      </c>
      <c r="EH98" s="76">
        <v>4450</v>
      </c>
      <c r="EI98" s="76">
        <v>-1906</v>
      </c>
      <c r="EJ98" s="76">
        <v>3296</v>
      </c>
      <c r="EK98" s="76">
        <v>0</v>
      </c>
      <c r="EL98" s="76">
        <v>6304</v>
      </c>
      <c r="EM98" s="76">
        <v>-3008</v>
      </c>
      <c r="EN98" s="76">
        <v>7319</v>
      </c>
      <c r="EO98" s="76">
        <v>3929</v>
      </c>
      <c r="EP98" s="76">
        <v>4419</v>
      </c>
      <c r="EQ98" s="76">
        <v>3738</v>
      </c>
      <c r="ER98" s="76">
        <v>543560</v>
      </c>
      <c r="ES98" s="76">
        <v>0</v>
      </c>
      <c r="ET98" s="76">
        <v>543560</v>
      </c>
      <c r="EU98" s="76">
        <v>19147</v>
      </c>
      <c r="EV98" s="76">
        <v>-1397</v>
      </c>
      <c r="EW98" s="76">
        <v>0</v>
      </c>
      <c r="EX98" s="76">
        <v>0</v>
      </c>
      <c r="EY98" s="76">
        <v>-1778</v>
      </c>
      <c r="EZ98" s="76">
        <v>559532</v>
      </c>
      <c r="FA98" s="76">
        <v>114513</v>
      </c>
      <c r="FB98" s="76">
        <v>17867</v>
      </c>
      <c r="FC98" s="76">
        <v>7100</v>
      </c>
      <c r="FD98" s="76">
        <v>0</v>
      </c>
      <c r="FE98" s="76">
        <v>-450</v>
      </c>
      <c r="FF98" s="76">
        <v>0</v>
      </c>
      <c r="FG98" s="76">
        <v>-547</v>
      </c>
      <c r="FH98" s="76">
        <v>138483</v>
      </c>
      <c r="FI98" s="76">
        <v>421049</v>
      </c>
      <c r="FJ98" s="76">
        <v>429047</v>
      </c>
      <c r="FK98" s="76">
        <v>345</v>
      </c>
      <c r="FL98" s="76">
        <v>141</v>
      </c>
      <c r="FM98" s="76">
        <v>204</v>
      </c>
      <c r="FN98" s="76">
        <v>1161</v>
      </c>
      <c r="FO98" s="76">
        <v>310</v>
      </c>
      <c r="FP98" s="76">
        <v>851</v>
      </c>
      <c r="FQ98" s="76">
        <v>1517</v>
      </c>
      <c r="FR98" s="76">
        <v>1473</v>
      </c>
      <c r="FS98" s="76">
        <v>44</v>
      </c>
      <c r="FT98" s="76">
        <v>457</v>
      </c>
      <c r="FU98" s="76">
        <v>355</v>
      </c>
      <c r="FV98" s="76">
        <v>102</v>
      </c>
      <c r="FW98" s="76">
        <v>0</v>
      </c>
      <c r="FX98" s="76">
        <v>0</v>
      </c>
      <c r="FY98" s="76">
        <v>0</v>
      </c>
      <c r="FZ98" s="76">
        <v>875</v>
      </c>
      <c r="GA98" s="76">
        <v>747</v>
      </c>
      <c r="GB98" s="76">
        <v>128</v>
      </c>
      <c r="GC98" s="76">
        <v>4355</v>
      </c>
      <c r="GD98" s="76">
        <v>3026</v>
      </c>
      <c r="GE98" s="76">
        <v>1329</v>
      </c>
      <c r="GF98" s="76">
        <v>0</v>
      </c>
      <c r="GG98" s="76">
        <v>0</v>
      </c>
      <c r="GH98" s="76">
        <v>0</v>
      </c>
      <c r="GI98" s="76">
        <v>0</v>
      </c>
      <c r="GJ98" s="76">
        <v>0</v>
      </c>
      <c r="GK98" s="76">
        <v>696</v>
      </c>
      <c r="GL98" s="76">
        <v>696</v>
      </c>
      <c r="GM98" s="76">
        <v>1127</v>
      </c>
      <c r="GN98" s="76">
        <v>2187</v>
      </c>
      <c r="GO98" s="76">
        <v>0</v>
      </c>
      <c r="GP98" s="76">
        <v>0</v>
      </c>
      <c r="GQ98" s="76">
        <v>0</v>
      </c>
      <c r="GR98" s="76">
        <v>8883</v>
      </c>
      <c r="GS98" s="76">
        <v>0</v>
      </c>
      <c r="GT98" s="76">
        <v>0</v>
      </c>
      <c r="GU98" s="76">
        <v>0</v>
      </c>
      <c r="GV98" s="76">
        <v>0</v>
      </c>
      <c r="GW98" s="76">
        <v>1168</v>
      </c>
      <c r="GX98" s="76">
        <v>13365</v>
      </c>
      <c r="GY98" s="76">
        <v>138</v>
      </c>
      <c r="GZ98" s="76">
        <v>2141</v>
      </c>
      <c r="HA98" s="76">
        <v>0</v>
      </c>
      <c r="HB98" s="76">
        <v>455</v>
      </c>
      <c r="HC98" s="76">
        <v>2734</v>
      </c>
      <c r="HD98" s="76">
        <v>95</v>
      </c>
      <c r="HE98" s="76">
        <v>26</v>
      </c>
      <c r="HF98" s="76">
        <v>121</v>
      </c>
      <c r="HG98" s="76">
        <v>16200</v>
      </c>
      <c r="HH98" s="76">
        <v>246</v>
      </c>
      <c r="HI98" s="76">
        <v>681</v>
      </c>
      <c r="HJ98" s="76">
        <v>14</v>
      </c>
      <c r="HK98" s="76">
        <v>689</v>
      </c>
      <c r="HL98" s="76">
        <v>0</v>
      </c>
      <c r="HM98" s="76">
        <v>17830</v>
      </c>
      <c r="HN98" s="76">
        <v>8263</v>
      </c>
      <c r="HO98" s="76">
        <v>18730</v>
      </c>
      <c r="HP98" s="76">
        <v>7100</v>
      </c>
      <c r="HQ98" s="76">
        <v>98</v>
      </c>
      <c r="HR98" s="76">
        <v>-80</v>
      </c>
      <c r="HS98" s="76">
        <v>-14</v>
      </c>
      <c r="HT98" s="76">
        <v>21566</v>
      </c>
      <c r="HU98" s="76">
        <v>0</v>
      </c>
      <c r="HV98" s="76">
        <v>0</v>
      </c>
      <c r="HW98" s="76">
        <v>0</v>
      </c>
      <c r="HX98" s="76">
        <v>0</v>
      </c>
    </row>
    <row r="99" spans="1:232" x14ac:dyDescent="0.2">
      <c r="A99" s="74" t="s">
        <v>457</v>
      </c>
      <c r="B99" s="74" t="s">
        <v>458</v>
      </c>
      <c r="C99" s="75" t="s">
        <v>200</v>
      </c>
      <c r="D99" s="75">
        <v>12</v>
      </c>
      <c r="E99" s="76">
        <v>9797</v>
      </c>
      <c r="F99" s="76">
        <v>-226</v>
      </c>
      <c r="G99" s="76">
        <v>-5306</v>
      </c>
      <c r="H99" s="76">
        <v>4265</v>
      </c>
      <c r="I99" s="76">
        <v>375</v>
      </c>
      <c r="J99" s="76">
        <v>0</v>
      </c>
      <c r="K99" s="76">
        <v>0</v>
      </c>
      <c r="L99" s="76">
        <v>0</v>
      </c>
      <c r="M99" s="76">
        <v>87</v>
      </c>
      <c r="N99" s="76">
        <v>-2030</v>
      </c>
      <c r="O99" s="76">
        <v>0</v>
      </c>
      <c r="P99" s="76">
        <v>52</v>
      </c>
      <c r="Q99" s="76">
        <v>0</v>
      </c>
      <c r="R99" s="76">
        <v>0</v>
      </c>
      <c r="S99" s="76">
        <v>2749</v>
      </c>
      <c r="T99" s="76">
        <v>0</v>
      </c>
      <c r="U99" s="76">
        <v>2749</v>
      </c>
      <c r="V99" s="76">
        <v>0</v>
      </c>
      <c r="W99" s="76">
        <v>0</v>
      </c>
      <c r="X99" s="76">
        <v>0</v>
      </c>
      <c r="Y99" s="76">
        <v>0</v>
      </c>
      <c r="Z99" s="76">
        <v>2749</v>
      </c>
      <c r="AA99" s="76">
        <v>8103</v>
      </c>
      <c r="AB99" s="76">
        <v>627</v>
      </c>
      <c r="AC99" s="76">
        <v>8730</v>
      </c>
      <c r="AD99" s="76">
        <v>771</v>
      </c>
      <c r="AE99" s="76">
        <v>0</v>
      </c>
      <c r="AF99" s="76">
        <v>0</v>
      </c>
      <c r="AG99" s="76">
        <v>22</v>
      </c>
      <c r="AH99" s="76">
        <v>9523</v>
      </c>
      <c r="AI99" s="76">
        <v>932</v>
      </c>
      <c r="AJ99" s="76">
        <v>643</v>
      </c>
      <c r="AK99" s="76">
        <v>1264</v>
      </c>
      <c r="AL99" s="76">
        <v>384</v>
      </c>
      <c r="AM99" s="76">
        <v>36</v>
      </c>
      <c r="AN99" s="76">
        <v>49</v>
      </c>
      <c r="AO99" s="76">
        <v>1789</v>
      </c>
      <c r="AP99" s="76">
        <v>0</v>
      </c>
      <c r="AQ99" s="76">
        <v>18</v>
      </c>
      <c r="AR99" s="76">
        <v>5115</v>
      </c>
      <c r="AS99" s="76">
        <v>4408</v>
      </c>
      <c r="AT99" s="76">
        <v>14</v>
      </c>
      <c r="AU99" s="76">
        <v>143803</v>
      </c>
      <c r="AV99" s="76">
        <v>0</v>
      </c>
      <c r="AW99" s="76">
        <v>2289</v>
      </c>
      <c r="AX99" s="76">
        <v>0</v>
      </c>
      <c r="AY99" s="76">
        <v>0</v>
      </c>
      <c r="AZ99" s="76">
        <v>0</v>
      </c>
      <c r="BA99" s="76">
        <v>0</v>
      </c>
      <c r="BB99" s="76">
        <v>0</v>
      </c>
      <c r="BC99" s="76">
        <v>0</v>
      </c>
      <c r="BD99" s="76">
        <v>0</v>
      </c>
      <c r="BE99" s="76">
        <v>146092</v>
      </c>
      <c r="BF99" s="76">
        <v>9887</v>
      </c>
      <c r="BG99" s="76">
        <v>280</v>
      </c>
      <c r="BH99" s="76">
        <v>5079</v>
      </c>
      <c r="BI99" s="76">
        <v>763</v>
      </c>
      <c r="BJ99" s="76">
        <v>198</v>
      </c>
      <c r="BK99" s="76">
        <v>16207</v>
      </c>
      <c r="BL99" s="76">
        <v>0</v>
      </c>
      <c r="BM99" s="76">
        <v>0</v>
      </c>
      <c r="BN99" s="76">
        <v>782</v>
      </c>
      <c r="BO99" s="76">
        <v>4877</v>
      </c>
      <c r="BP99" s="76">
        <v>5659</v>
      </c>
      <c r="BQ99" s="76">
        <v>10548</v>
      </c>
      <c r="BR99" s="76">
        <v>156640</v>
      </c>
      <c r="BS99" s="76">
        <v>58474</v>
      </c>
      <c r="BT99" s="76">
        <v>0</v>
      </c>
      <c r="BU99" s="76">
        <v>0</v>
      </c>
      <c r="BV99" s="76">
        <v>68893</v>
      </c>
      <c r="BW99" s="76">
        <v>0</v>
      </c>
      <c r="BX99" s="76">
        <v>0</v>
      </c>
      <c r="BY99" s="76">
        <v>2471</v>
      </c>
      <c r="BZ99" s="76">
        <v>129838</v>
      </c>
      <c r="CA99" s="76">
        <v>415</v>
      </c>
      <c r="CB99" s="76">
        <v>50</v>
      </c>
      <c r="CC99" s="76">
        <v>26337</v>
      </c>
      <c r="CD99" s="76">
        <v>26337</v>
      </c>
      <c r="CE99" s="76">
        <v>0</v>
      </c>
      <c r="CF99" s="76">
        <v>0</v>
      </c>
      <c r="CG99" s="76">
        <v>0</v>
      </c>
      <c r="CH99" s="76">
        <v>0</v>
      </c>
      <c r="CI99" s="76">
        <v>26337</v>
      </c>
      <c r="CJ99" s="76">
        <v>260</v>
      </c>
      <c r="CK99" s="76">
        <v>226</v>
      </c>
      <c r="CL99" s="76">
        <v>0</v>
      </c>
      <c r="CM99" s="76">
        <v>34</v>
      </c>
      <c r="CN99" s="76">
        <v>0</v>
      </c>
      <c r="CO99" s="76">
        <v>0</v>
      </c>
      <c r="CP99" s="76">
        <v>0</v>
      </c>
      <c r="CQ99" s="76">
        <v>0</v>
      </c>
      <c r="CR99" s="76">
        <v>0</v>
      </c>
      <c r="CS99" s="76">
        <v>0</v>
      </c>
      <c r="CT99" s="76">
        <v>0</v>
      </c>
      <c r="CU99" s="76">
        <v>0</v>
      </c>
      <c r="CV99" s="76">
        <v>0</v>
      </c>
      <c r="CW99" s="76">
        <v>0</v>
      </c>
      <c r="CX99" s="76">
        <v>0</v>
      </c>
      <c r="CY99" s="76">
        <v>0</v>
      </c>
      <c r="CZ99" s="76">
        <v>14</v>
      </c>
      <c r="DA99" s="76">
        <v>0</v>
      </c>
      <c r="DB99" s="76">
        <v>191</v>
      </c>
      <c r="DC99" s="76">
        <v>-177</v>
      </c>
      <c r="DD99" s="76">
        <v>274</v>
      </c>
      <c r="DE99" s="76">
        <v>226</v>
      </c>
      <c r="DF99" s="76">
        <v>191</v>
      </c>
      <c r="DG99" s="76">
        <v>-143</v>
      </c>
      <c r="DH99" s="76">
        <v>0</v>
      </c>
      <c r="DI99" s="76">
        <v>0</v>
      </c>
      <c r="DJ99" s="76">
        <v>0</v>
      </c>
      <c r="DK99" s="76">
        <v>0</v>
      </c>
      <c r="DL99" s="76">
        <v>0</v>
      </c>
      <c r="DM99" s="76">
        <v>0</v>
      </c>
      <c r="DN99" s="76">
        <v>0</v>
      </c>
      <c r="DO99" s="76">
        <v>0</v>
      </c>
      <c r="DP99" s="76">
        <v>0</v>
      </c>
      <c r="DQ99" s="76">
        <v>0</v>
      </c>
      <c r="DR99" s="76">
        <v>0</v>
      </c>
      <c r="DS99" s="76">
        <v>0</v>
      </c>
      <c r="DT99" s="76">
        <v>0</v>
      </c>
      <c r="DU99" s="76">
        <v>0</v>
      </c>
      <c r="DV99" s="76">
        <v>0</v>
      </c>
      <c r="DW99" s="76">
        <v>0</v>
      </c>
      <c r="DX99" s="76">
        <v>0</v>
      </c>
      <c r="DY99" s="76">
        <v>0</v>
      </c>
      <c r="DZ99" s="76">
        <v>0</v>
      </c>
      <c r="EA99" s="76">
        <v>0</v>
      </c>
      <c r="EB99" s="76">
        <v>0</v>
      </c>
      <c r="EC99" s="76">
        <v>0</v>
      </c>
      <c r="ED99" s="76">
        <v>0</v>
      </c>
      <c r="EE99" s="76">
        <v>0</v>
      </c>
      <c r="EF99" s="76">
        <v>0</v>
      </c>
      <c r="EG99" s="76">
        <v>0</v>
      </c>
      <c r="EH99" s="76">
        <v>0</v>
      </c>
      <c r="EI99" s="76">
        <v>0</v>
      </c>
      <c r="EJ99" s="76">
        <v>274</v>
      </c>
      <c r="EK99" s="76">
        <v>226</v>
      </c>
      <c r="EL99" s="76">
        <v>191</v>
      </c>
      <c r="EM99" s="76">
        <v>-143</v>
      </c>
      <c r="EN99" s="76">
        <v>442</v>
      </c>
      <c r="EO99" s="76">
        <v>25</v>
      </c>
      <c r="EP99" s="76">
        <v>162</v>
      </c>
      <c r="EQ99" s="76">
        <v>25</v>
      </c>
      <c r="ER99" s="76">
        <v>160959</v>
      </c>
      <c r="ES99" s="76">
        <v>0</v>
      </c>
      <c r="ET99" s="76">
        <v>160959</v>
      </c>
      <c r="EU99" s="76">
        <v>961</v>
      </c>
      <c r="EV99" s="76">
        <v>-989</v>
      </c>
      <c r="EW99" s="76">
        <v>0</v>
      </c>
      <c r="EX99" s="76">
        <v>0</v>
      </c>
      <c r="EY99" s="76">
        <v>0</v>
      </c>
      <c r="EZ99" s="76">
        <v>160931</v>
      </c>
      <c r="FA99" s="76">
        <v>15762</v>
      </c>
      <c r="FB99" s="76">
        <v>1652</v>
      </c>
      <c r="FC99" s="76">
        <v>0</v>
      </c>
      <c r="FD99" s="76">
        <v>0</v>
      </c>
      <c r="FE99" s="76">
        <v>-286</v>
      </c>
      <c r="FF99" s="76">
        <v>0</v>
      </c>
      <c r="FG99" s="76">
        <v>0</v>
      </c>
      <c r="FH99" s="76">
        <v>17128</v>
      </c>
      <c r="FI99" s="76">
        <v>143803</v>
      </c>
      <c r="FJ99" s="76">
        <v>145197</v>
      </c>
      <c r="FK99" s="76">
        <v>513</v>
      </c>
      <c r="FL99" s="76">
        <v>236</v>
      </c>
      <c r="FM99" s="76">
        <v>277</v>
      </c>
      <c r="FN99" s="76">
        <v>0</v>
      </c>
      <c r="FO99" s="76">
        <v>0</v>
      </c>
      <c r="FP99" s="76">
        <v>0</v>
      </c>
      <c r="FQ99" s="76">
        <v>0</v>
      </c>
      <c r="FR99" s="76">
        <v>0</v>
      </c>
      <c r="FS99" s="76">
        <v>0</v>
      </c>
      <c r="FT99" s="76">
        <v>207</v>
      </c>
      <c r="FU99" s="76">
        <v>109</v>
      </c>
      <c r="FV99" s="76">
        <v>98</v>
      </c>
      <c r="FW99" s="76">
        <v>0</v>
      </c>
      <c r="FX99" s="76">
        <v>0</v>
      </c>
      <c r="FY99" s="76">
        <v>0</v>
      </c>
      <c r="FZ99" s="76">
        <v>0</v>
      </c>
      <c r="GA99" s="76">
        <v>0</v>
      </c>
      <c r="GB99" s="76">
        <v>0</v>
      </c>
      <c r="GC99" s="76">
        <v>720</v>
      </c>
      <c r="GD99" s="76">
        <v>345</v>
      </c>
      <c r="GE99" s="76">
        <v>375</v>
      </c>
      <c r="GF99" s="76">
        <v>0</v>
      </c>
      <c r="GG99" s="76">
        <v>0</v>
      </c>
      <c r="GH99" s="76">
        <v>0</v>
      </c>
      <c r="GI99" s="76">
        <v>0</v>
      </c>
      <c r="GJ99" s="76">
        <v>0</v>
      </c>
      <c r="GK99" s="76">
        <v>198</v>
      </c>
      <c r="GL99" s="76">
        <v>198</v>
      </c>
      <c r="GM99" s="76">
        <v>1842</v>
      </c>
      <c r="GN99" s="76">
        <v>319</v>
      </c>
      <c r="GO99" s="76">
        <v>0</v>
      </c>
      <c r="GP99" s="76">
        <v>136</v>
      </c>
      <c r="GQ99" s="76">
        <v>150</v>
      </c>
      <c r="GR99" s="76">
        <v>38</v>
      </c>
      <c r="GS99" s="76">
        <v>0</v>
      </c>
      <c r="GT99" s="76">
        <v>0</v>
      </c>
      <c r="GU99" s="76">
        <v>0</v>
      </c>
      <c r="GV99" s="76">
        <v>0</v>
      </c>
      <c r="GW99" s="76">
        <v>2392</v>
      </c>
      <c r="GX99" s="76">
        <v>4877</v>
      </c>
      <c r="GY99" s="76">
        <v>516</v>
      </c>
      <c r="GZ99" s="76">
        <v>982</v>
      </c>
      <c r="HA99" s="76">
        <v>0</v>
      </c>
      <c r="HB99" s="76">
        <v>973</v>
      </c>
      <c r="HC99" s="76">
        <v>2471</v>
      </c>
      <c r="HD99" s="76">
        <v>0</v>
      </c>
      <c r="HE99" s="76">
        <v>50</v>
      </c>
      <c r="HF99" s="76">
        <v>50</v>
      </c>
      <c r="HG99" s="76">
        <v>2280</v>
      </c>
      <c r="HH99" s="76">
        <v>35</v>
      </c>
      <c r="HI99" s="76">
        <v>20</v>
      </c>
      <c r="HJ99" s="76">
        <v>0</v>
      </c>
      <c r="HK99" s="76">
        <v>0</v>
      </c>
      <c r="HL99" s="76">
        <v>-305</v>
      </c>
      <c r="HM99" s="76">
        <v>2030</v>
      </c>
      <c r="HN99" s="76">
        <v>961</v>
      </c>
      <c r="HO99" s="76">
        <v>1789</v>
      </c>
      <c r="HP99" s="76">
        <v>0</v>
      </c>
      <c r="HQ99" s="76">
        <v>0</v>
      </c>
      <c r="HR99" s="76">
        <v>-3</v>
      </c>
      <c r="HS99" s="76">
        <v>0</v>
      </c>
      <c r="HT99" s="76">
        <v>1253</v>
      </c>
      <c r="HU99" s="76">
        <v>0</v>
      </c>
      <c r="HV99" s="76">
        <v>0</v>
      </c>
      <c r="HW99" s="76">
        <v>0</v>
      </c>
      <c r="HX99" s="76">
        <v>0</v>
      </c>
    </row>
    <row r="100" spans="1:232" x14ac:dyDescent="0.2">
      <c r="A100" s="74" t="s">
        <v>459</v>
      </c>
      <c r="B100" s="74" t="s">
        <v>460</v>
      </c>
      <c r="C100" s="75" t="s">
        <v>200</v>
      </c>
      <c r="D100" s="75">
        <v>12</v>
      </c>
      <c r="E100" s="76">
        <v>36212</v>
      </c>
      <c r="F100" s="76">
        <v>0</v>
      </c>
      <c r="G100" s="76">
        <v>-24171</v>
      </c>
      <c r="H100" s="76">
        <v>12041</v>
      </c>
      <c r="I100" s="76">
        <v>825</v>
      </c>
      <c r="J100" s="76">
        <v>0</v>
      </c>
      <c r="K100" s="76">
        <v>0</v>
      </c>
      <c r="L100" s="76">
        <v>0</v>
      </c>
      <c r="M100" s="76">
        <v>18</v>
      </c>
      <c r="N100" s="76">
        <v>-5567</v>
      </c>
      <c r="O100" s="76">
        <v>27</v>
      </c>
      <c r="P100" s="76">
        <v>0</v>
      </c>
      <c r="Q100" s="76">
        <v>0</v>
      </c>
      <c r="R100" s="76">
        <v>0</v>
      </c>
      <c r="S100" s="76">
        <v>7344</v>
      </c>
      <c r="T100" s="76">
        <v>-18</v>
      </c>
      <c r="U100" s="76">
        <v>7326</v>
      </c>
      <c r="V100" s="76">
        <v>0</v>
      </c>
      <c r="W100" s="76">
        <v>0</v>
      </c>
      <c r="X100" s="76">
        <v>0</v>
      </c>
      <c r="Y100" s="76">
        <v>0</v>
      </c>
      <c r="Z100" s="76">
        <v>7326</v>
      </c>
      <c r="AA100" s="76">
        <v>30752</v>
      </c>
      <c r="AB100" s="76">
        <v>2070</v>
      </c>
      <c r="AC100" s="76">
        <v>32822</v>
      </c>
      <c r="AD100" s="76">
        <v>1287</v>
      </c>
      <c r="AE100" s="76">
        <v>0</v>
      </c>
      <c r="AF100" s="76">
        <v>0</v>
      </c>
      <c r="AG100" s="76">
        <v>71</v>
      </c>
      <c r="AH100" s="76">
        <v>34180</v>
      </c>
      <c r="AI100" s="76">
        <v>5501</v>
      </c>
      <c r="AJ100" s="76">
        <v>2842</v>
      </c>
      <c r="AK100" s="76">
        <v>3104</v>
      </c>
      <c r="AL100" s="76">
        <v>5347</v>
      </c>
      <c r="AM100" s="76">
        <v>0</v>
      </c>
      <c r="AN100" s="76">
        <v>168</v>
      </c>
      <c r="AO100" s="76">
        <v>5204</v>
      </c>
      <c r="AP100" s="76">
        <v>0</v>
      </c>
      <c r="AQ100" s="76">
        <v>638</v>
      </c>
      <c r="AR100" s="76">
        <v>22804</v>
      </c>
      <c r="AS100" s="76">
        <v>11376</v>
      </c>
      <c r="AT100" s="76">
        <v>113</v>
      </c>
      <c r="AU100" s="76">
        <v>288223</v>
      </c>
      <c r="AV100" s="76">
        <v>0</v>
      </c>
      <c r="AW100" s="76">
        <v>1963</v>
      </c>
      <c r="AX100" s="76">
        <v>887</v>
      </c>
      <c r="AY100" s="76">
        <v>306</v>
      </c>
      <c r="AZ100" s="76">
        <v>13895</v>
      </c>
      <c r="BA100" s="76">
        <v>10</v>
      </c>
      <c r="BB100" s="76">
        <v>0</v>
      </c>
      <c r="BC100" s="76">
        <v>0</v>
      </c>
      <c r="BD100" s="76">
        <v>11</v>
      </c>
      <c r="BE100" s="76">
        <v>305295</v>
      </c>
      <c r="BF100" s="76">
        <v>0</v>
      </c>
      <c r="BG100" s="76">
        <v>2585</v>
      </c>
      <c r="BH100" s="76">
        <v>3779</v>
      </c>
      <c r="BI100" s="76">
        <v>0</v>
      </c>
      <c r="BJ100" s="76">
        <v>1019</v>
      </c>
      <c r="BK100" s="76">
        <v>7383</v>
      </c>
      <c r="BL100" s="76">
        <v>4392</v>
      </c>
      <c r="BM100" s="76">
        <v>0</v>
      </c>
      <c r="BN100" s="76">
        <v>0</v>
      </c>
      <c r="BO100" s="76">
        <v>8502</v>
      </c>
      <c r="BP100" s="76">
        <v>12894</v>
      </c>
      <c r="BQ100" s="76">
        <v>-5511</v>
      </c>
      <c r="BR100" s="76">
        <v>299784</v>
      </c>
      <c r="BS100" s="76">
        <v>125017</v>
      </c>
      <c r="BT100" s="76">
        <v>0</v>
      </c>
      <c r="BU100" s="76">
        <v>0</v>
      </c>
      <c r="BV100" s="76">
        <v>106858</v>
      </c>
      <c r="BW100" s="76">
        <v>306</v>
      </c>
      <c r="BX100" s="76">
        <v>0</v>
      </c>
      <c r="BY100" s="76">
        <v>544</v>
      </c>
      <c r="BZ100" s="76">
        <v>232725</v>
      </c>
      <c r="CA100" s="76">
        <v>4140</v>
      </c>
      <c r="CB100" s="76">
        <v>1019</v>
      </c>
      <c r="CC100" s="76">
        <v>61900</v>
      </c>
      <c r="CD100" s="76">
        <v>61434</v>
      </c>
      <c r="CE100" s="76">
        <v>0</v>
      </c>
      <c r="CF100" s="76">
        <v>466</v>
      </c>
      <c r="CG100" s="76">
        <v>0</v>
      </c>
      <c r="CH100" s="76">
        <v>0</v>
      </c>
      <c r="CI100" s="76">
        <v>61900</v>
      </c>
      <c r="CJ100" s="76">
        <v>0</v>
      </c>
      <c r="CK100" s="76">
        <v>0</v>
      </c>
      <c r="CL100" s="76">
        <v>0</v>
      </c>
      <c r="CM100" s="76">
        <v>0</v>
      </c>
      <c r="CN100" s="76">
        <v>549</v>
      </c>
      <c r="CO100" s="76">
        <v>0</v>
      </c>
      <c r="CP100" s="76">
        <v>730</v>
      </c>
      <c r="CQ100" s="76">
        <v>-181</v>
      </c>
      <c r="CR100" s="76">
        <v>0</v>
      </c>
      <c r="CS100" s="76">
        <v>0</v>
      </c>
      <c r="CT100" s="76">
        <v>0</v>
      </c>
      <c r="CU100" s="76">
        <v>0</v>
      </c>
      <c r="CV100" s="76">
        <v>141</v>
      </c>
      <c r="CW100" s="76">
        <v>0</v>
      </c>
      <c r="CX100" s="76">
        <v>209</v>
      </c>
      <c r="CY100" s="76">
        <v>-68</v>
      </c>
      <c r="CZ100" s="76">
        <v>344</v>
      </c>
      <c r="DA100" s="76">
        <v>0</v>
      </c>
      <c r="DB100" s="76">
        <v>0</v>
      </c>
      <c r="DC100" s="76">
        <v>344</v>
      </c>
      <c r="DD100" s="76">
        <v>1034</v>
      </c>
      <c r="DE100" s="76">
        <v>0</v>
      </c>
      <c r="DF100" s="76">
        <v>939</v>
      </c>
      <c r="DG100" s="76">
        <v>95</v>
      </c>
      <c r="DH100" s="76">
        <v>0</v>
      </c>
      <c r="DI100" s="76">
        <v>0</v>
      </c>
      <c r="DJ100" s="76">
        <v>0</v>
      </c>
      <c r="DK100" s="76">
        <v>0</v>
      </c>
      <c r="DL100" s="76">
        <v>0</v>
      </c>
      <c r="DM100" s="76">
        <v>0</v>
      </c>
      <c r="DN100" s="76">
        <v>0</v>
      </c>
      <c r="DO100" s="76">
        <v>0</v>
      </c>
      <c r="DP100" s="76">
        <v>0</v>
      </c>
      <c r="DQ100" s="76">
        <v>0</v>
      </c>
      <c r="DR100" s="76">
        <v>0</v>
      </c>
      <c r="DS100" s="76">
        <v>0</v>
      </c>
      <c r="DT100" s="76">
        <v>853</v>
      </c>
      <c r="DU100" s="76">
        <v>0</v>
      </c>
      <c r="DV100" s="76">
        <v>365</v>
      </c>
      <c r="DW100" s="76">
        <v>488</v>
      </c>
      <c r="DX100" s="76">
        <v>0</v>
      </c>
      <c r="DY100" s="76">
        <v>0</v>
      </c>
      <c r="DZ100" s="76">
        <v>0</v>
      </c>
      <c r="EA100" s="76">
        <v>0</v>
      </c>
      <c r="EB100" s="76">
        <v>145</v>
      </c>
      <c r="EC100" s="76">
        <v>0</v>
      </c>
      <c r="ED100" s="76">
        <v>63</v>
      </c>
      <c r="EE100" s="76">
        <v>82</v>
      </c>
      <c r="EF100" s="76">
        <v>998</v>
      </c>
      <c r="EG100" s="76">
        <v>0</v>
      </c>
      <c r="EH100" s="76">
        <v>428</v>
      </c>
      <c r="EI100" s="76">
        <v>570</v>
      </c>
      <c r="EJ100" s="76">
        <v>2032</v>
      </c>
      <c r="EK100" s="76">
        <v>0</v>
      </c>
      <c r="EL100" s="76">
        <v>1367</v>
      </c>
      <c r="EM100" s="76">
        <v>665</v>
      </c>
      <c r="EN100" s="76">
        <v>1371</v>
      </c>
      <c r="EO100" s="76">
        <v>234</v>
      </c>
      <c r="EP100" s="76">
        <v>65</v>
      </c>
      <c r="EQ100" s="76">
        <v>233</v>
      </c>
      <c r="ER100" s="76">
        <v>341345</v>
      </c>
      <c r="ES100" s="76">
        <v>0</v>
      </c>
      <c r="ET100" s="76">
        <v>341345</v>
      </c>
      <c r="EU100" s="76">
        <v>5180</v>
      </c>
      <c r="EV100" s="76">
        <v>-2922</v>
      </c>
      <c r="EW100" s="76">
        <v>0</v>
      </c>
      <c r="EX100" s="76">
        <v>0</v>
      </c>
      <c r="EY100" s="76">
        <v>0</v>
      </c>
      <c r="EZ100" s="76">
        <v>343603</v>
      </c>
      <c r="FA100" s="76">
        <v>51859</v>
      </c>
      <c r="FB100" s="76">
        <v>4681</v>
      </c>
      <c r="FC100" s="76">
        <v>0</v>
      </c>
      <c r="FD100" s="76">
        <v>0</v>
      </c>
      <c r="FE100" s="76">
        <v>-1160</v>
      </c>
      <c r="FF100" s="76">
        <v>0</v>
      </c>
      <c r="FG100" s="76">
        <v>0</v>
      </c>
      <c r="FH100" s="76">
        <v>55380</v>
      </c>
      <c r="FI100" s="76">
        <v>288223</v>
      </c>
      <c r="FJ100" s="76">
        <v>289486</v>
      </c>
      <c r="FK100" s="76">
        <v>1062</v>
      </c>
      <c r="FL100" s="76">
        <v>764</v>
      </c>
      <c r="FM100" s="76">
        <v>298</v>
      </c>
      <c r="FN100" s="76">
        <v>405</v>
      </c>
      <c r="FO100" s="76">
        <v>240</v>
      </c>
      <c r="FP100" s="76">
        <v>165</v>
      </c>
      <c r="FQ100" s="76">
        <v>629</v>
      </c>
      <c r="FR100" s="76">
        <v>268</v>
      </c>
      <c r="FS100" s="76">
        <v>361</v>
      </c>
      <c r="FT100" s="76">
        <v>0</v>
      </c>
      <c r="FU100" s="76">
        <v>0</v>
      </c>
      <c r="FV100" s="76">
        <v>0</v>
      </c>
      <c r="FW100" s="76">
        <v>0</v>
      </c>
      <c r="FX100" s="76">
        <v>0</v>
      </c>
      <c r="FY100" s="76">
        <v>0</v>
      </c>
      <c r="FZ100" s="76">
        <v>1</v>
      </c>
      <c r="GA100" s="76">
        <v>0</v>
      </c>
      <c r="GB100" s="76">
        <v>1</v>
      </c>
      <c r="GC100" s="76">
        <v>2097</v>
      </c>
      <c r="GD100" s="76">
        <v>1272</v>
      </c>
      <c r="GE100" s="76">
        <v>825</v>
      </c>
      <c r="GF100" s="76">
        <v>0</v>
      </c>
      <c r="GG100" s="76">
        <v>0</v>
      </c>
      <c r="GH100" s="76">
        <v>0</v>
      </c>
      <c r="GI100" s="76">
        <v>1019</v>
      </c>
      <c r="GJ100" s="76">
        <v>0</v>
      </c>
      <c r="GK100" s="76">
        <v>0</v>
      </c>
      <c r="GL100" s="76">
        <v>1019</v>
      </c>
      <c r="GM100" s="76">
        <v>888</v>
      </c>
      <c r="GN100" s="76">
        <v>723</v>
      </c>
      <c r="GO100" s="76">
        <v>0</v>
      </c>
      <c r="GP100" s="76">
        <v>0</v>
      </c>
      <c r="GQ100" s="76">
        <v>20</v>
      </c>
      <c r="GR100" s="76">
        <v>1677</v>
      </c>
      <c r="GS100" s="76">
        <v>0</v>
      </c>
      <c r="GT100" s="76">
        <v>0</v>
      </c>
      <c r="GU100" s="76">
        <v>606</v>
      </c>
      <c r="GV100" s="76">
        <v>0</v>
      </c>
      <c r="GW100" s="76">
        <v>4588</v>
      </c>
      <c r="GX100" s="76">
        <v>8502</v>
      </c>
      <c r="GY100" s="76">
        <v>463</v>
      </c>
      <c r="GZ100" s="76">
        <v>81</v>
      </c>
      <c r="HA100" s="76">
        <v>0</v>
      </c>
      <c r="HB100" s="76">
        <v>0</v>
      </c>
      <c r="HC100" s="76">
        <v>544</v>
      </c>
      <c r="HD100" s="76">
        <v>1019</v>
      </c>
      <c r="HE100" s="76">
        <v>0</v>
      </c>
      <c r="HF100" s="76">
        <v>1019</v>
      </c>
      <c r="HG100" s="76">
        <v>5458</v>
      </c>
      <c r="HH100" s="76">
        <v>109</v>
      </c>
      <c r="HI100" s="76">
        <v>0</v>
      </c>
      <c r="HJ100" s="76">
        <v>0</v>
      </c>
      <c r="HK100" s="76">
        <v>0</v>
      </c>
      <c r="HL100" s="76">
        <v>0</v>
      </c>
      <c r="HM100" s="76">
        <v>5567</v>
      </c>
      <c r="HN100" s="76">
        <v>5435</v>
      </c>
      <c r="HO100" s="76">
        <v>5849</v>
      </c>
      <c r="HP100" s="76">
        <v>0</v>
      </c>
      <c r="HQ100" s="76">
        <v>5</v>
      </c>
      <c r="HR100" s="76">
        <v>-36</v>
      </c>
      <c r="HS100" s="76">
        <v>10</v>
      </c>
      <c r="HT100" s="76">
        <v>7534</v>
      </c>
      <c r="HU100" s="76">
        <v>0</v>
      </c>
      <c r="HV100" s="76">
        <v>0</v>
      </c>
      <c r="HW100" s="76">
        <v>9</v>
      </c>
      <c r="HX100" s="76">
        <v>162</v>
      </c>
    </row>
    <row r="101" spans="1:232" x14ac:dyDescent="0.2">
      <c r="A101" s="74" t="s">
        <v>462</v>
      </c>
      <c r="B101" s="74" t="s">
        <v>463</v>
      </c>
      <c r="C101" s="75" t="s">
        <v>200</v>
      </c>
      <c r="D101" s="75">
        <v>12</v>
      </c>
      <c r="E101" s="76">
        <v>20859</v>
      </c>
      <c r="F101" s="76">
        <v>-949</v>
      </c>
      <c r="G101" s="76">
        <v>-13561</v>
      </c>
      <c r="H101" s="76">
        <v>6349</v>
      </c>
      <c r="I101" s="76">
        <v>2502</v>
      </c>
      <c r="J101" s="76">
        <v>0</v>
      </c>
      <c r="K101" s="76">
        <v>0</v>
      </c>
      <c r="L101" s="76">
        <v>0</v>
      </c>
      <c r="M101" s="76">
        <v>87</v>
      </c>
      <c r="N101" s="76">
        <v>-3778</v>
      </c>
      <c r="O101" s="76">
        <v>1926</v>
      </c>
      <c r="P101" s="76">
        <v>0</v>
      </c>
      <c r="Q101" s="76">
        <v>0</v>
      </c>
      <c r="R101" s="76">
        <v>0</v>
      </c>
      <c r="S101" s="76">
        <v>7086</v>
      </c>
      <c r="T101" s="76">
        <v>0</v>
      </c>
      <c r="U101" s="76">
        <v>7086</v>
      </c>
      <c r="V101" s="76">
        <v>0</v>
      </c>
      <c r="W101" s="76">
        <v>0</v>
      </c>
      <c r="X101" s="76">
        <v>0</v>
      </c>
      <c r="Y101" s="76">
        <v>0</v>
      </c>
      <c r="Z101" s="76">
        <v>7086</v>
      </c>
      <c r="AA101" s="76">
        <v>13551</v>
      </c>
      <c r="AB101" s="76">
        <v>1861</v>
      </c>
      <c r="AC101" s="76">
        <v>15412</v>
      </c>
      <c r="AD101" s="76">
        <v>1385</v>
      </c>
      <c r="AE101" s="76">
        <v>0</v>
      </c>
      <c r="AF101" s="76">
        <v>0</v>
      </c>
      <c r="AG101" s="76">
        <v>0</v>
      </c>
      <c r="AH101" s="76">
        <v>16797</v>
      </c>
      <c r="AI101" s="76">
        <v>1978</v>
      </c>
      <c r="AJ101" s="76">
        <v>2254</v>
      </c>
      <c r="AK101" s="76">
        <v>3912</v>
      </c>
      <c r="AL101" s="76">
        <v>627</v>
      </c>
      <c r="AM101" s="76">
        <v>20</v>
      </c>
      <c r="AN101" s="76">
        <v>-64</v>
      </c>
      <c r="AO101" s="76">
        <v>3339</v>
      </c>
      <c r="AP101" s="76">
        <v>0</v>
      </c>
      <c r="AQ101" s="76">
        <v>0</v>
      </c>
      <c r="AR101" s="76">
        <v>12066</v>
      </c>
      <c r="AS101" s="76">
        <v>4731</v>
      </c>
      <c r="AT101" s="76">
        <v>104</v>
      </c>
      <c r="AU101" s="76">
        <v>259421</v>
      </c>
      <c r="AV101" s="76">
        <v>0</v>
      </c>
      <c r="AW101" s="76">
        <v>995</v>
      </c>
      <c r="AX101" s="76">
        <v>235</v>
      </c>
      <c r="AY101" s="76">
        <v>0</v>
      </c>
      <c r="AZ101" s="76">
        <v>18554</v>
      </c>
      <c r="BA101" s="76">
        <v>0</v>
      </c>
      <c r="BB101" s="76">
        <v>0</v>
      </c>
      <c r="BC101" s="76">
        <v>0</v>
      </c>
      <c r="BD101" s="76">
        <v>0</v>
      </c>
      <c r="BE101" s="76">
        <v>279205</v>
      </c>
      <c r="BF101" s="76">
        <v>1177</v>
      </c>
      <c r="BG101" s="76">
        <v>1514</v>
      </c>
      <c r="BH101" s="76">
        <v>11469</v>
      </c>
      <c r="BI101" s="76">
        <v>0</v>
      </c>
      <c r="BJ101" s="76">
        <v>283</v>
      </c>
      <c r="BK101" s="76">
        <v>14443</v>
      </c>
      <c r="BL101" s="76">
        <v>2420</v>
      </c>
      <c r="BM101" s="76">
        <v>0</v>
      </c>
      <c r="BN101" s="76">
        <v>1380</v>
      </c>
      <c r="BO101" s="76">
        <v>6938</v>
      </c>
      <c r="BP101" s="76">
        <v>10738</v>
      </c>
      <c r="BQ101" s="76">
        <v>3705</v>
      </c>
      <c r="BR101" s="76">
        <v>282910</v>
      </c>
      <c r="BS101" s="76">
        <v>84139</v>
      </c>
      <c r="BT101" s="76">
        <v>0</v>
      </c>
      <c r="BU101" s="76">
        <v>0</v>
      </c>
      <c r="BV101" s="76">
        <v>124958</v>
      </c>
      <c r="BW101" s="76">
        <v>0</v>
      </c>
      <c r="BX101" s="76">
        <v>0</v>
      </c>
      <c r="BY101" s="76">
        <v>1372</v>
      </c>
      <c r="BZ101" s="76">
        <v>210469</v>
      </c>
      <c r="CA101" s="76">
        <v>1631</v>
      </c>
      <c r="CB101" s="76">
        <v>760</v>
      </c>
      <c r="CC101" s="76">
        <v>70050</v>
      </c>
      <c r="CD101" s="76">
        <v>70050</v>
      </c>
      <c r="CE101" s="76">
        <v>0</v>
      </c>
      <c r="CF101" s="76">
        <v>0</v>
      </c>
      <c r="CG101" s="76">
        <v>0</v>
      </c>
      <c r="CH101" s="76">
        <v>0</v>
      </c>
      <c r="CI101" s="76">
        <v>70050</v>
      </c>
      <c r="CJ101" s="76">
        <v>1602</v>
      </c>
      <c r="CK101" s="76">
        <v>949</v>
      </c>
      <c r="CL101" s="76">
        <v>0</v>
      </c>
      <c r="CM101" s="76">
        <v>653</v>
      </c>
      <c r="CN101" s="76">
        <v>0</v>
      </c>
      <c r="CO101" s="76">
        <v>0</v>
      </c>
      <c r="CP101" s="76">
        <v>0</v>
      </c>
      <c r="CQ101" s="76">
        <v>0</v>
      </c>
      <c r="CR101" s="76">
        <v>0</v>
      </c>
      <c r="CS101" s="76">
        <v>0</v>
      </c>
      <c r="CT101" s="76">
        <v>59</v>
      </c>
      <c r="CU101" s="76">
        <v>-59</v>
      </c>
      <c r="CV101" s="76">
        <v>0</v>
      </c>
      <c r="CW101" s="76">
        <v>0</v>
      </c>
      <c r="CX101" s="76">
        <v>0</v>
      </c>
      <c r="CY101" s="76">
        <v>0</v>
      </c>
      <c r="CZ101" s="76">
        <v>1265</v>
      </c>
      <c r="DA101" s="76">
        <v>0</v>
      </c>
      <c r="DB101" s="76">
        <v>795</v>
      </c>
      <c r="DC101" s="76">
        <v>470</v>
      </c>
      <c r="DD101" s="76">
        <v>2867</v>
      </c>
      <c r="DE101" s="76">
        <v>949</v>
      </c>
      <c r="DF101" s="76">
        <v>854</v>
      </c>
      <c r="DG101" s="76">
        <v>1064</v>
      </c>
      <c r="DH101" s="76">
        <v>0</v>
      </c>
      <c r="DI101" s="76">
        <v>0</v>
      </c>
      <c r="DJ101" s="76">
        <v>0</v>
      </c>
      <c r="DK101" s="76">
        <v>0</v>
      </c>
      <c r="DL101" s="76">
        <v>0</v>
      </c>
      <c r="DM101" s="76">
        <v>0</v>
      </c>
      <c r="DN101" s="76">
        <v>0</v>
      </c>
      <c r="DO101" s="76">
        <v>0</v>
      </c>
      <c r="DP101" s="76">
        <v>0</v>
      </c>
      <c r="DQ101" s="76">
        <v>0</v>
      </c>
      <c r="DR101" s="76">
        <v>0</v>
      </c>
      <c r="DS101" s="76">
        <v>0</v>
      </c>
      <c r="DT101" s="76">
        <v>352</v>
      </c>
      <c r="DU101" s="76">
        <v>0</v>
      </c>
      <c r="DV101" s="76">
        <v>146</v>
      </c>
      <c r="DW101" s="76">
        <v>206</v>
      </c>
      <c r="DX101" s="76">
        <v>0</v>
      </c>
      <c r="DY101" s="76">
        <v>0</v>
      </c>
      <c r="DZ101" s="76">
        <v>0</v>
      </c>
      <c r="EA101" s="76">
        <v>0</v>
      </c>
      <c r="EB101" s="76">
        <v>843</v>
      </c>
      <c r="EC101" s="76">
        <v>0</v>
      </c>
      <c r="ED101" s="76">
        <v>495</v>
      </c>
      <c r="EE101" s="76">
        <v>348</v>
      </c>
      <c r="EF101" s="76">
        <v>1195</v>
      </c>
      <c r="EG101" s="76">
        <v>0</v>
      </c>
      <c r="EH101" s="76">
        <v>641</v>
      </c>
      <c r="EI101" s="76">
        <v>554</v>
      </c>
      <c r="EJ101" s="76">
        <v>4062</v>
      </c>
      <c r="EK101" s="76">
        <v>949</v>
      </c>
      <c r="EL101" s="76">
        <v>1495</v>
      </c>
      <c r="EM101" s="76">
        <v>1618</v>
      </c>
      <c r="EN101" s="76">
        <v>546</v>
      </c>
      <c r="EO101" s="76">
        <v>111</v>
      </c>
      <c r="EP101" s="76">
        <v>328</v>
      </c>
      <c r="EQ101" s="76">
        <v>110</v>
      </c>
      <c r="ER101" s="76">
        <v>277208</v>
      </c>
      <c r="ES101" s="76">
        <v>0</v>
      </c>
      <c r="ET101" s="76">
        <v>277208</v>
      </c>
      <c r="EU101" s="76">
        <v>19083</v>
      </c>
      <c r="EV101" s="76">
        <v>-3852</v>
      </c>
      <c r="EW101" s="76">
        <v>0</v>
      </c>
      <c r="EX101" s="76">
        <v>0</v>
      </c>
      <c r="EY101" s="76">
        <v>0</v>
      </c>
      <c r="EZ101" s="76">
        <v>292439</v>
      </c>
      <c r="FA101" s="76">
        <v>29907</v>
      </c>
      <c r="FB101" s="76">
        <v>3339</v>
      </c>
      <c r="FC101" s="76">
        <v>0</v>
      </c>
      <c r="FD101" s="76">
        <v>0</v>
      </c>
      <c r="FE101" s="76">
        <v>-228</v>
      </c>
      <c r="FF101" s="76">
        <v>0</v>
      </c>
      <c r="FG101" s="76">
        <v>0</v>
      </c>
      <c r="FH101" s="76">
        <v>33018</v>
      </c>
      <c r="FI101" s="76">
        <v>259421</v>
      </c>
      <c r="FJ101" s="76">
        <v>247301</v>
      </c>
      <c r="FK101" s="76">
        <v>3486</v>
      </c>
      <c r="FL101" s="76">
        <v>1638</v>
      </c>
      <c r="FM101" s="76">
        <v>1848</v>
      </c>
      <c r="FN101" s="76">
        <v>0</v>
      </c>
      <c r="FO101" s="76">
        <v>0</v>
      </c>
      <c r="FP101" s="76">
        <v>0</v>
      </c>
      <c r="FQ101" s="76">
        <v>0</v>
      </c>
      <c r="FR101" s="76">
        <v>0</v>
      </c>
      <c r="FS101" s="76">
        <v>0</v>
      </c>
      <c r="FT101" s="76">
        <v>0</v>
      </c>
      <c r="FU101" s="76">
        <v>0</v>
      </c>
      <c r="FV101" s="76">
        <v>0</v>
      </c>
      <c r="FW101" s="76">
        <v>927</v>
      </c>
      <c r="FX101" s="76">
        <v>927</v>
      </c>
      <c r="FY101" s="76">
        <v>0</v>
      </c>
      <c r="FZ101" s="76">
        <v>700</v>
      </c>
      <c r="GA101" s="76">
        <v>46</v>
      </c>
      <c r="GB101" s="76">
        <v>654</v>
      </c>
      <c r="GC101" s="76">
        <v>5113</v>
      </c>
      <c r="GD101" s="76">
        <v>2611</v>
      </c>
      <c r="GE101" s="76">
        <v>2502</v>
      </c>
      <c r="GF101" s="76">
        <v>0</v>
      </c>
      <c r="GG101" s="76">
        <v>0</v>
      </c>
      <c r="GH101" s="76">
        <v>283</v>
      </c>
      <c r="GI101" s="76">
        <v>0</v>
      </c>
      <c r="GJ101" s="76">
        <v>0</v>
      </c>
      <c r="GK101" s="76">
        <v>0</v>
      </c>
      <c r="GL101" s="76">
        <v>283</v>
      </c>
      <c r="GM101" s="76">
        <v>856</v>
      </c>
      <c r="GN101" s="76">
        <v>286</v>
      </c>
      <c r="GO101" s="76">
        <v>0</v>
      </c>
      <c r="GP101" s="76">
        <v>982</v>
      </c>
      <c r="GQ101" s="76">
        <v>0</v>
      </c>
      <c r="GR101" s="76">
        <v>3272</v>
      </c>
      <c r="GS101" s="76">
        <v>1</v>
      </c>
      <c r="GT101" s="76">
        <v>0</v>
      </c>
      <c r="GU101" s="76">
        <v>0</v>
      </c>
      <c r="GV101" s="76">
        <v>0</v>
      </c>
      <c r="GW101" s="76">
        <v>1541</v>
      </c>
      <c r="GX101" s="76">
        <v>6938</v>
      </c>
      <c r="GY101" s="76">
        <v>1370</v>
      </c>
      <c r="GZ101" s="76">
        <v>0</v>
      </c>
      <c r="HA101" s="76">
        <v>0</v>
      </c>
      <c r="HB101" s="76">
        <v>2</v>
      </c>
      <c r="HC101" s="76">
        <v>1372</v>
      </c>
      <c r="HD101" s="76">
        <v>100</v>
      </c>
      <c r="HE101" s="76">
        <v>660</v>
      </c>
      <c r="HF101" s="76">
        <v>760</v>
      </c>
      <c r="HG101" s="76">
        <v>4046</v>
      </c>
      <c r="HH101" s="76">
        <v>0</v>
      </c>
      <c r="HI101" s="76">
        <v>34</v>
      </c>
      <c r="HJ101" s="76">
        <v>0</v>
      </c>
      <c r="HK101" s="76">
        <v>0</v>
      </c>
      <c r="HL101" s="76">
        <v>-302</v>
      </c>
      <c r="HM101" s="76">
        <v>3778</v>
      </c>
      <c r="HN101" s="76">
        <v>998</v>
      </c>
      <c r="HO101" s="76">
        <v>3514</v>
      </c>
      <c r="HP101" s="76">
        <v>0</v>
      </c>
      <c r="HQ101" s="76">
        <v>62</v>
      </c>
      <c r="HR101" s="76">
        <v>-11</v>
      </c>
      <c r="HS101" s="76">
        <v>27</v>
      </c>
      <c r="HT101" s="76">
        <v>2279</v>
      </c>
      <c r="HU101" s="76">
        <v>0</v>
      </c>
      <c r="HV101" s="76">
        <v>0</v>
      </c>
      <c r="HW101" s="76">
        <v>0</v>
      </c>
      <c r="HX101" s="76">
        <v>18</v>
      </c>
    </row>
    <row r="102" spans="1:232" x14ac:dyDescent="0.2">
      <c r="A102" s="74" t="s">
        <v>467</v>
      </c>
      <c r="B102" s="74" t="s">
        <v>466</v>
      </c>
      <c r="C102" s="75" t="s">
        <v>200</v>
      </c>
      <c r="D102" s="75">
        <v>12</v>
      </c>
      <c r="E102" s="76">
        <v>83513</v>
      </c>
      <c r="F102" s="76">
        <v>-3652</v>
      </c>
      <c r="G102" s="76">
        <v>-57613</v>
      </c>
      <c r="H102" s="76">
        <v>22248</v>
      </c>
      <c r="I102" s="76">
        <v>1860</v>
      </c>
      <c r="J102" s="76">
        <v>0</v>
      </c>
      <c r="K102" s="76">
        <v>-268</v>
      </c>
      <c r="L102" s="76">
        <v>0</v>
      </c>
      <c r="M102" s="76">
        <v>84</v>
      </c>
      <c r="N102" s="76">
        <v>-7774</v>
      </c>
      <c r="O102" s="76">
        <v>0</v>
      </c>
      <c r="P102" s="76">
        <v>0</v>
      </c>
      <c r="Q102" s="76">
        <v>0</v>
      </c>
      <c r="R102" s="76">
        <v>0</v>
      </c>
      <c r="S102" s="76">
        <v>16150</v>
      </c>
      <c r="T102" s="76">
        <v>-14</v>
      </c>
      <c r="U102" s="76">
        <v>16136</v>
      </c>
      <c r="V102" s="76">
        <v>0</v>
      </c>
      <c r="W102" s="76">
        <v>-4320</v>
      </c>
      <c r="X102" s="76">
        <v>0</v>
      </c>
      <c r="Y102" s="76">
        <v>0</v>
      </c>
      <c r="Z102" s="76">
        <v>11816</v>
      </c>
      <c r="AA102" s="76">
        <v>64782</v>
      </c>
      <c r="AB102" s="76">
        <v>4598</v>
      </c>
      <c r="AC102" s="76">
        <v>69380</v>
      </c>
      <c r="AD102" s="76">
        <v>4124</v>
      </c>
      <c r="AE102" s="76">
        <v>0</v>
      </c>
      <c r="AF102" s="76">
        <v>0</v>
      </c>
      <c r="AG102" s="76">
        <v>148</v>
      </c>
      <c r="AH102" s="76">
        <v>73652</v>
      </c>
      <c r="AI102" s="76">
        <v>9910</v>
      </c>
      <c r="AJ102" s="76">
        <v>6505</v>
      </c>
      <c r="AK102" s="76">
        <v>14875</v>
      </c>
      <c r="AL102" s="76">
        <v>5845</v>
      </c>
      <c r="AM102" s="76">
        <v>0</v>
      </c>
      <c r="AN102" s="76">
        <v>410</v>
      </c>
      <c r="AO102" s="76">
        <v>13221</v>
      </c>
      <c r="AP102" s="76">
        <v>451</v>
      </c>
      <c r="AQ102" s="76">
        <v>182</v>
      </c>
      <c r="AR102" s="76">
        <v>51399</v>
      </c>
      <c r="AS102" s="76">
        <v>22253</v>
      </c>
      <c r="AT102" s="76">
        <v>742</v>
      </c>
      <c r="AU102" s="76">
        <v>530361</v>
      </c>
      <c r="AV102" s="76">
        <v>0</v>
      </c>
      <c r="AW102" s="76">
        <v>6706</v>
      </c>
      <c r="AX102" s="76">
        <v>0</v>
      </c>
      <c r="AY102" s="76">
        <v>291</v>
      </c>
      <c r="AZ102" s="76">
        <v>0</v>
      </c>
      <c r="BA102" s="76">
        <v>0</v>
      </c>
      <c r="BB102" s="76">
        <v>0</v>
      </c>
      <c r="BC102" s="76">
        <v>0</v>
      </c>
      <c r="BD102" s="76">
        <v>0</v>
      </c>
      <c r="BE102" s="76">
        <v>537358</v>
      </c>
      <c r="BF102" s="76">
        <v>1847</v>
      </c>
      <c r="BG102" s="76">
        <v>7180</v>
      </c>
      <c r="BH102" s="76">
        <v>10901</v>
      </c>
      <c r="BI102" s="76">
        <v>40689</v>
      </c>
      <c r="BJ102" s="76">
        <v>350</v>
      </c>
      <c r="BK102" s="76">
        <v>60967</v>
      </c>
      <c r="BL102" s="76">
        <v>1482</v>
      </c>
      <c r="BM102" s="76">
        <v>0</v>
      </c>
      <c r="BN102" s="76">
        <v>4137</v>
      </c>
      <c r="BO102" s="76">
        <v>14966</v>
      </c>
      <c r="BP102" s="76">
        <v>20585</v>
      </c>
      <c r="BQ102" s="76">
        <v>40382</v>
      </c>
      <c r="BR102" s="76">
        <v>577740</v>
      </c>
      <c r="BS102" s="76">
        <v>193597</v>
      </c>
      <c r="BT102" s="76">
        <v>0</v>
      </c>
      <c r="BU102" s="76">
        <v>0</v>
      </c>
      <c r="BV102" s="76">
        <v>221687</v>
      </c>
      <c r="BW102" s="76">
        <v>0</v>
      </c>
      <c r="BX102" s="76">
        <v>0</v>
      </c>
      <c r="BY102" s="76">
        <v>7508</v>
      </c>
      <c r="BZ102" s="76">
        <v>422792</v>
      </c>
      <c r="CA102" s="76">
        <v>9540</v>
      </c>
      <c r="CB102" s="76">
        <v>114</v>
      </c>
      <c r="CC102" s="76">
        <v>145294</v>
      </c>
      <c r="CD102" s="76">
        <v>145294</v>
      </c>
      <c r="CE102" s="76">
        <v>0</v>
      </c>
      <c r="CF102" s="76">
        <v>0</v>
      </c>
      <c r="CG102" s="76">
        <v>0</v>
      </c>
      <c r="CH102" s="76">
        <v>0</v>
      </c>
      <c r="CI102" s="76">
        <v>145294</v>
      </c>
      <c r="CJ102" s="76">
        <v>2158</v>
      </c>
      <c r="CK102" s="76">
        <v>1894</v>
      </c>
      <c r="CL102" s="76">
        <v>0</v>
      </c>
      <c r="CM102" s="76">
        <v>264</v>
      </c>
      <c r="CN102" s="76">
        <v>1371</v>
      </c>
      <c r="CO102" s="76">
        <v>0</v>
      </c>
      <c r="CP102" s="76">
        <v>1955</v>
      </c>
      <c r="CQ102" s="76">
        <v>-584</v>
      </c>
      <c r="CR102" s="76">
        <v>1931</v>
      </c>
      <c r="CS102" s="76">
        <v>0</v>
      </c>
      <c r="CT102" s="76">
        <v>2208</v>
      </c>
      <c r="CU102" s="76">
        <v>-277</v>
      </c>
      <c r="CV102" s="76">
        <v>0</v>
      </c>
      <c r="CW102" s="76">
        <v>0</v>
      </c>
      <c r="CX102" s="76">
        <v>471</v>
      </c>
      <c r="CY102" s="76">
        <v>-471</v>
      </c>
      <c r="CZ102" s="76">
        <v>2311</v>
      </c>
      <c r="DA102" s="76">
        <v>0</v>
      </c>
      <c r="DB102" s="76">
        <v>1171</v>
      </c>
      <c r="DC102" s="76">
        <v>1140</v>
      </c>
      <c r="DD102" s="76">
        <v>7771</v>
      </c>
      <c r="DE102" s="76">
        <v>1894</v>
      </c>
      <c r="DF102" s="76">
        <v>5805</v>
      </c>
      <c r="DG102" s="76">
        <v>72</v>
      </c>
      <c r="DH102" s="76">
        <v>250</v>
      </c>
      <c r="DI102" s="76">
        <v>184</v>
      </c>
      <c r="DJ102" s="76">
        <v>0</v>
      </c>
      <c r="DK102" s="76">
        <v>66</v>
      </c>
      <c r="DL102" s="76">
        <v>0</v>
      </c>
      <c r="DM102" s="76">
        <v>0</v>
      </c>
      <c r="DN102" s="76">
        <v>0</v>
      </c>
      <c r="DO102" s="76">
        <v>0</v>
      </c>
      <c r="DP102" s="76">
        <v>0</v>
      </c>
      <c r="DQ102" s="76">
        <v>0</v>
      </c>
      <c r="DR102" s="76">
        <v>0</v>
      </c>
      <c r="DS102" s="76">
        <v>0</v>
      </c>
      <c r="DT102" s="76">
        <v>0</v>
      </c>
      <c r="DU102" s="76">
        <v>0</v>
      </c>
      <c r="DV102" s="76">
        <v>0</v>
      </c>
      <c r="DW102" s="76">
        <v>0</v>
      </c>
      <c r="DX102" s="76">
        <v>0</v>
      </c>
      <c r="DY102" s="76">
        <v>0</v>
      </c>
      <c r="DZ102" s="76">
        <v>0</v>
      </c>
      <c r="EA102" s="76">
        <v>0</v>
      </c>
      <c r="EB102" s="76">
        <v>1840</v>
      </c>
      <c r="EC102" s="76">
        <v>1574</v>
      </c>
      <c r="ED102" s="76">
        <v>409</v>
      </c>
      <c r="EE102" s="76">
        <v>-143</v>
      </c>
      <c r="EF102" s="76">
        <v>2090</v>
      </c>
      <c r="EG102" s="76">
        <v>1758</v>
      </c>
      <c r="EH102" s="76">
        <v>409</v>
      </c>
      <c r="EI102" s="76">
        <v>-77</v>
      </c>
      <c r="EJ102" s="76">
        <v>9861</v>
      </c>
      <c r="EK102" s="76">
        <v>3652</v>
      </c>
      <c r="EL102" s="76">
        <v>6214</v>
      </c>
      <c r="EM102" s="76">
        <v>-5</v>
      </c>
      <c r="EN102" s="76">
        <v>2781</v>
      </c>
      <c r="EO102" s="76">
        <v>601</v>
      </c>
      <c r="EP102" s="76">
        <v>947</v>
      </c>
      <c r="EQ102" s="76">
        <v>601</v>
      </c>
      <c r="ER102" s="76">
        <v>609889</v>
      </c>
      <c r="ES102" s="76">
        <v>0</v>
      </c>
      <c r="ET102" s="76">
        <v>609889</v>
      </c>
      <c r="EU102" s="76">
        <v>36249</v>
      </c>
      <c r="EV102" s="76">
        <v>-3910</v>
      </c>
      <c r="EW102" s="76">
        <v>0</v>
      </c>
      <c r="EX102" s="76">
        <v>0</v>
      </c>
      <c r="EY102" s="76">
        <v>-2468</v>
      </c>
      <c r="EZ102" s="76">
        <v>639760</v>
      </c>
      <c r="FA102" s="76">
        <v>99404</v>
      </c>
      <c r="FB102" s="76">
        <v>12759</v>
      </c>
      <c r="FC102" s="76">
        <v>451</v>
      </c>
      <c r="FD102" s="76">
        <v>0</v>
      </c>
      <c r="FE102" s="76">
        <v>-1533</v>
      </c>
      <c r="FF102" s="76">
        <v>0</v>
      </c>
      <c r="FG102" s="76">
        <v>-1682</v>
      </c>
      <c r="FH102" s="76">
        <v>109399</v>
      </c>
      <c r="FI102" s="76">
        <v>530361</v>
      </c>
      <c r="FJ102" s="76">
        <v>510485</v>
      </c>
      <c r="FK102" s="76">
        <v>557</v>
      </c>
      <c r="FL102" s="76">
        <v>487</v>
      </c>
      <c r="FM102" s="76">
        <v>70</v>
      </c>
      <c r="FN102" s="76">
        <v>1339</v>
      </c>
      <c r="FO102" s="76">
        <v>737</v>
      </c>
      <c r="FP102" s="76">
        <v>602</v>
      </c>
      <c r="FQ102" s="76">
        <v>655</v>
      </c>
      <c r="FR102" s="76">
        <v>617</v>
      </c>
      <c r="FS102" s="76">
        <v>38</v>
      </c>
      <c r="FT102" s="76">
        <v>1496</v>
      </c>
      <c r="FU102" s="76">
        <v>725</v>
      </c>
      <c r="FV102" s="76">
        <v>771</v>
      </c>
      <c r="FW102" s="76">
        <v>630</v>
      </c>
      <c r="FX102" s="76">
        <v>239</v>
      </c>
      <c r="FY102" s="76">
        <v>391</v>
      </c>
      <c r="FZ102" s="76">
        <v>0</v>
      </c>
      <c r="GA102" s="76">
        <v>12</v>
      </c>
      <c r="GB102" s="76">
        <v>-12</v>
      </c>
      <c r="GC102" s="76">
        <v>4677</v>
      </c>
      <c r="GD102" s="76">
        <v>2817</v>
      </c>
      <c r="GE102" s="76">
        <v>1860</v>
      </c>
      <c r="GF102" s="76">
        <v>0</v>
      </c>
      <c r="GG102" s="76">
        <v>0</v>
      </c>
      <c r="GH102" s="76">
        <v>0</v>
      </c>
      <c r="GI102" s="76">
        <v>0</v>
      </c>
      <c r="GJ102" s="76">
        <v>0</v>
      </c>
      <c r="GK102" s="76">
        <v>350</v>
      </c>
      <c r="GL102" s="76">
        <v>350</v>
      </c>
      <c r="GM102" s="76">
        <v>2737</v>
      </c>
      <c r="GN102" s="76">
        <v>926</v>
      </c>
      <c r="GO102" s="76">
        <v>0</v>
      </c>
      <c r="GP102" s="76">
        <v>468</v>
      </c>
      <c r="GQ102" s="76">
        <v>173</v>
      </c>
      <c r="GR102" s="76">
        <v>7748</v>
      </c>
      <c r="GS102" s="76">
        <v>0</v>
      </c>
      <c r="GT102" s="76">
        <v>0</v>
      </c>
      <c r="GU102" s="76">
        <v>766</v>
      </c>
      <c r="GV102" s="76">
        <v>0</v>
      </c>
      <c r="GW102" s="76">
        <v>2148</v>
      </c>
      <c r="GX102" s="76">
        <v>14966</v>
      </c>
      <c r="GY102" s="76">
        <v>1251</v>
      </c>
      <c r="GZ102" s="76">
        <v>636</v>
      </c>
      <c r="HA102" s="76">
        <v>5313</v>
      </c>
      <c r="HB102" s="76">
        <v>308</v>
      </c>
      <c r="HC102" s="76">
        <v>7508</v>
      </c>
      <c r="HD102" s="76">
        <v>0</v>
      </c>
      <c r="HE102" s="76">
        <v>114</v>
      </c>
      <c r="HF102" s="76">
        <v>114</v>
      </c>
      <c r="HG102" s="76">
        <v>7740</v>
      </c>
      <c r="HH102" s="76">
        <v>0</v>
      </c>
      <c r="HI102" s="76">
        <v>0</v>
      </c>
      <c r="HJ102" s="76">
        <v>6</v>
      </c>
      <c r="HK102" s="76">
        <v>28</v>
      </c>
      <c r="HL102" s="76">
        <v>0</v>
      </c>
      <c r="HM102" s="76">
        <v>7774</v>
      </c>
      <c r="HN102" s="76">
        <v>9407</v>
      </c>
      <c r="HO102" s="76">
        <v>14130</v>
      </c>
      <c r="HP102" s="76">
        <v>633</v>
      </c>
      <c r="HQ102" s="76">
        <v>247</v>
      </c>
      <c r="HR102" s="76">
        <v>-112</v>
      </c>
      <c r="HS102" s="76">
        <v>9</v>
      </c>
      <c r="HT102" s="76">
        <v>16318</v>
      </c>
      <c r="HU102" s="76">
        <v>0</v>
      </c>
      <c r="HV102" s="76">
        <v>0</v>
      </c>
      <c r="HW102" s="76">
        <v>1</v>
      </c>
      <c r="HX102" s="76">
        <v>3</v>
      </c>
    </row>
    <row r="103" spans="1:232" x14ac:dyDescent="0.2">
      <c r="A103" s="74" t="s">
        <v>470</v>
      </c>
      <c r="B103" s="74" t="s">
        <v>469</v>
      </c>
      <c r="C103" s="75" t="s">
        <v>200</v>
      </c>
      <c r="D103" s="75">
        <v>12</v>
      </c>
      <c r="E103" s="76">
        <v>25317</v>
      </c>
      <c r="F103" s="76">
        <v>-292</v>
      </c>
      <c r="G103" s="76">
        <v>-19062</v>
      </c>
      <c r="H103" s="76">
        <v>5963</v>
      </c>
      <c r="I103" s="76">
        <v>96</v>
      </c>
      <c r="J103" s="76">
        <v>0</v>
      </c>
      <c r="K103" s="76">
        <v>0</v>
      </c>
      <c r="L103" s="76">
        <v>0</v>
      </c>
      <c r="M103" s="76">
        <v>42</v>
      </c>
      <c r="N103" s="76">
        <v>-3630</v>
      </c>
      <c r="O103" s="76">
        <v>0</v>
      </c>
      <c r="P103" s="76">
        <v>0</v>
      </c>
      <c r="Q103" s="76">
        <v>0</v>
      </c>
      <c r="R103" s="76">
        <v>0</v>
      </c>
      <c r="S103" s="76">
        <v>2471</v>
      </c>
      <c r="T103" s="76">
        <v>0</v>
      </c>
      <c r="U103" s="76">
        <v>2471</v>
      </c>
      <c r="V103" s="76">
        <v>0</v>
      </c>
      <c r="W103" s="76">
        <v>0</v>
      </c>
      <c r="X103" s="76">
        <v>0</v>
      </c>
      <c r="Y103" s="76">
        <v>0</v>
      </c>
      <c r="Z103" s="76">
        <v>2471</v>
      </c>
      <c r="AA103" s="76">
        <v>18053</v>
      </c>
      <c r="AB103" s="76">
        <v>5190</v>
      </c>
      <c r="AC103" s="76">
        <v>23243</v>
      </c>
      <c r="AD103" s="76">
        <v>26</v>
      </c>
      <c r="AE103" s="76">
        <v>0</v>
      </c>
      <c r="AF103" s="76">
        <v>0</v>
      </c>
      <c r="AG103" s="76">
        <v>0</v>
      </c>
      <c r="AH103" s="76">
        <v>23269</v>
      </c>
      <c r="AI103" s="76">
        <v>4884</v>
      </c>
      <c r="AJ103" s="76">
        <v>5152</v>
      </c>
      <c r="AK103" s="76">
        <v>1537</v>
      </c>
      <c r="AL103" s="76">
        <v>2851</v>
      </c>
      <c r="AM103" s="76">
        <v>0</v>
      </c>
      <c r="AN103" s="76">
        <v>43</v>
      </c>
      <c r="AO103" s="76">
        <v>2592</v>
      </c>
      <c r="AP103" s="76">
        <v>457</v>
      </c>
      <c r="AQ103" s="76">
        <v>0</v>
      </c>
      <c r="AR103" s="76">
        <v>17516</v>
      </c>
      <c r="AS103" s="76">
        <v>5753</v>
      </c>
      <c r="AT103" s="76">
        <v>408</v>
      </c>
      <c r="AU103" s="76">
        <v>119741</v>
      </c>
      <c r="AV103" s="76">
        <v>0</v>
      </c>
      <c r="AW103" s="76">
        <v>4380</v>
      </c>
      <c r="AX103" s="76">
        <v>0</v>
      </c>
      <c r="AY103" s="76">
        <v>0</v>
      </c>
      <c r="AZ103" s="76">
        <v>0</v>
      </c>
      <c r="BA103" s="76">
        <v>0</v>
      </c>
      <c r="BB103" s="76">
        <v>0</v>
      </c>
      <c r="BC103" s="76">
        <v>0</v>
      </c>
      <c r="BD103" s="76">
        <v>0</v>
      </c>
      <c r="BE103" s="76">
        <v>124121</v>
      </c>
      <c r="BF103" s="76">
        <v>407</v>
      </c>
      <c r="BG103" s="76">
        <v>861</v>
      </c>
      <c r="BH103" s="76">
        <v>11290</v>
      </c>
      <c r="BI103" s="76">
        <v>0</v>
      </c>
      <c r="BJ103" s="76">
        <v>172</v>
      </c>
      <c r="BK103" s="76">
        <v>12730</v>
      </c>
      <c r="BL103" s="76">
        <v>2757</v>
      </c>
      <c r="BM103" s="76">
        <v>0</v>
      </c>
      <c r="BN103" s="76">
        <v>0</v>
      </c>
      <c r="BO103" s="76">
        <v>7715</v>
      </c>
      <c r="BP103" s="76">
        <v>10472</v>
      </c>
      <c r="BQ103" s="76">
        <v>2258</v>
      </c>
      <c r="BR103" s="76">
        <v>126379</v>
      </c>
      <c r="BS103" s="76">
        <v>67558</v>
      </c>
      <c r="BT103" s="76">
        <v>0</v>
      </c>
      <c r="BU103" s="76">
        <v>0</v>
      </c>
      <c r="BV103" s="76">
        <v>2497</v>
      </c>
      <c r="BW103" s="76">
        <v>0</v>
      </c>
      <c r="BX103" s="76">
        <v>0</v>
      </c>
      <c r="BY103" s="76">
        <v>3916</v>
      </c>
      <c r="BZ103" s="76">
        <v>73971</v>
      </c>
      <c r="CA103" s="76">
        <v>0</v>
      </c>
      <c r="CB103" s="76">
        <v>0</v>
      </c>
      <c r="CC103" s="76">
        <v>52408</v>
      </c>
      <c r="CD103" s="76">
        <v>23136</v>
      </c>
      <c r="CE103" s="76">
        <v>28667</v>
      </c>
      <c r="CF103" s="76">
        <v>0</v>
      </c>
      <c r="CG103" s="76">
        <v>0</v>
      </c>
      <c r="CH103" s="76">
        <v>605</v>
      </c>
      <c r="CI103" s="76">
        <v>52408</v>
      </c>
      <c r="CJ103" s="76">
        <v>439</v>
      </c>
      <c r="CK103" s="76">
        <v>292</v>
      </c>
      <c r="CL103" s="76">
        <v>0</v>
      </c>
      <c r="CM103" s="76">
        <v>147</v>
      </c>
      <c r="CN103" s="76">
        <v>0</v>
      </c>
      <c r="CO103" s="76">
        <v>0</v>
      </c>
      <c r="CP103" s="76">
        <v>0</v>
      </c>
      <c r="CQ103" s="76">
        <v>0</v>
      </c>
      <c r="CR103" s="76">
        <v>0</v>
      </c>
      <c r="CS103" s="76">
        <v>0</v>
      </c>
      <c r="CT103" s="76">
        <v>67</v>
      </c>
      <c r="CU103" s="76">
        <v>-67</v>
      </c>
      <c r="CV103" s="76">
        <v>0</v>
      </c>
      <c r="CW103" s="76">
        <v>0</v>
      </c>
      <c r="CX103" s="76">
        <v>0</v>
      </c>
      <c r="CY103" s="76">
        <v>0</v>
      </c>
      <c r="CZ103" s="76">
        <v>144</v>
      </c>
      <c r="DA103" s="76">
        <v>0</v>
      </c>
      <c r="DB103" s="76">
        <v>41</v>
      </c>
      <c r="DC103" s="76">
        <v>103</v>
      </c>
      <c r="DD103" s="76">
        <v>583</v>
      </c>
      <c r="DE103" s="76">
        <v>292</v>
      </c>
      <c r="DF103" s="76">
        <v>108</v>
      </c>
      <c r="DG103" s="76">
        <v>183</v>
      </c>
      <c r="DH103" s="76">
        <v>0</v>
      </c>
      <c r="DI103" s="76">
        <v>0</v>
      </c>
      <c r="DJ103" s="76">
        <v>0</v>
      </c>
      <c r="DK103" s="76">
        <v>0</v>
      </c>
      <c r="DL103" s="76">
        <v>0</v>
      </c>
      <c r="DM103" s="76">
        <v>0</v>
      </c>
      <c r="DN103" s="76">
        <v>0</v>
      </c>
      <c r="DO103" s="76">
        <v>0</v>
      </c>
      <c r="DP103" s="76">
        <v>0</v>
      </c>
      <c r="DQ103" s="76">
        <v>0</v>
      </c>
      <c r="DR103" s="76">
        <v>0</v>
      </c>
      <c r="DS103" s="76">
        <v>0</v>
      </c>
      <c r="DT103" s="76">
        <v>0</v>
      </c>
      <c r="DU103" s="76">
        <v>0</v>
      </c>
      <c r="DV103" s="76">
        <v>0</v>
      </c>
      <c r="DW103" s="76">
        <v>0</v>
      </c>
      <c r="DX103" s="76">
        <v>0</v>
      </c>
      <c r="DY103" s="76">
        <v>0</v>
      </c>
      <c r="DZ103" s="76">
        <v>0</v>
      </c>
      <c r="EA103" s="76">
        <v>0</v>
      </c>
      <c r="EB103" s="76">
        <v>1465</v>
      </c>
      <c r="EC103" s="76">
        <v>0</v>
      </c>
      <c r="ED103" s="76">
        <v>1438</v>
      </c>
      <c r="EE103" s="76">
        <v>27</v>
      </c>
      <c r="EF103" s="76">
        <v>1465</v>
      </c>
      <c r="EG103" s="76">
        <v>0</v>
      </c>
      <c r="EH103" s="76">
        <v>1438</v>
      </c>
      <c r="EI103" s="76">
        <v>27</v>
      </c>
      <c r="EJ103" s="76">
        <v>2048</v>
      </c>
      <c r="EK103" s="76">
        <v>292</v>
      </c>
      <c r="EL103" s="76">
        <v>1546</v>
      </c>
      <c r="EM103" s="76">
        <v>210</v>
      </c>
      <c r="EN103" s="76">
        <v>378</v>
      </c>
      <c r="EO103" s="76">
        <v>582</v>
      </c>
      <c r="EP103" s="76">
        <v>87</v>
      </c>
      <c r="EQ103" s="76">
        <v>582</v>
      </c>
      <c r="ER103" s="76">
        <v>124355</v>
      </c>
      <c r="ES103" s="76">
        <v>0</v>
      </c>
      <c r="ET103" s="76">
        <v>124355</v>
      </c>
      <c r="EU103" s="76">
        <v>3910</v>
      </c>
      <c r="EV103" s="76">
        <v>-563</v>
      </c>
      <c r="EW103" s="76">
        <v>0</v>
      </c>
      <c r="EX103" s="76">
        <v>0</v>
      </c>
      <c r="EY103" s="76">
        <v>4</v>
      </c>
      <c r="EZ103" s="76">
        <v>127706</v>
      </c>
      <c r="FA103" s="76">
        <v>4947</v>
      </c>
      <c r="FB103" s="76">
        <v>2592</v>
      </c>
      <c r="FC103" s="76">
        <v>457</v>
      </c>
      <c r="FD103" s="76">
        <v>0</v>
      </c>
      <c r="FE103" s="76">
        <v>-31</v>
      </c>
      <c r="FF103" s="76">
        <v>0</v>
      </c>
      <c r="FG103" s="76">
        <v>0</v>
      </c>
      <c r="FH103" s="76">
        <v>7965</v>
      </c>
      <c r="FI103" s="76">
        <v>119741</v>
      </c>
      <c r="FJ103" s="76">
        <v>119408</v>
      </c>
      <c r="FK103" s="76">
        <v>651</v>
      </c>
      <c r="FL103" s="76">
        <v>555</v>
      </c>
      <c r="FM103" s="76">
        <v>96</v>
      </c>
      <c r="FN103" s="76">
        <v>0</v>
      </c>
      <c r="FO103" s="76">
        <v>0</v>
      </c>
      <c r="FP103" s="76">
        <v>0</v>
      </c>
      <c r="FQ103" s="76">
        <v>0</v>
      </c>
      <c r="FR103" s="76">
        <v>0</v>
      </c>
      <c r="FS103" s="76">
        <v>0</v>
      </c>
      <c r="FT103" s="76">
        <v>0</v>
      </c>
      <c r="FU103" s="76">
        <v>0</v>
      </c>
      <c r="FV103" s="76">
        <v>0</v>
      </c>
      <c r="FW103" s="76">
        <v>0</v>
      </c>
      <c r="FX103" s="76">
        <v>0</v>
      </c>
      <c r="FY103" s="76">
        <v>0</v>
      </c>
      <c r="FZ103" s="76">
        <v>0</v>
      </c>
      <c r="GA103" s="76">
        <v>0</v>
      </c>
      <c r="GB103" s="76">
        <v>0</v>
      </c>
      <c r="GC103" s="76">
        <v>651</v>
      </c>
      <c r="GD103" s="76">
        <v>555</v>
      </c>
      <c r="GE103" s="76">
        <v>96</v>
      </c>
      <c r="GF103" s="76">
        <v>0</v>
      </c>
      <c r="GG103" s="76">
        <v>0</v>
      </c>
      <c r="GH103" s="76">
        <v>0</v>
      </c>
      <c r="GI103" s="76">
        <v>0</v>
      </c>
      <c r="GJ103" s="76">
        <v>0</v>
      </c>
      <c r="GK103" s="76">
        <v>172</v>
      </c>
      <c r="GL103" s="76">
        <v>172</v>
      </c>
      <c r="GM103" s="76">
        <v>395</v>
      </c>
      <c r="GN103" s="76">
        <v>519</v>
      </c>
      <c r="GO103" s="76">
        <v>0</v>
      </c>
      <c r="GP103" s="76">
        <v>66</v>
      </c>
      <c r="GQ103" s="76">
        <v>0</v>
      </c>
      <c r="GR103" s="76">
        <v>3643</v>
      </c>
      <c r="GS103" s="76">
        <v>0</v>
      </c>
      <c r="GT103" s="76">
        <v>0</v>
      </c>
      <c r="GU103" s="76">
        <v>574</v>
      </c>
      <c r="GV103" s="76">
        <v>0</v>
      </c>
      <c r="GW103" s="76">
        <v>2518</v>
      </c>
      <c r="GX103" s="76">
        <v>7715</v>
      </c>
      <c r="GY103" s="76">
        <v>0</v>
      </c>
      <c r="GZ103" s="76">
        <v>59</v>
      </c>
      <c r="HA103" s="76">
        <v>3857</v>
      </c>
      <c r="HB103" s="76">
        <v>0</v>
      </c>
      <c r="HC103" s="76">
        <v>3916</v>
      </c>
      <c r="HD103" s="76">
        <v>0</v>
      </c>
      <c r="HE103" s="76">
        <v>0</v>
      </c>
      <c r="HF103" s="76">
        <v>0</v>
      </c>
      <c r="HG103" s="76">
        <v>3537</v>
      </c>
      <c r="HH103" s="76">
        <v>0</v>
      </c>
      <c r="HI103" s="76">
        <v>93</v>
      </c>
      <c r="HJ103" s="76">
        <v>0</v>
      </c>
      <c r="HK103" s="76">
        <v>0</v>
      </c>
      <c r="HL103" s="76">
        <v>0</v>
      </c>
      <c r="HM103" s="76">
        <v>3630</v>
      </c>
      <c r="HN103" s="76">
        <v>2733</v>
      </c>
      <c r="HO103" s="76">
        <v>3298</v>
      </c>
      <c r="HP103" s="76">
        <v>457</v>
      </c>
      <c r="HQ103" s="76">
        <v>20</v>
      </c>
      <c r="HR103" s="76">
        <v>-27</v>
      </c>
      <c r="HS103" s="76">
        <v>89</v>
      </c>
      <c r="HT103" s="76">
        <v>5031</v>
      </c>
      <c r="HU103" s="76">
        <v>0</v>
      </c>
      <c r="HV103" s="76">
        <v>0</v>
      </c>
      <c r="HW103" s="76">
        <v>0</v>
      </c>
      <c r="HX103" s="76">
        <v>0</v>
      </c>
    </row>
    <row r="104" spans="1:232" x14ac:dyDescent="0.2">
      <c r="A104" s="74" t="s">
        <v>473</v>
      </c>
      <c r="B104" s="74" t="s">
        <v>474</v>
      </c>
      <c r="C104" s="75" t="s">
        <v>200</v>
      </c>
      <c r="D104" s="75">
        <v>12</v>
      </c>
      <c r="E104" s="76">
        <v>79499</v>
      </c>
      <c r="F104" s="76">
        <v>-10852</v>
      </c>
      <c r="G104" s="76">
        <v>-46951</v>
      </c>
      <c r="H104" s="76">
        <v>21696</v>
      </c>
      <c r="I104" s="76">
        <v>4194</v>
      </c>
      <c r="J104" s="76">
        <v>0</v>
      </c>
      <c r="K104" s="76">
        <v>0</v>
      </c>
      <c r="L104" s="76">
        <v>0</v>
      </c>
      <c r="M104" s="76">
        <v>25</v>
      </c>
      <c r="N104" s="76">
        <v>-9082</v>
      </c>
      <c r="O104" s="76">
        <v>1232</v>
      </c>
      <c r="P104" s="76">
        <v>-1360</v>
      </c>
      <c r="Q104" s="76">
        <v>0</v>
      </c>
      <c r="R104" s="76">
        <v>0</v>
      </c>
      <c r="S104" s="76">
        <v>16705</v>
      </c>
      <c r="T104" s="76">
        <v>0</v>
      </c>
      <c r="U104" s="76">
        <v>16705</v>
      </c>
      <c r="V104" s="76">
        <v>0</v>
      </c>
      <c r="W104" s="76">
        <v>0</v>
      </c>
      <c r="X104" s="76">
        <v>-294</v>
      </c>
      <c r="Y104" s="76">
        <v>0</v>
      </c>
      <c r="Z104" s="76">
        <v>16411</v>
      </c>
      <c r="AA104" s="76">
        <v>53302</v>
      </c>
      <c r="AB104" s="76">
        <v>4459</v>
      </c>
      <c r="AC104" s="76">
        <v>57761</v>
      </c>
      <c r="AD104" s="76">
        <v>3577</v>
      </c>
      <c r="AE104" s="76">
        <v>2317</v>
      </c>
      <c r="AF104" s="76">
        <v>0</v>
      </c>
      <c r="AG104" s="76">
        <v>1063</v>
      </c>
      <c r="AH104" s="76">
        <v>64718</v>
      </c>
      <c r="AI104" s="76">
        <v>2319</v>
      </c>
      <c r="AJ104" s="76">
        <v>3643</v>
      </c>
      <c r="AK104" s="76">
        <v>10809</v>
      </c>
      <c r="AL104" s="76">
        <v>0</v>
      </c>
      <c r="AM104" s="76">
        <v>1643</v>
      </c>
      <c r="AN104" s="76">
        <v>187</v>
      </c>
      <c r="AO104" s="76">
        <v>11510</v>
      </c>
      <c r="AP104" s="76">
        <v>222</v>
      </c>
      <c r="AQ104" s="76">
        <v>13242</v>
      </c>
      <c r="AR104" s="76">
        <v>43575</v>
      </c>
      <c r="AS104" s="76">
        <v>21143</v>
      </c>
      <c r="AT104" s="76">
        <v>708</v>
      </c>
      <c r="AU104" s="76">
        <v>646383</v>
      </c>
      <c r="AV104" s="76">
        <v>0</v>
      </c>
      <c r="AW104" s="76">
        <v>7446</v>
      </c>
      <c r="AX104" s="76">
        <v>895</v>
      </c>
      <c r="AY104" s="76">
        <v>5302</v>
      </c>
      <c r="AZ104" s="76">
        <v>8689</v>
      </c>
      <c r="BA104" s="76">
        <v>0</v>
      </c>
      <c r="BB104" s="76">
        <v>0</v>
      </c>
      <c r="BC104" s="76">
        <v>0</v>
      </c>
      <c r="BD104" s="76">
        <v>0</v>
      </c>
      <c r="BE104" s="76">
        <v>668715</v>
      </c>
      <c r="BF104" s="76">
        <v>11215</v>
      </c>
      <c r="BG104" s="76">
        <v>0</v>
      </c>
      <c r="BH104" s="76">
        <v>17645</v>
      </c>
      <c r="BI104" s="76">
        <v>0</v>
      </c>
      <c r="BJ104" s="76">
        <v>5915</v>
      </c>
      <c r="BK104" s="76">
        <v>34775</v>
      </c>
      <c r="BL104" s="76">
        <v>24648</v>
      </c>
      <c r="BM104" s="76">
        <v>0</v>
      </c>
      <c r="BN104" s="76">
        <v>3579</v>
      </c>
      <c r="BO104" s="76">
        <v>20200</v>
      </c>
      <c r="BP104" s="76">
        <v>48427</v>
      </c>
      <c r="BQ104" s="76">
        <v>-13652</v>
      </c>
      <c r="BR104" s="76">
        <v>655063</v>
      </c>
      <c r="BS104" s="76">
        <v>247216</v>
      </c>
      <c r="BT104" s="76">
        <v>0</v>
      </c>
      <c r="BU104" s="76">
        <v>441</v>
      </c>
      <c r="BV104" s="76">
        <v>222467</v>
      </c>
      <c r="BW104" s="76">
        <v>4973</v>
      </c>
      <c r="BX104" s="76">
        <v>42855</v>
      </c>
      <c r="BY104" s="76">
        <v>4496</v>
      </c>
      <c r="BZ104" s="76">
        <v>522448</v>
      </c>
      <c r="CA104" s="76">
        <v>7696</v>
      </c>
      <c r="CB104" s="76">
        <v>107</v>
      </c>
      <c r="CC104" s="76">
        <v>124812</v>
      </c>
      <c r="CD104" s="76">
        <v>104441</v>
      </c>
      <c r="CE104" s="76">
        <v>0</v>
      </c>
      <c r="CF104" s="76">
        <v>246</v>
      </c>
      <c r="CG104" s="76">
        <v>20125</v>
      </c>
      <c r="CH104" s="76">
        <v>0</v>
      </c>
      <c r="CI104" s="76">
        <v>124812</v>
      </c>
      <c r="CJ104" s="76">
        <v>8922</v>
      </c>
      <c r="CK104" s="76">
        <v>6466</v>
      </c>
      <c r="CL104" s="76">
        <v>33</v>
      </c>
      <c r="CM104" s="76">
        <v>2423</v>
      </c>
      <c r="CN104" s="76">
        <v>0</v>
      </c>
      <c r="CO104" s="76">
        <v>0</v>
      </c>
      <c r="CP104" s="76">
        <v>0</v>
      </c>
      <c r="CQ104" s="76">
        <v>0</v>
      </c>
      <c r="CR104" s="76">
        <v>129</v>
      </c>
      <c r="CS104" s="76">
        <v>0</v>
      </c>
      <c r="CT104" s="76">
        <v>507</v>
      </c>
      <c r="CU104" s="76">
        <v>-378</v>
      </c>
      <c r="CV104" s="76">
        <v>260</v>
      </c>
      <c r="CW104" s="76">
        <v>0</v>
      </c>
      <c r="CX104" s="76">
        <v>2542</v>
      </c>
      <c r="CY104" s="76">
        <v>-2282</v>
      </c>
      <c r="CZ104" s="76">
        <v>0</v>
      </c>
      <c r="DA104" s="76">
        <v>0</v>
      </c>
      <c r="DB104" s="76">
        <v>0</v>
      </c>
      <c r="DC104" s="76">
        <v>0</v>
      </c>
      <c r="DD104" s="76">
        <v>9311</v>
      </c>
      <c r="DE104" s="76">
        <v>6466</v>
      </c>
      <c r="DF104" s="76">
        <v>3082</v>
      </c>
      <c r="DG104" s="76">
        <v>-237</v>
      </c>
      <c r="DH104" s="76">
        <v>5045</v>
      </c>
      <c r="DI104" s="76">
        <v>4386</v>
      </c>
      <c r="DJ104" s="76">
        <v>78</v>
      </c>
      <c r="DK104" s="76">
        <v>581</v>
      </c>
      <c r="DL104" s="76">
        <v>0</v>
      </c>
      <c r="DM104" s="76">
        <v>0</v>
      </c>
      <c r="DN104" s="76">
        <v>0</v>
      </c>
      <c r="DO104" s="76">
        <v>0</v>
      </c>
      <c r="DP104" s="76">
        <v>0</v>
      </c>
      <c r="DQ104" s="76">
        <v>0</v>
      </c>
      <c r="DR104" s="76">
        <v>0</v>
      </c>
      <c r="DS104" s="76">
        <v>0</v>
      </c>
      <c r="DT104" s="76">
        <v>219</v>
      </c>
      <c r="DU104" s="76">
        <v>0</v>
      </c>
      <c r="DV104" s="76">
        <v>56</v>
      </c>
      <c r="DW104" s="76">
        <v>163</v>
      </c>
      <c r="DX104" s="76">
        <v>206</v>
      </c>
      <c r="DY104" s="76">
        <v>0</v>
      </c>
      <c r="DZ104" s="76">
        <v>160</v>
      </c>
      <c r="EA104" s="76">
        <v>46</v>
      </c>
      <c r="EB104" s="76">
        <v>0</v>
      </c>
      <c r="EC104" s="76">
        <v>0</v>
      </c>
      <c r="ED104" s="76">
        <v>0</v>
      </c>
      <c r="EE104" s="76">
        <v>0</v>
      </c>
      <c r="EF104" s="76">
        <v>5470</v>
      </c>
      <c r="EG104" s="76">
        <v>4386</v>
      </c>
      <c r="EH104" s="76">
        <v>294</v>
      </c>
      <c r="EI104" s="76">
        <v>790</v>
      </c>
      <c r="EJ104" s="76">
        <v>14781</v>
      </c>
      <c r="EK104" s="76">
        <v>10852</v>
      </c>
      <c r="EL104" s="76">
        <v>3376</v>
      </c>
      <c r="EM104" s="76">
        <v>553</v>
      </c>
      <c r="EN104" s="76">
        <v>1392</v>
      </c>
      <c r="EO104" s="76">
        <v>296</v>
      </c>
      <c r="EP104" s="76">
        <v>547</v>
      </c>
      <c r="EQ104" s="76">
        <v>296</v>
      </c>
      <c r="ER104" s="76">
        <v>743554</v>
      </c>
      <c r="ES104" s="76">
        <v>0</v>
      </c>
      <c r="ET104" s="76">
        <v>743554</v>
      </c>
      <c r="EU104" s="76">
        <v>24984</v>
      </c>
      <c r="EV104" s="76">
        <v>-9624</v>
      </c>
      <c r="EW104" s="76">
        <v>0</v>
      </c>
      <c r="EX104" s="76">
        <v>0</v>
      </c>
      <c r="EY104" s="76">
        <v>-621</v>
      </c>
      <c r="EZ104" s="76">
        <v>758293</v>
      </c>
      <c r="FA104" s="76">
        <v>105816</v>
      </c>
      <c r="FB104" s="76">
        <v>10224</v>
      </c>
      <c r="FC104" s="76">
        <v>222</v>
      </c>
      <c r="FD104" s="76">
        <v>0</v>
      </c>
      <c r="FE104" s="76">
        <v>-4352</v>
      </c>
      <c r="FF104" s="76">
        <v>0</v>
      </c>
      <c r="FG104" s="76">
        <v>0</v>
      </c>
      <c r="FH104" s="76">
        <v>111910</v>
      </c>
      <c r="FI104" s="76">
        <v>646383</v>
      </c>
      <c r="FJ104" s="76">
        <v>637738</v>
      </c>
      <c r="FK104" s="76">
        <v>3652</v>
      </c>
      <c r="FL104" s="76">
        <v>1759</v>
      </c>
      <c r="FM104" s="76">
        <v>1893</v>
      </c>
      <c r="FN104" s="76">
        <v>197</v>
      </c>
      <c r="FO104" s="76">
        <v>18</v>
      </c>
      <c r="FP104" s="76">
        <v>179</v>
      </c>
      <c r="FQ104" s="76">
        <v>0</v>
      </c>
      <c r="FR104" s="76">
        <v>86</v>
      </c>
      <c r="FS104" s="76">
        <v>-86</v>
      </c>
      <c r="FT104" s="76">
        <v>4121</v>
      </c>
      <c r="FU104" s="76">
        <v>2292</v>
      </c>
      <c r="FV104" s="76">
        <v>1829</v>
      </c>
      <c r="FW104" s="76">
        <v>437</v>
      </c>
      <c r="FX104" s="76">
        <v>661</v>
      </c>
      <c r="FY104" s="76">
        <v>-224</v>
      </c>
      <c r="FZ104" s="76">
        <v>873</v>
      </c>
      <c r="GA104" s="76">
        <v>270</v>
      </c>
      <c r="GB104" s="76">
        <v>603</v>
      </c>
      <c r="GC104" s="76">
        <v>9280</v>
      </c>
      <c r="GD104" s="76">
        <v>5086</v>
      </c>
      <c r="GE104" s="76">
        <v>4194</v>
      </c>
      <c r="GF104" s="76">
        <v>0</v>
      </c>
      <c r="GG104" s="76">
        <v>0</v>
      </c>
      <c r="GH104" s="76">
        <v>0</v>
      </c>
      <c r="GI104" s="76">
        <v>0</v>
      </c>
      <c r="GJ104" s="76">
        <v>0</v>
      </c>
      <c r="GK104" s="76">
        <v>5915</v>
      </c>
      <c r="GL104" s="76">
        <v>5915</v>
      </c>
      <c r="GM104" s="76">
        <v>1478</v>
      </c>
      <c r="GN104" s="76">
        <v>1856</v>
      </c>
      <c r="GO104" s="76">
        <v>0</v>
      </c>
      <c r="GP104" s="76">
        <v>3713</v>
      </c>
      <c r="GQ104" s="76">
        <v>0</v>
      </c>
      <c r="GR104" s="76">
        <v>4771</v>
      </c>
      <c r="GS104" s="76">
        <v>0</v>
      </c>
      <c r="GT104" s="76">
        <v>0</v>
      </c>
      <c r="GU104" s="76">
        <v>1163</v>
      </c>
      <c r="GV104" s="76">
        <v>880</v>
      </c>
      <c r="GW104" s="76">
        <v>6339</v>
      </c>
      <c r="GX104" s="76">
        <v>20200</v>
      </c>
      <c r="GY104" s="76">
        <v>3469</v>
      </c>
      <c r="GZ104" s="76">
        <v>1027</v>
      </c>
      <c r="HA104" s="76">
        <v>0</v>
      </c>
      <c r="HB104" s="76">
        <v>0</v>
      </c>
      <c r="HC104" s="76">
        <v>4496</v>
      </c>
      <c r="HD104" s="76">
        <v>0</v>
      </c>
      <c r="HE104" s="76">
        <v>107</v>
      </c>
      <c r="HF104" s="76">
        <v>107</v>
      </c>
      <c r="HG104" s="76">
        <v>9619</v>
      </c>
      <c r="HH104" s="76">
        <v>366</v>
      </c>
      <c r="HI104" s="76">
        <v>184</v>
      </c>
      <c r="HJ104" s="76">
        <v>0</v>
      </c>
      <c r="HK104" s="76">
        <v>-200</v>
      </c>
      <c r="HL104" s="76">
        <v>-887</v>
      </c>
      <c r="HM104" s="76">
        <v>9082</v>
      </c>
      <c r="HN104" s="76">
        <v>8565</v>
      </c>
      <c r="HO104" s="76">
        <v>11510</v>
      </c>
      <c r="HP104" s="76">
        <v>222</v>
      </c>
      <c r="HQ104" s="76">
        <v>209</v>
      </c>
      <c r="HR104" s="76">
        <v>-81</v>
      </c>
      <c r="HS104" s="76">
        <v>42</v>
      </c>
      <c r="HT104" s="76">
        <v>11265</v>
      </c>
      <c r="HU104" s="76">
        <v>12</v>
      </c>
      <c r="HV104" s="76">
        <v>0</v>
      </c>
      <c r="HW104" s="76">
        <v>3</v>
      </c>
      <c r="HX104" s="76">
        <v>31</v>
      </c>
    </row>
    <row r="105" spans="1:232" x14ac:dyDescent="0.2">
      <c r="A105" s="74" t="s">
        <v>475</v>
      </c>
      <c r="B105" s="74" t="s">
        <v>476</v>
      </c>
      <c r="C105" s="75" t="s">
        <v>200</v>
      </c>
      <c r="D105" s="75">
        <v>12</v>
      </c>
      <c r="E105" s="76">
        <v>62139</v>
      </c>
      <c r="F105" s="76">
        <v>-533</v>
      </c>
      <c r="G105" s="76">
        <v>-41809</v>
      </c>
      <c r="H105" s="76">
        <v>19797</v>
      </c>
      <c r="I105" s="76">
        <v>3493</v>
      </c>
      <c r="J105" s="76">
        <v>0</v>
      </c>
      <c r="K105" s="76">
        <v>0</v>
      </c>
      <c r="L105" s="76">
        <v>-58</v>
      </c>
      <c r="M105" s="76">
        <v>29</v>
      </c>
      <c r="N105" s="76">
        <v>-8379</v>
      </c>
      <c r="O105" s="76">
        <v>0</v>
      </c>
      <c r="P105" s="76">
        <v>-5918</v>
      </c>
      <c r="Q105" s="76">
        <v>0</v>
      </c>
      <c r="R105" s="76">
        <v>0</v>
      </c>
      <c r="S105" s="76">
        <v>8964</v>
      </c>
      <c r="T105" s="76">
        <v>0</v>
      </c>
      <c r="U105" s="76">
        <v>8964</v>
      </c>
      <c r="V105" s="76">
        <v>0</v>
      </c>
      <c r="W105" s="76">
        <v>-365</v>
      </c>
      <c r="X105" s="76">
        <v>0</v>
      </c>
      <c r="Y105" s="76">
        <v>0</v>
      </c>
      <c r="Z105" s="76">
        <v>8599</v>
      </c>
      <c r="AA105" s="76">
        <v>57974</v>
      </c>
      <c r="AB105" s="76">
        <v>2113</v>
      </c>
      <c r="AC105" s="76">
        <v>60087</v>
      </c>
      <c r="AD105" s="76">
        <v>316</v>
      </c>
      <c r="AE105" s="76">
        <v>0</v>
      </c>
      <c r="AF105" s="76">
        <v>0</v>
      </c>
      <c r="AG105" s="76">
        <v>668</v>
      </c>
      <c r="AH105" s="76">
        <v>61071</v>
      </c>
      <c r="AI105" s="76">
        <v>11833</v>
      </c>
      <c r="AJ105" s="76">
        <v>2028</v>
      </c>
      <c r="AK105" s="76">
        <v>11402</v>
      </c>
      <c r="AL105" s="76">
        <v>0</v>
      </c>
      <c r="AM105" s="76">
        <v>3373</v>
      </c>
      <c r="AN105" s="76">
        <v>1411</v>
      </c>
      <c r="AO105" s="76">
        <v>7643</v>
      </c>
      <c r="AP105" s="76">
        <v>662</v>
      </c>
      <c r="AQ105" s="76">
        <v>2416</v>
      </c>
      <c r="AR105" s="76">
        <v>40768</v>
      </c>
      <c r="AS105" s="76">
        <v>20303</v>
      </c>
      <c r="AT105" s="76">
        <v>2086</v>
      </c>
      <c r="AU105" s="76">
        <v>224281</v>
      </c>
      <c r="AV105" s="76">
        <v>0</v>
      </c>
      <c r="AW105" s="76">
        <v>5004</v>
      </c>
      <c r="AX105" s="76">
        <v>0</v>
      </c>
      <c r="AY105" s="76">
        <v>0</v>
      </c>
      <c r="AZ105" s="76">
        <v>0</v>
      </c>
      <c r="BA105" s="76">
        <v>0</v>
      </c>
      <c r="BB105" s="76">
        <v>0</v>
      </c>
      <c r="BC105" s="76">
        <v>0</v>
      </c>
      <c r="BD105" s="76">
        <v>0</v>
      </c>
      <c r="BE105" s="76">
        <v>229285</v>
      </c>
      <c r="BF105" s="76">
        <v>924</v>
      </c>
      <c r="BG105" s="76">
        <v>2417</v>
      </c>
      <c r="BH105" s="76">
        <v>11586</v>
      </c>
      <c r="BI105" s="76">
        <v>0</v>
      </c>
      <c r="BJ105" s="76">
        <v>487</v>
      </c>
      <c r="BK105" s="76">
        <v>15414</v>
      </c>
      <c r="BL105" s="76">
        <v>1000</v>
      </c>
      <c r="BM105" s="76">
        <v>0</v>
      </c>
      <c r="BN105" s="76">
        <v>319</v>
      </c>
      <c r="BO105" s="76">
        <v>7151</v>
      </c>
      <c r="BP105" s="76">
        <v>8470</v>
      </c>
      <c r="BQ105" s="76">
        <v>6944</v>
      </c>
      <c r="BR105" s="76">
        <v>236229</v>
      </c>
      <c r="BS105" s="76">
        <v>184350</v>
      </c>
      <c r="BT105" s="76">
        <v>0</v>
      </c>
      <c r="BU105" s="76">
        <v>0</v>
      </c>
      <c r="BV105" s="76">
        <v>28041</v>
      </c>
      <c r="BW105" s="76">
        <v>0</v>
      </c>
      <c r="BX105" s="76">
        <v>0</v>
      </c>
      <c r="BY105" s="76">
        <v>1371</v>
      </c>
      <c r="BZ105" s="76">
        <v>213762</v>
      </c>
      <c r="CA105" s="76">
        <v>2407</v>
      </c>
      <c r="CB105" s="76">
        <v>0</v>
      </c>
      <c r="CC105" s="76">
        <v>20060</v>
      </c>
      <c r="CD105" s="76">
        <v>20060</v>
      </c>
      <c r="CE105" s="76">
        <v>0</v>
      </c>
      <c r="CF105" s="76">
        <v>0</v>
      </c>
      <c r="CG105" s="76">
        <v>0</v>
      </c>
      <c r="CH105" s="76">
        <v>0</v>
      </c>
      <c r="CI105" s="76">
        <v>20060</v>
      </c>
      <c r="CJ105" s="76">
        <v>511</v>
      </c>
      <c r="CK105" s="76">
        <v>348</v>
      </c>
      <c r="CL105" s="76">
        <v>0</v>
      </c>
      <c r="CM105" s="76">
        <v>163</v>
      </c>
      <c r="CN105" s="76">
        <v>232</v>
      </c>
      <c r="CO105" s="76">
        <v>0</v>
      </c>
      <c r="CP105" s="76">
        <v>257</v>
      </c>
      <c r="CQ105" s="76">
        <v>-25</v>
      </c>
      <c r="CR105" s="76">
        <v>0</v>
      </c>
      <c r="CS105" s="76">
        <v>0</v>
      </c>
      <c r="CT105" s="76">
        <v>0</v>
      </c>
      <c r="CU105" s="76">
        <v>0</v>
      </c>
      <c r="CV105" s="76">
        <v>0</v>
      </c>
      <c r="CW105" s="76">
        <v>0</v>
      </c>
      <c r="CX105" s="76">
        <v>0</v>
      </c>
      <c r="CY105" s="76">
        <v>0</v>
      </c>
      <c r="CZ105" s="76">
        <v>41</v>
      </c>
      <c r="DA105" s="76">
        <v>185</v>
      </c>
      <c r="DB105" s="76">
        <v>500</v>
      </c>
      <c r="DC105" s="76">
        <v>-644</v>
      </c>
      <c r="DD105" s="76">
        <v>784</v>
      </c>
      <c r="DE105" s="76">
        <v>533</v>
      </c>
      <c r="DF105" s="76">
        <v>757</v>
      </c>
      <c r="DG105" s="76">
        <v>-506</v>
      </c>
      <c r="DH105" s="76">
        <v>0</v>
      </c>
      <c r="DI105" s="76">
        <v>0</v>
      </c>
      <c r="DJ105" s="76">
        <v>0</v>
      </c>
      <c r="DK105" s="76">
        <v>0</v>
      </c>
      <c r="DL105" s="76">
        <v>0</v>
      </c>
      <c r="DM105" s="76">
        <v>0</v>
      </c>
      <c r="DN105" s="76">
        <v>0</v>
      </c>
      <c r="DO105" s="76">
        <v>0</v>
      </c>
      <c r="DP105" s="76">
        <v>0</v>
      </c>
      <c r="DQ105" s="76">
        <v>0</v>
      </c>
      <c r="DR105" s="76">
        <v>0</v>
      </c>
      <c r="DS105" s="76">
        <v>0</v>
      </c>
      <c r="DT105" s="76">
        <v>0</v>
      </c>
      <c r="DU105" s="76">
        <v>0</v>
      </c>
      <c r="DV105" s="76">
        <v>0</v>
      </c>
      <c r="DW105" s="76">
        <v>0</v>
      </c>
      <c r="DX105" s="76">
        <v>0</v>
      </c>
      <c r="DY105" s="76">
        <v>0</v>
      </c>
      <c r="DZ105" s="76">
        <v>0</v>
      </c>
      <c r="EA105" s="76">
        <v>0</v>
      </c>
      <c r="EB105" s="76">
        <v>284</v>
      </c>
      <c r="EC105" s="76">
        <v>0</v>
      </c>
      <c r="ED105" s="76">
        <v>284</v>
      </c>
      <c r="EE105" s="76">
        <v>0</v>
      </c>
      <c r="EF105" s="76">
        <v>284</v>
      </c>
      <c r="EG105" s="76">
        <v>0</v>
      </c>
      <c r="EH105" s="76">
        <v>284</v>
      </c>
      <c r="EI105" s="76">
        <v>0</v>
      </c>
      <c r="EJ105" s="76">
        <v>1068</v>
      </c>
      <c r="EK105" s="76">
        <v>533</v>
      </c>
      <c r="EL105" s="76">
        <v>1041</v>
      </c>
      <c r="EM105" s="76">
        <v>-506</v>
      </c>
      <c r="EN105" s="76">
        <v>3405</v>
      </c>
      <c r="EO105" s="76">
        <v>737</v>
      </c>
      <c r="EP105" s="76">
        <v>3209</v>
      </c>
      <c r="EQ105" s="76">
        <v>737</v>
      </c>
      <c r="ER105" s="76">
        <v>294834</v>
      </c>
      <c r="ES105" s="76">
        <v>0</v>
      </c>
      <c r="ET105" s="76">
        <v>294834</v>
      </c>
      <c r="EU105" s="76">
        <v>14394</v>
      </c>
      <c r="EV105" s="76">
        <v>-4438</v>
      </c>
      <c r="EW105" s="76">
        <v>0</v>
      </c>
      <c r="EX105" s="76">
        <v>0</v>
      </c>
      <c r="EY105" s="76">
        <v>1203</v>
      </c>
      <c r="EZ105" s="76">
        <v>305993</v>
      </c>
      <c r="FA105" s="76">
        <v>75234</v>
      </c>
      <c r="FB105" s="76">
        <v>7643</v>
      </c>
      <c r="FC105" s="76">
        <v>181</v>
      </c>
      <c r="FD105" s="76">
        <v>0</v>
      </c>
      <c r="FE105" s="76">
        <v>-1346</v>
      </c>
      <c r="FF105" s="76">
        <v>0</v>
      </c>
      <c r="FG105" s="76">
        <v>0</v>
      </c>
      <c r="FH105" s="76">
        <v>81712</v>
      </c>
      <c r="FI105" s="76">
        <v>224281</v>
      </c>
      <c r="FJ105" s="76">
        <v>219600</v>
      </c>
      <c r="FK105" s="76">
        <v>105</v>
      </c>
      <c r="FL105" s="76">
        <v>49</v>
      </c>
      <c r="FM105" s="76">
        <v>56</v>
      </c>
      <c r="FN105" s="76">
        <v>3294</v>
      </c>
      <c r="FO105" s="76">
        <v>986</v>
      </c>
      <c r="FP105" s="76">
        <v>2308</v>
      </c>
      <c r="FQ105" s="76">
        <v>647</v>
      </c>
      <c r="FR105" s="76">
        <v>647</v>
      </c>
      <c r="FS105" s="76">
        <v>0</v>
      </c>
      <c r="FT105" s="76">
        <v>1670</v>
      </c>
      <c r="FU105" s="76">
        <v>541</v>
      </c>
      <c r="FV105" s="76">
        <v>1129</v>
      </c>
      <c r="FW105" s="76">
        <v>0</v>
      </c>
      <c r="FX105" s="76">
        <v>0</v>
      </c>
      <c r="FY105" s="76">
        <v>0</v>
      </c>
      <c r="FZ105" s="76">
        <v>0</v>
      </c>
      <c r="GA105" s="76">
        <v>0</v>
      </c>
      <c r="GB105" s="76">
        <v>0</v>
      </c>
      <c r="GC105" s="76">
        <v>5716</v>
      </c>
      <c r="GD105" s="76">
        <v>2223</v>
      </c>
      <c r="GE105" s="76">
        <v>3493</v>
      </c>
      <c r="GF105" s="76">
        <v>487</v>
      </c>
      <c r="GG105" s="76">
        <v>0</v>
      </c>
      <c r="GH105" s="76">
        <v>0</v>
      </c>
      <c r="GI105" s="76">
        <v>0</v>
      </c>
      <c r="GJ105" s="76">
        <v>0</v>
      </c>
      <c r="GK105" s="76">
        <v>0</v>
      </c>
      <c r="GL105" s="76">
        <v>487</v>
      </c>
      <c r="GM105" s="76">
        <v>694</v>
      </c>
      <c r="GN105" s="76">
        <v>1140</v>
      </c>
      <c r="GO105" s="76">
        <v>0</v>
      </c>
      <c r="GP105" s="76">
        <v>0</v>
      </c>
      <c r="GQ105" s="76">
        <v>0</v>
      </c>
      <c r="GR105" s="76">
        <v>5057</v>
      </c>
      <c r="GS105" s="76">
        <v>0</v>
      </c>
      <c r="GT105" s="76">
        <v>0</v>
      </c>
      <c r="GU105" s="76">
        <v>0</v>
      </c>
      <c r="GV105" s="76">
        <v>0</v>
      </c>
      <c r="GW105" s="76">
        <v>260</v>
      </c>
      <c r="GX105" s="76">
        <v>7151</v>
      </c>
      <c r="GY105" s="76">
        <v>234</v>
      </c>
      <c r="GZ105" s="76">
        <v>1137</v>
      </c>
      <c r="HA105" s="76">
        <v>0</v>
      </c>
      <c r="HB105" s="76">
        <v>0</v>
      </c>
      <c r="HC105" s="76">
        <v>1371</v>
      </c>
      <c r="HD105" s="76">
        <v>0</v>
      </c>
      <c r="HE105" s="76">
        <v>0</v>
      </c>
      <c r="HF105" s="76">
        <v>0</v>
      </c>
      <c r="HG105" s="76">
        <v>8281</v>
      </c>
      <c r="HH105" s="76">
        <v>0</v>
      </c>
      <c r="HI105" s="76">
        <v>98</v>
      </c>
      <c r="HJ105" s="76">
        <v>0</v>
      </c>
      <c r="HK105" s="76">
        <v>0</v>
      </c>
      <c r="HL105" s="76">
        <v>0</v>
      </c>
      <c r="HM105" s="76">
        <v>8379</v>
      </c>
      <c r="HN105" s="76">
        <v>4769</v>
      </c>
      <c r="HO105" s="76">
        <v>7916</v>
      </c>
      <c r="HP105" s="76">
        <v>662</v>
      </c>
      <c r="HQ105" s="76">
        <v>10</v>
      </c>
      <c r="HR105" s="76">
        <v>-236</v>
      </c>
      <c r="HS105" s="76">
        <v>13</v>
      </c>
      <c r="HT105" s="76">
        <v>13282</v>
      </c>
      <c r="HU105" s="76">
        <v>0</v>
      </c>
      <c r="HV105" s="76">
        <v>0</v>
      </c>
      <c r="HW105" s="76">
        <v>0</v>
      </c>
      <c r="HX105" s="76">
        <v>0</v>
      </c>
    </row>
    <row r="106" spans="1:232" x14ac:dyDescent="0.2">
      <c r="A106" s="74" t="s">
        <v>480</v>
      </c>
      <c r="B106" s="74" t="s">
        <v>481</v>
      </c>
      <c r="C106" s="75" t="s">
        <v>200</v>
      </c>
      <c r="D106" s="75">
        <v>15</v>
      </c>
      <c r="E106" s="76">
        <v>8837</v>
      </c>
      <c r="F106" s="76">
        <v>-495</v>
      </c>
      <c r="G106" s="76">
        <v>-5285</v>
      </c>
      <c r="H106" s="76">
        <v>3057</v>
      </c>
      <c r="I106" s="76">
        <v>0</v>
      </c>
      <c r="J106" s="76">
        <v>0</v>
      </c>
      <c r="K106" s="76">
        <v>0</v>
      </c>
      <c r="L106" s="76">
        <v>0</v>
      </c>
      <c r="M106" s="76">
        <v>3</v>
      </c>
      <c r="N106" s="76">
        <v>-485</v>
      </c>
      <c r="O106" s="76">
        <v>0</v>
      </c>
      <c r="P106" s="76">
        <v>0</v>
      </c>
      <c r="Q106" s="76">
        <v>0</v>
      </c>
      <c r="R106" s="76">
        <v>0</v>
      </c>
      <c r="S106" s="76">
        <v>2575</v>
      </c>
      <c r="T106" s="76">
        <v>0</v>
      </c>
      <c r="U106" s="76">
        <v>2575</v>
      </c>
      <c r="V106" s="76">
        <v>0</v>
      </c>
      <c r="W106" s="76">
        <v>0</v>
      </c>
      <c r="X106" s="76">
        <v>0</v>
      </c>
      <c r="Y106" s="76">
        <v>0</v>
      </c>
      <c r="Z106" s="76">
        <v>2575</v>
      </c>
      <c r="AA106" s="76">
        <v>6955</v>
      </c>
      <c r="AB106" s="76">
        <v>448</v>
      </c>
      <c r="AC106" s="76">
        <v>7403</v>
      </c>
      <c r="AD106" s="76">
        <v>74</v>
      </c>
      <c r="AE106" s="76">
        <v>0</v>
      </c>
      <c r="AF106" s="76">
        <v>0</v>
      </c>
      <c r="AG106" s="76">
        <v>0</v>
      </c>
      <c r="AH106" s="76">
        <v>7477</v>
      </c>
      <c r="AI106" s="76">
        <v>2518</v>
      </c>
      <c r="AJ106" s="76">
        <v>383</v>
      </c>
      <c r="AK106" s="76">
        <v>489</v>
      </c>
      <c r="AL106" s="76">
        <v>561</v>
      </c>
      <c r="AM106" s="76">
        <v>85</v>
      </c>
      <c r="AN106" s="76">
        <v>105</v>
      </c>
      <c r="AO106" s="76">
        <v>1003</v>
      </c>
      <c r="AP106" s="76">
        <v>0</v>
      </c>
      <c r="AQ106" s="76">
        <v>15</v>
      </c>
      <c r="AR106" s="76">
        <v>5159</v>
      </c>
      <c r="AS106" s="76">
        <v>2318</v>
      </c>
      <c r="AT106" s="76">
        <v>88</v>
      </c>
      <c r="AU106" s="76">
        <v>46057</v>
      </c>
      <c r="AV106" s="76">
        <v>0</v>
      </c>
      <c r="AW106" s="76">
        <v>630</v>
      </c>
      <c r="AX106" s="76">
        <v>0</v>
      </c>
      <c r="AY106" s="76">
        <v>0</v>
      </c>
      <c r="AZ106" s="76">
        <v>0</v>
      </c>
      <c r="BA106" s="76">
        <v>0</v>
      </c>
      <c r="BB106" s="76">
        <v>0</v>
      </c>
      <c r="BC106" s="76">
        <v>0</v>
      </c>
      <c r="BD106" s="76">
        <v>10</v>
      </c>
      <c r="BE106" s="76">
        <v>46697</v>
      </c>
      <c r="BF106" s="76">
        <v>233</v>
      </c>
      <c r="BG106" s="76">
        <v>316</v>
      </c>
      <c r="BH106" s="76">
        <v>917</v>
      </c>
      <c r="BI106" s="76">
        <v>0</v>
      </c>
      <c r="BJ106" s="76">
        <v>0</v>
      </c>
      <c r="BK106" s="76">
        <v>1466</v>
      </c>
      <c r="BL106" s="76">
        <v>606</v>
      </c>
      <c r="BM106" s="76">
        <v>0</v>
      </c>
      <c r="BN106" s="76">
        <v>83</v>
      </c>
      <c r="BO106" s="76">
        <v>1010</v>
      </c>
      <c r="BP106" s="76">
        <v>1699</v>
      </c>
      <c r="BQ106" s="76">
        <v>-233</v>
      </c>
      <c r="BR106" s="76">
        <v>46464</v>
      </c>
      <c r="BS106" s="76">
        <v>15194</v>
      </c>
      <c r="BT106" s="76">
        <v>0</v>
      </c>
      <c r="BU106" s="76">
        <v>0</v>
      </c>
      <c r="BV106" s="76">
        <v>6223</v>
      </c>
      <c r="BW106" s="76">
        <v>0</v>
      </c>
      <c r="BX106" s="76">
        <v>0</v>
      </c>
      <c r="BY106" s="76">
        <v>1046</v>
      </c>
      <c r="BZ106" s="76">
        <v>22463</v>
      </c>
      <c r="CA106" s="76">
        <v>0</v>
      </c>
      <c r="CB106" s="76">
        <v>0</v>
      </c>
      <c r="CC106" s="76">
        <v>24001</v>
      </c>
      <c r="CD106" s="76">
        <v>24001</v>
      </c>
      <c r="CE106" s="76">
        <v>0</v>
      </c>
      <c r="CF106" s="76">
        <v>0</v>
      </c>
      <c r="CG106" s="76">
        <v>0</v>
      </c>
      <c r="CH106" s="76">
        <v>0</v>
      </c>
      <c r="CI106" s="76">
        <v>24001</v>
      </c>
      <c r="CJ106" s="76">
        <v>1120</v>
      </c>
      <c r="CK106" s="76">
        <v>495</v>
      </c>
      <c r="CL106" s="76">
        <v>0</v>
      </c>
      <c r="CM106" s="76">
        <v>625</v>
      </c>
      <c r="CN106" s="76">
        <v>7</v>
      </c>
      <c r="CO106" s="76">
        <v>0</v>
      </c>
      <c r="CP106" s="76">
        <v>11</v>
      </c>
      <c r="CQ106" s="76">
        <v>-4</v>
      </c>
      <c r="CR106" s="76">
        <v>0</v>
      </c>
      <c r="CS106" s="76">
        <v>0</v>
      </c>
      <c r="CT106" s="76">
        <v>0</v>
      </c>
      <c r="CU106" s="76">
        <v>0</v>
      </c>
      <c r="CV106" s="76">
        <v>0</v>
      </c>
      <c r="CW106" s="76">
        <v>0</v>
      </c>
      <c r="CX106" s="76">
        <v>0</v>
      </c>
      <c r="CY106" s="76">
        <v>0</v>
      </c>
      <c r="CZ106" s="76">
        <v>135</v>
      </c>
      <c r="DA106" s="76">
        <v>0</v>
      </c>
      <c r="DB106" s="76">
        <v>87</v>
      </c>
      <c r="DC106" s="76">
        <v>48</v>
      </c>
      <c r="DD106" s="76">
        <v>1262</v>
      </c>
      <c r="DE106" s="76">
        <v>495</v>
      </c>
      <c r="DF106" s="76">
        <v>98</v>
      </c>
      <c r="DG106" s="76">
        <v>669</v>
      </c>
      <c r="DH106" s="76">
        <v>0</v>
      </c>
      <c r="DI106" s="76">
        <v>0</v>
      </c>
      <c r="DJ106" s="76">
        <v>0</v>
      </c>
      <c r="DK106" s="76">
        <v>0</v>
      </c>
      <c r="DL106" s="76">
        <v>0</v>
      </c>
      <c r="DM106" s="76">
        <v>0</v>
      </c>
      <c r="DN106" s="76">
        <v>0</v>
      </c>
      <c r="DO106" s="76">
        <v>0</v>
      </c>
      <c r="DP106" s="76">
        <v>0</v>
      </c>
      <c r="DQ106" s="76">
        <v>0</v>
      </c>
      <c r="DR106" s="76">
        <v>0</v>
      </c>
      <c r="DS106" s="76">
        <v>0</v>
      </c>
      <c r="DT106" s="76">
        <v>98</v>
      </c>
      <c r="DU106" s="76">
        <v>0</v>
      </c>
      <c r="DV106" s="76">
        <v>28</v>
      </c>
      <c r="DW106" s="76">
        <v>70</v>
      </c>
      <c r="DX106" s="76">
        <v>0</v>
      </c>
      <c r="DY106" s="76">
        <v>0</v>
      </c>
      <c r="DZ106" s="76">
        <v>0</v>
      </c>
      <c r="EA106" s="76">
        <v>0</v>
      </c>
      <c r="EB106" s="76">
        <v>0</v>
      </c>
      <c r="EC106" s="76">
        <v>0</v>
      </c>
      <c r="ED106" s="76">
        <v>0</v>
      </c>
      <c r="EE106" s="76">
        <v>0</v>
      </c>
      <c r="EF106" s="76">
        <v>98</v>
      </c>
      <c r="EG106" s="76">
        <v>0</v>
      </c>
      <c r="EH106" s="76">
        <v>28</v>
      </c>
      <c r="EI106" s="76">
        <v>70</v>
      </c>
      <c r="EJ106" s="76">
        <v>1360</v>
      </c>
      <c r="EK106" s="76">
        <v>495</v>
      </c>
      <c r="EL106" s="76">
        <v>126</v>
      </c>
      <c r="EM106" s="76">
        <v>739</v>
      </c>
      <c r="EN106" s="76">
        <v>290</v>
      </c>
      <c r="EO106" s="76">
        <v>93</v>
      </c>
      <c r="EP106" s="76">
        <v>115</v>
      </c>
      <c r="EQ106" s="76">
        <v>93</v>
      </c>
      <c r="ER106" s="76">
        <v>43756</v>
      </c>
      <c r="ES106" s="76">
        <v>0</v>
      </c>
      <c r="ET106" s="76">
        <v>43756</v>
      </c>
      <c r="EU106" s="76">
        <v>12625</v>
      </c>
      <c r="EV106" s="76">
        <v>-200</v>
      </c>
      <c r="EW106" s="76">
        <v>0</v>
      </c>
      <c r="EX106" s="76">
        <v>0</v>
      </c>
      <c r="EY106" s="76">
        <v>0</v>
      </c>
      <c r="EZ106" s="76">
        <v>56181</v>
      </c>
      <c r="FA106" s="76">
        <v>9216</v>
      </c>
      <c r="FB106" s="76">
        <v>1027</v>
      </c>
      <c r="FC106" s="76">
        <v>0</v>
      </c>
      <c r="FD106" s="76">
        <v>0</v>
      </c>
      <c r="FE106" s="76">
        <v>-119</v>
      </c>
      <c r="FF106" s="76">
        <v>0</v>
      </c>
      <c r="FG106" s="76">
        <v>0</v>
      </c>
      <c r="FH106" s="76">
        <v>10124</v>
      </c>
      <c r="FI106" s="76">
        <v>46057</v>
      </c>
      <c r="FJ106" s="76">
        <v>34540</v>
      </c>
      <c r="FK106" s="76">
        <v>0</v>
      </c>
      <c r="FL106" s="76">
        <v>0</v>
      </c>
      <c r="FM106" s="76">
        <v>0</v>
      </c>
      <c r="FN106" s="76">
        <v>0</v>
      </c>
      <c r="FO106" s="76">
        <v>0</v>
      </c>
      <c r="FP106" s="76">
        <v>0</v>
      </c>
      <c r="FQ106" s="76">
        <v>0</v>
      </c>
      <c r="FR106" s="76">
        <v>0</v>
      </c>
      <c r="FS106" s="76">
        <v>0</v>
      </c>
      <c r="FT106" s="76">
        <v>0</v>
      </c>
      <c r="FU106" s="76">
        <v>0</v>
      </c>
      <c r="FV106" s="76">
        <v>0</v>
      </c>
      <c r="FW106" s="76">
        <v>0</v>
      </c>
      <c r="FX106" s="76">
        <v>0</v>
      </c>
      <c r="FY106" s="76">
        <v>0</v>
      </c>
      <c r="FZ106" s="76">
        <v>0</v>
      </c>
      <c r="GA106" s="76">
        <v>0</v>
      </c>
      <c r="GB106" s="76">
        <v>0</v>
      </c>
      <c r="GC106" s="76">
        <v>0</v>
      </c>
      <c r="GD106" s="76">
        <v>0</v>
      </c>
      <c r="GE106" s="76">
        <v>0</v>
      </c>
      <c r="GF106" s="76">
        <v>0</v>
      </c>
      <c r="GG106" s="76">
        <v>0</v>
      </c>
      <c r="GH106" s="76">
        <v>0</v>
      </c>
      <c r="GI106" s="76">
        <v>0</v>
      </c>
      <c r="GJ106" s="76">
        <v>0</v>
      </c>
      <c r="GK106" s="76">
        <v>0</v>
      </c>
      <c r="GL106" s="76">
        <v>0</v>
      </c>
      <c r="GM106" s="76">
        <v>126</v>
      </c>
      <c r="GN106" s="76">
        <v>141</v>
      </c>
      <c r="GO106" s="76">
        <v>0</v>
      </c>
      <c r="GP106" s="76">
        <v>0</v>
      </c>
      <c r="GQ106" s="76">
        <v>0</v>
      </c>
      <c r="GR106" s="76">
        <v>479</v>
      </c>
      <c r="GS106" s="76">
        <v>0</v>
      </c>
      <c r="GT106" s="76">
        <v>0</v>
      </c>
      <c r="GU106" s="76">
        <v>153</v>
      </c>
      <c r="GV106" s="76">
        <v>0</v>
      </c>
      <c r="GW106" s="76">
        <v>111</v>
      </c>
      <c r="GX106" s="76">
        <v>1010</v>
      </c>
      <c r="GY106" s="76">
        <v>0</v>
      </c>
      <c r="GZ106" s="76">
        <v>0</v>
      </c>
      <c r="HA106" s="76">
        <v>1046</v>
      </c>
      <c r="HB106" s="76">
        <v>0</v>
      </c>
      <c r="HC106" s="76">
        <v>1046</v>
      </c>
      <c r="HD106" s="76">
        <v>0</v>
      </c>
      <c r="HE106" s="76">
        <v>0</v>
      </c>
      <c r="HF106" s="76">
        <v>0</v>
      </c>
      <c r="HG106" s="76">
        <v>651</v>
      </c>
      <c r="HH106" s="76">
        <v>35</v>
      </c>
      <c r="HI106" s="76">
        <v>33</v>
      </c>
      <c r="HJ106" s="76">
        <v>0</v>
      </c>
      <c r="HK106" s="76">
        <v>0</v>
      </c>
      <c r="HL106" s="76">
        <v>-234</v>
      </c>
      <c r="HM106" s="76">
        <v>485</v>
      </c>
      <c r="HN106" s="76">
        <v>614</v>
      </c>
      <c r="HO106" s="76">
        <v>1027</v>
      </c>
      <c r="HP106" s="76">
        <v>0</v>
      </c>
      <c r="HQ106" s="76">
        <v>120</v>
      </c>
      <c r="HR106" s="76">
        <v>0</v>
      </c>
      <c r="HS106" s="76">
        <v>0</v>
      </c>
      <c r="HT106" s="76">
        <v>1446</v>
      </c>
      <c r="HU106" s="76">
        <v>0</v>
      </c>
      <c r="HV106" s="76">
        <v>0</v>
      </c>
      <c r="HW106" s="76">
        <v>0</v>
      </c>
      <c r="HX106" s="76">
        <v>13</v>
      </c>
    </row>
    <row r="107" spans="1:232" x14ac:dyDescent="0.2">
      <c r="A107" s="74" t="s">
        <v>101</v>
      </c>
      <c r="B107" s="74" t="s">
        <v>100</v>
      </c>
      <c r="C107" s="75" t="s">
        <v>200</v>
      </c>
      <c r="D107" s="75">
        <v>12</v>
      </c>
      <c r="E107" s="76">
        <v>21983</v>
      </c>
      <c r="F107" s="76">
        <v>0</v>
      </c>
      <c r="G107" s="76">
        <v>-14323</v>
      </c>
      <c r="H107" s="76">
        <v>7660</v>
      </c>
      <c r="I107" s="76">
        <v>167</v>
      </c>
      <c r="J107" s="76">
        <v>0</v>
      </c>
      <c r="K107" s="76">
        <v>0</v>
      </c>
      <c r="L107" s="76">
        <v>0</v>
      </c>
      <c r="M107" s="76">
        <v>63</v>
      </c>
      <c r="N107" s="76">
        <v>-2574</v>
      </c>
      <c r="O107" s="76">
        <v>0</v>
      </c>
      <c r="P107" s="76">
        <v>56</v>
      </c>
      <c r="Q107" s="76">
        <v>0</v>
      </c>
      <c r="R107" s="76">
        <v>0</v>
      </c>
      <c r="S107" s="76">
        <v>5372</v>
      </c>
      <c r="T107" s="76">
        <v>0</v>
      </c>
      <c r="U107" s="76">
        <v>5372</v>
      </c>
      <c r="V107" s="76">
        <v>0</v>
      </c>
      <c r="W107" s="76">
        <v>0</v>
      </c>
      <c r="X107" s="76">
        <v>0</v>
      </c>
      <c r="Y107" s="76">
        <v>0</v>
      </c>
      <c r="Z107" s="76">
        <v>5372</v>
      </c>
      <c r="AA107" s="76">
        <v>16109</v>
      </c>
      <c r="AB107" s="76">
        <v>1031</v>
      </c>
      <c r="AC107" s="76">
        <v>17140</v>
      </c>
      <c r="AD107" s="76">
        <v>1856</v>
      </c>
      <c r="AE107" s="76">
        <v>0</v>
      </c>
      <c r="AF107" s="76">
        <v>0</v>
      </c>
      <c r="AG107" s="76">
        <v>521</v>
      </c>
      <c r="AH107" s="76">
        <v>19517</v>
      </c>
      <c r="AI107" s="76">
        <v>3456</v>
      </c>
      <c r="AJ107" s="76">
        <v>854</v>
      </c>
      <c r="AK107" s="76">
        <v>2669</v>
      </c>
      <c r="AL107" s="76">
        <v>713</v>
      </c>
      <c r="AM107" s="76">
        <v>890</v>
      </c>
      <c r="AN107" s="76">
        <v>206</v>
      </c>
      <c r="AO107" s="76">
        <v>3736</v>
      </c>
      <c r="AP107" s="76">
        <v>0</v>
      </c>
      <c r="AQ107" s="76">
        <v>434</v>
      </c>
      <c r="AR107" s="76">
        <v>12958</v>
      </c>
      <c r="AS107" s="76">
        <v>6559</v>
      </c>
      <c r="AT107" s="76">
        <v>138</v>
      </c>
      <c r="AU107" s="76">
        <v>176478</v>
      </c>
      <c r="AV107" s="76">
        <v>0</v>
      </c>
      <c r="AW107" s="76">
        <v>1445</v>
      </c>
      <c r="AX107" s="76">
        <v>0</v>
      </c>
      <c r="AY107" s="76">
        <v>0</v>
      </c>
      <c r="AZ107" s="76">
        <v>5537</v>
      </c>
      <c r="BA107" s="76">
        <v>0</v>
      </c>
      <c r="BB107" s="76">
        <v>0</v>
      </c>
      <c r="BC107" s="76">
        <v>0</v>
      </c>
      <c r="BD107" s="76">
        <v>1498</v>
      </c>
      <c r="BE107" s="76">
        <v>184958</v>
      </c>
      <c r="BF107" s="76">
        <v>0</v>
      </c>
      <c r="BG107" s="76">
        <v>591</v>
      </c>
      <c r="BH107" s="76">
        <v>1056</v>
      </c>
      <c r="BI107" s="76">
        <v>0</v>
      </c>
      <c r="BJ107" s="76">
        <v>11667</v>
      </c>
      <c r="BK107" s="76">
        <v>13314</v>
      </c>
      <c r="BL107" s="76">
        <v>2329</v>
      </c>
      <c r="BM107" s="76">
        <v>0</v>
      </c>
      <c r="BN107" s="76">
        <v>0</v>
      </c>
      <c r="BO107" s="76">
        <v>4177</v>
      </c>
      <c r="BP107" s="76">
        <v>6506</v>
      </c>
      <c r="BQ107" s="76">
        <v>6808</v>
      </c>
      <c r="BR107" s="76">
        <v>191766</v>
      </c>
      <c r="BS107" s="76">
        <v>43955</v>
      </c>
      <c r="BT107" s="76">
        <v>0</v>
      </c>
      <c r="BU107" s="76">
        <v>0</v>
      </c>
      <c r="BV107" s="76">
        <v>92090</v>
      </c>
      <c r="BW107" s="76">
        <v>0</v>
      </c>
      <c r="BX107" s="76">
        <v>0</v>
      </c>
      <c r="BY107" s="76">
        <v>14813</v>
      </c>
      <c r="BZ107" s="76">
        <v>150858</v>
      </c>
      <c r="CA107" s="76">
        <v>3750</v>
      </c>
      <c r="CB107" s="76">
        <v>0</v>
      </c>
      <c r="CC107" s="76">
        <v>37158</v>
      </c>
      <c r="CD107" s="76">
        <v>34536</v>
      </c>
      <c r="CE107" s="76">
        <v>2622</v>
      </c>
      <c r="CF107" s="76">
        <v>0</v>
      </c>
      <c r="CG107" s="76">
        <v>0</v>
      </c>
      <c r="CH107" s="76">
        <v>0</v>
      </c>
      <c r="CI107" s="76">
        <v>37158</v>
      </c>
      <c r="CJ107" s="76">
        <v>833</v>
      </c>
      <c r="CK107" s="76">
        <v>0</v>
      </c>
      <c r="CL107" s="76">
        <v>383</v>
      </c>
      <c r="CM107" s="76">
        <v>450</v>
      </c>
      <c r="CN107" s="76">
        <v>0</v>
      </c>
      <c r="CO107" s="76">
        <v>0</v>
      </c>
      <c r="CP107" s="76">
        <v>0</v>
      </c>
      <c r="CQ107" s="76">
        <v>0</v>
      </c>
      <c r="CR107" s="76">
        <v>10</v>
      </c>
      <c r="CS107" s="76">
        <v>0</v>
      </c>
      <c r="CT107" s="76">
        <v>147</v>
      </c>
      <c r="CU107" s="76">
        <v>-137</v>
      </c>
      <c r="CV107" s="76">
        <v>0</v>
      </c>
      <c r="CW107" s="76">
        <v>0</v>
      </c>
      <c r="CX107" s="76">
        <v>2</v>
      </c>
      <c r="CY107" s="76">
        <v>-2</v>
      </c>
      <c r="CZ107" s="76">
        <v>788</v>
      </c>
      <c r="DA107" s="76">
        <v>0</v>
      </c>
      <c r="DB107" s="76">
        <v>432</v>
      </c>
      <c r="DC107" s="76">
        <v>356</v>
      </c>
      <c r="DD107" s="76">
        <v>1631</v>
      </c>
      <c r="DE107" s="76">
        <v>0</v>
      </c>
      <c r="DF107" s="76">
        <v>964</v>
      </c>
      <c r="DG107" s="76">
        <v>667</v>
      </c>
      <c r="DH107" s="76">
        <v>0</v>
      </c>
      <c r="DI107" s="76">
        <v>0</v>
      </c>
      <c r="DJ107" s="76">
        <v>0</v>
      </c>
      <c r="DK107" s="76">
        <v>0</v>
      </c>
      <c r="DL107" s="76">
        <v>516</v>
      </c>
      <c r="DM107" s="76">
        <v>0</v>
      </c>
      <c r="DN107" s="76">
        <v>257</v>
      </c>
      <c r="DO107" s="76">
        <v>259</v>
      </c>
      <c r="DP107" s="76">
        <v>0</v>
      </c>
      <c r="DQ107" s="76">
        <v>0</v>
      </c>
      <c r="DR107" s="76">
        <v>0</v>
      </c>
      <c r="DS107" s="76">
        <v>0</v>
      </c>
      <c r="DT107" s="76">
        <v>236</v>
      </c>
      <c r="DU107" s="76">
        <v>0</v>
      </c>
      <c r="DV107" s="76">
        <v>85</v>
      </c>
      <c r="DW107" s="76">
        <v>151</v>
      </c>
      <c r="DX107" s="76">
        <v>0</v>
      </c>
      <c r="DY107" s="76">
        <v>0</v>
      </c>
      <c r="DZ107" s="76">
        <v>0</v>
      </c>
      <c r="EA107" s="76">
        <v>0</v>
      </c>
      <c r="EB107" s="76">
        <v>83</v>
      </c>
      <c r="EC107" s="76">
        <v>0</v>
      </c>
      <c r="ED107" s="76">
        <v>59</v>
      </c>
      <c r="EE107" s="76">
        <v>24</v>
      </c>
      <c r="EF107" s="76">
        <v>835</v>
      </c>
      <c r="EG107" s="76">
        <v>0</v>
      </c>
      <c r="EH107" s="76">
        <v>401</v>
      </c>
      <c r="EI107" s="76">
        <v>434</v>
      </c>
      <c r="EJ107" s="76">
        <v>2466</v>
      </c>
      <c r="EK107" s="76">
        <v>0</v>
      </c>
      <c r="EL107" s="76">
        <v>1365</v>
      </c>
      <c r="EM107" s="76">
        <v>1101</v>
      </c>
      <c r="EN107" s="76">
        <v>786</v>
      </c>
      <c r="EO107" s="76">
        <v>566</v>
      </c>
      <c r="EP107" s="76">
        <v>290</v>
      </c>
      <c r="EQ107" s="76">
        <v>566</v>
      </c>
      <c r="ER107" s="76">
        <v>203887</v>
      </c>
      <c r="ES107" s="76">
        <v>0</v>
      </c>
      <c r="ET107" s="76">
        <v>203887</v>
      </c>
      <c r="EU107" s="76">
        <v>6490</v>
      </c>
      <c r="EV107" s="76">
        <v>-490</v>
      </c>
      <c r="EW107" s="76">
        <v>0</v>
      </c>
      <c r="EX107" s="76">
        <v>0</v>
      </c>
      <c r="EY107" s="76">
        <v>0</v>
      </c>
      <c r="EZ107" s="76">
        <v>209887</v>
      </c>
      <c r="FA107" s="76">
        <v>29819</v>
      </c>
      <c r="FB107" s="76">
        <v>3799</v>
      </c>
      <c r="FC107" s="76">
        <v>0</v>
      </c>
      <c r="FD107" s="76">
        <v>0</v>
      </c>
      <c r="FE107" s="76">
        <v>-209</v>
      </c>
      <c r="FF107" s="76">
        <v>0</v>
      </c>
      <c r="FG107" s="76">
        <v>0</v>
      </c>
      <c r="FH107" s="76">
        <v>33409</v>
      </c>
      <c r="FI107" s="76">
        <v>176478</v>
      </c>
      <c r="FJ107" s="76">
        <v>174068</v>
      </c>
      <c r="FK107" s="76">
        <v>278</v>
      </c>
      <c r="FL107" s="76">
        <v>122</v>
      </c>
      <c r="FM107" s="76">
        <v>156</v>
      </c>
      <c r="FN107" s="76">
        <v>0</v>
      </c>
      <c r="FO107" s="76">
        <v>0</v>
      </c>
      <c r="FP107" s="76">
        <v>0</v>
      </c>
      <c r="FQ107" s="76">
        <v>90</v>
      </c>
      <c r="FR107" s="76">
        <v>81</v>
      </c>
      <c r="FS107" s="76">
        <v>9</v>
      </c>
      <c r="FT107" s="76">
        <v>3</v>
      </c>
      <c r="FU107" s="76">
        <v>1</v>
      </c>
      <c r="FV107" s="76">
        <v>2</v>
      </c>
      <c r="FW107" s="76">
        <v>0</v>
      </c>
      <c r="FX107" s="76">
        <v>0</v>
      </c>
      <c r="FY107" s="76">
        <v>0</v>
      </c>
      <c r="FZ107" s="76">
        <v>0</v>
      </c>
      <c r="GA107" s="76">
        <v>0</v>
      </c>
      <c r="GB107" s="76">
        <v>0</v>
      </c>
      <c r="GC107" s="76">
        <v>371</v>
      </c>
      <c r="GD107" s="76">
        <v>204</v>
      </c>
      <c r="GE107" s="76">
        <v>167</v>
      </c>
      <c r="GF107" s="76">
        <v>0</v>
      </c>
      <c r="GG107" s="76">
        <v>0</v>
      </c>
      <c r="GH107" s="76">
        <v>0</v>
      </c>
      <c r="GI107" s="76">
        <v>0</v>
      </c>
      <c r="GJ107" s="76">
        <v>0</v>
      </c>
      <c r="GK107" s="76">
        <v>11667</v>
      </c>
      <c r="GL107" s="76">
        <v>11667</v>
      </c>
      <c r="GM107" s="76">
        <v>597</v>
      </c>
      <c r="GN107" s="76">
        <v>444</v>
      </c>
      <c r="GO107" s="76">
        <v>0</v>
      </c>
      <c r="GP107" s="76">
        <v>0</v>
      </c>
      <c r="GQ107" s="76">
        <v>0</v>
      </c>
      <c r="GR107" s="76">
        <v>1440</v>
      </c>
      <c r="GS107" s="76">
        <v>0</v>
      </c>
      <c r="GT107" s="76">
        <v>0</v>
      </c>
      <c r="GU107" s="76">
        <v>0</v>
      </c>
      <c r="GV107" s="76">
        <v>0</v>
      </c>
      <c r="GW107" s="76">
        <v>1696</v>
      </c>
      <c r="GX107" s="76">
        <v>4177</v>
      </c>
      <c r="GY107" s="76">
        <v>173</v>
      </c>
      <c r="GZ107" s="76">
        <v>117</v>
      </c>
      <c r="HA107" s="76">
        <v>0</v>
      </c>
      <c r="HB107" s="76">
        <v>14523</v>
      </c>
      <c r="HC107" s="76">
        <v>14813</v>
      </c>
      <c r="HD107" s="76">
        <v>0</v>
      </c>
      <c r="HE107" s="76">
        <v>0</v>
      </c>
      <c r="HF107" s="76">
        <v>0</v>
      </c>
      <c r="HG107" s="76">
        <v>2268</v>
      </c>
      <c r="HH107" s="76">
        <v>72</v>
      </c>
      <c r="HI107" s="76">
        <v>234</v>
      </c>
      <c r="HJ107" s="76">
        <v>0</v>
      </c>
      <c r="HK107" s="76">
        <v>0</v>
      </c>
      <c r="HL107" s="76">
        <v>0</v>
      </c>
      <c r="HM107" s="76">
        <v>2574</v>
      </c>
      <c r="HN107" s="76">
        <v>2079</v>
      </c>
      <c r="HO107" s="76">
        <v>4167</v>
      </c>
      <c r="HP107" s="76">
        <v>0</v>
      </c>
      <c r="HQ107" s="76">
        <v>30</v>
      </c>
      <c r="HR107" s="76">
        <v>-5</v>
      </c>
      <c r="HS107" s="76">
        <v>-8</v>
      </c>
      <c r="HT107" s="76">
        <v>3663</v>
      </c>
      <c r="HU107" s="76">
        <v>0</v>
      </c>
      <c r="HV107" s="76">
        <v>0</v>
      </c>
      <c r="HW107" s="76">
        <v>0</v>
      </c>
      <c r="HX107" s="76">
        <v>85</v>
      </c>
    </row>
    <row r="108" spans="1:232" x14ac:dyDescent="0.2">
      <c r="A108" s="74" t="s">
        <v>487</v>
      </c>
      <c r="B108" s="74" t="s">
        <v>102</v>
      </c>
      <c r="C108" s="75" t="s">
        <v>200</v>
      </c>
      <c r="D108" s="75">
        <v>12</v>
      </c>
      <c r="E108" s="76">
        <v>76024</v>
      </c>
      <c r="F108" s="76">
        <v>0</v>
      </c>
      <c r="G108" s="76">
        <v>-46893</v>
      </c>
      <c r="H108" s="76">
        <v>29131</v>
      </c>
      <c r="I108" s="76">
        <v>1139</v>
      </c>
      <c r="J108" s="76">
        <v>0</v>
      </c>
      <c r="K108" s="76">
        <v>0</v>
      </c>
      <c r="L108" s="76">
        <v>0</v>
      </c>
      <c r="M108" s="76">
        <v>168</v>
      </c>
      <c r="N108" s="76">
        <v>-5534</v>
      </c>
      <c r="O108" s="76">
        <v>0</v>
      </c>
      <c r="P108" s="76">
        <v>0</v>
      </c>
      <c r="Q108" s="76">
        <v>0</v>
      </c>
      <c r="R108" s="76">
        <v>0</v>
      </c>
      <c r="S108" s="76">
        <v>24904</v>
      </c>
      <c r="T108" s="76">
        <v>-192</v>
      </c>
      <c r="U108" s="76">
        <v>24712</v>
      </c>
      <c r="V108" s="76">
        <v>0</v>
      </c>
      <c r="W108" s="76">
        <v>-1783</v>
      </c>
      <c r="X108" s="76">
        <v>0</v>
      </c>
      <c r="Y108" s="76">
        <v>0</v>
      </c>
      <c r="Z108" s="76">
        <v>22929</v>
      </c>
      <c r="AA108" s="76">
        <v>65579</v>
      </c>
      <c r="AB108" s="76">
        <v>3652</v>
      </c>
      <c r="AC108" s="76">
        <v>69231</v>
      </c>
      <c r="AD108" s="76">
        <v>207</v>
      </c>
      <c r="AE108" s="76">
        <v>0</v>
      </c>
      <c r="AF108" s="76">
        <v>0</v>
      </c>
      <c r="AG108" s="76">
        <v>2820</v>
      </c>
      <c r="AH108" s="76">
        <v>72258</v>
      </c>
      <c r="AI108" s="76">
        <v>13275</v>
      </c>
      <c r="AJ108" s="76">
        <v>3452</v>
      </c>
      <c r="AK108" s="76">
        <v>11684</v>
      </c>
      <c r="AL108" s="76">
        <v>1085</v>
      </c>
      <c r="AM108" s="76">
        <v>0</v>
      </c>
      <c r="AN108" s="76">
        <v>898</v>
      </c>
      <c r="AO108" s="76">
        <v>12900</v>
      </c>
      <c r="AP108" s="76">
        <v>0</v>
      </c>
      <c r="AQ108" s="76">
        <v>357</v>
      </c>
      <c r="AR108" s="76">
        <v>43651</v>
      </c>
      <c r="AS108" s="76">
        <v>28607</v>
      </c>
      <c r="AT108" s="76">
        <v>647</v>
      </c>
      <c r="AU108" s="76">
        <v>376150</v>
      </c>
      <c r="AV108" s="76">
        <v>0</v>
      </c>
      <c r="AW108" s="76">
        <v>2063</v>
      </c>
      <c r="AX108" s="76">
        <v>0</v>
      </c>
      <c r="AY108" s="76">
        <v>0</v>
      </c>
      <c r="AZ108" s="76">
        <v>925</v>
      </c>
      <c r="BA108" s="76">
        <v>0</v>
      </c>
      <c r="BB108" s="76">
        <v>0</v>
      </c>
      <c r="BC108" s="76">
        <v>0</v>
      </c>
      <c r="BD108" s="76">
        <v>0</v>
      </c>
      <c r="BE108" s="76">
        <v>379138</v>
      </c>
      <c r="BF108" s="76">
        <v>2334</v>
      </c>
      <c r="BG108" s="76">
        <v>7433</v>
      </c>
      <c r="BH108" s="76">
        <v>40954</v>
      </c>
      <c r="BI108" s="76">
        <v>0</v>
      </c>
      <c r="BJ108" s="76">
        <v>2782</v>
      </c>
      <c r="BK108" s="76">
        <v>53503</v>
      </c>
      <c r="BL108" s="76">
        <v>10000</v>
      </c>
      <c r="BM108" s="76">
        <v>0</v>
      </c>
      <c r="BN108" s="76">
        <v>228</v>
      </c>
      <c r="BO108" s="76">
        <v>16368</v>
      </c>
      <c r="BP108" s="76">
        <v>26596</v>
      </c>
      <c r="BQ108" s="76">
        <v>26907</v>
      </c>
      <c r="BR108" s="76">
        <v>406045</v>
      </c>
      <c r="BS108" s="76">
        <v>124439</v>
      </c>
      <c r="BT108" s="76">
        <v>0</v>
      </c>
      <c r="BU108" s="76">
        <v>0</v>
      </c>
      <c r="BV108" s="76">
        <v>0</v>
      </c>
      <c r="BW108" s="76">
        <v>0</v>
      </c>
      <c r="BX108" s="76">
        <v>0</v>
      </c>
      <c r="BY108" s="76">
        <v>1194</v>
      </c>
      <c r="BZ108" s="76">
        <v>125633</v>
      </c>
      <c r="CA108" s="76">
        <v>8664</v>
      </c>
      <c r="CB108" s="76">
        <v>618</v>
      </c>
      <c r="CC108" s="76">
        <v>271130</v>
      </c>
      <c r="CD108" s="76">
        <v>271103</v>
      </c>
      <c r="CE108" s="76">
        <v>0</v>
      </c>
      <c r="CF108" s="76">
        <v>26</v>
      </c>
      <c r="CG108" s="76">
        <v>0</v>
      </c>
      <c r="CH108" s="76">
        <v>0</v>
      </c>
      <c r="CI108" s="76">
        <v>271129</v>
      </c>
      <c r="CJ108" s="76">
        <v>149</v>
      </c>
      <c r="CK108" s="76">
        <v>0</v>
      </c>
      <c r="CL108" s="76">
        <v>0</v>
      </c>
      <c r="CM108" s="76">
        <v>149</v>
      </c>
      <c r="CN108" s="76">
        <v>0</v>
      </c>
      <c r="CO108" s="76">
        <v>0</v>
      </c>
      <c r="CP108" s="76">
        <v>0</v>
      </c>
      <c r="CQ108" s="76">
        <v>0</v>
      </c>
      <c r="CR108" s="76">
        <v>0</v>
      </c>
      <c r="CS108" s="76">
        <v>0</v>
      </c>
      <c r="CT108" s="76">
        <v>0</v>
      </c>
      <c r="CU108" s="76">
        <v>0</v>
      </c>
      <c r="CV108" s="76">
        <v>0</v>
      </c>
      <c r="CW108" s="76">
        <v>0</v>
      </c>
      <c r="CX108" s="76">
        <v>0</v>
      </c>
      <c r="CY108" s="76">
        <v>0</v>
      </c>
      <c r="CZ108" s="76">
        <v>0</v>
      </c>
      <c r="DA108" s="76">
        <v>0</v>
      </c>
      <c r="DB108" s="76">
        <v>0</v>
      </c>
      <c r="DC108" s="76">
        <v>0</v>
      </c>
      <c r="DD108" s="76">
        <v>149</v>
      </c>
      <c r="DE108" s="76">
        <v>0</v>
      </c>
      <c r="DF108" s="76">
        <v>0</v>
      </c>
      <c r="DG108" s="76">
        <v>149</v>
      </c>
      <c r="DH108" s="76">
        <v>0</v>
      </c>
      <c r="DI108" s="76">
        <v>0</v>
      </c>
      <c r="DJ108" s="76">
        <v>0</v>
      </c>
      <c r="DK108" s="76">
        <v>0</v>
      </c>
      <c r="DL108" s="76">
        <v>0</v>
      </c>
      <c r="DM108" s="76">
        <v>0</v>
      </c>
      <c r="DN108" s="76">
        <v>0</v>
      </c>
      <c r="DO108" s="76">
        <v>0</v>
      </c>
      <c r="DP108" s="76">
        <v>0</v>
      </c>
      <c r="DQ108" s="76">
        <v>0</v>
      </c>
      <c r="DR108" s="76">
        <v>0</v>
      </c>
      <c r="DS108" s="76">
        <v>0</v>
      </c>
      <c r="DT108" s="76">
        <v>0</v>
      </c>
      <c r="DU108" s="76">
        <v>0</v>
      </c>
      <c r="DV108" s="76">
        <v>0</v>
      </c>
      <c r="DW108" s="76">
        <v>0</v>
      </c>
      <c r="DX108" s="76">
        <v>0</v>
      </c>
      <c r="DY108" s="76">
        <v>0</v>
      </c>
      <c r="DZ108" s="76">
        <v>0</v>
      </c>
      <c r="EA108" s="76">
        <v>0</v>
      </c>
      <c r="EB108" s="76">
        <v>3617</v>
      </c>
      <c r="EC108" s="76">
        <v>0</v>
      </c>
      <c r="ED108" s="76">
        <v>3242</v>
      </c>
      <c r="EE108" s="76">
        <v>375</v>
      </c>
      <c r="EF108" s="76">
        <v>3617</v>
      </c>
      <c r="EG108" s="76">
        <v>0</v>
      </c>
      <c r="EH108" s="76">
        <v>3242</v>
      </c>
      <c r="EI108" s="76">
        <v>375</v>
      </c>
      <c r="EJ108" s="76">
        <v>3766</v>
      </c>
      <c r="EK108" s="76">
        <v>0</v>
      </c>
      <c r="EL108" s="76">
        <v>3242</v>
      </c>
      <c r="EM108" s="76">
        <v>524</v>
      </c>
      <c r="EN108" s="76">
        <v>2801</v>
      </c>
      <c r="EO108" s="76">
        <v>2755</v>
      </c>
      <c r="EP108" s="76">
        <v>2703</v>
      </c>
      <c r="EQ108" s="76">
        <v>2755</v>
      </c>
      <c r="ER108" s="76">
        <v>406774</v>
      </c>
      <c r="ES108" s="76">
        <v>0</v>
      </c>
      <c r="ET108" s="76">
        <v>406774</v>
      </c>
      <c r="EU108" s="76">
        <v>38151</v>
      </c>
      <c r="EV108" s="76">
        <v>-2323</v>
      </c>
      <c r="EW108" s="76">
        <v>0</v>
      </c>
      <c r="EX108" s="76">
        <v>0</v>
      </c>
      <c r="EY108" s="76">
        <v>1671</v>
      </c>
      <c r="EZ108" s="76">
        <v>444273</v>
      </c>
      <c r="FA108" s="76">
        <v>55861</v>
      </c>
      <c r="FB108" s="76">
        <v>12620</v>
      </c>
      <c r="FC108" s="76">
        <v>0</v>
      </c>
      <c r="FD108" s="76">
        <v>0</v>
      </c>
      <c r="FE108" s="76">
        <v>-360</v>
      </c>
      <c r="FF108" s="76">
        <v>0</v>
      </c>
      <c r="FG108" s="76">
        <v>0</v>
      </c>
      <c r="FH108" s="76">
        <v>68121</v>
      </c>
      <c r="FI108" s="76">
        <v>376152</v>
      </c>
      <c r="FJ108" s="76">
        <v>350913</v>
      </c>
      <c r="FK108" s="76">
        <v>0</v>
      </c>
      <c r="FL108" s="76">
        <v>0</v>
      </c>
      <c r="FM108" s="76">
        <v>0</v>
      </c>
      <c r="FN108" s="76">
        <v>3945</v>
      </c>
      <c r="FO108" s="76">
        <v>3241</v>
      </c>
      <c r="FP108" s="76">
        <v>704</v>
      </c>
      <c r="FQ108" s="76">
        <v>576</v>
      </c>
      <c r="FR108" s="76">
        <v>141</v>
      </c>
      <c r="FS108" s="76">
        <v>435</v>
      </c>
      <c r="FT108" s="76">
        <v>0</v>
      </c>
      <c r="FU108" s="76">
        <v>0</v>
      </c>
      <c r="FV108" s="76">
        <v>0</v>
      </c>
      <c r="FW108" s="76">
        <v>0</v>
      </c>
      <c r="FX108" s="76">
        <v>0</v>
      </c>
      <c r="FY108" s="76">
        <v>0</v>
      </c>
      <c r="FZ108" s="76">
        <v>0</v>
      </c>
      <c r="GA108" s="76">
        <v>0</v>
      </c>
      <c r="GB108" s="76">
        <v>0</v>
      </c>
      <c r="GC108" s="76">
        <v>4521</v>
      </c>
      <c r="GD108" s="76">
        <v>3382</v>
      </c>
      <c r="GE108" s="76">
        <v>1139</v>
      </c>
      <c r="GF108" s="76">
        <v>0</v>
      </c>
      <c r="GG108" s="76">
        <v>0</v>
      </c>
      <c r="GH108" s="76">
        <v>0</v>
      </c>
      <c r="GI108" s="76">
        <v>0</v>
      </c>
      <c r="GJ108" s="76">
        <v>0</v>
      </c>
      <c r="GK108" s="76">
        <v>2782</v>
      </c>
      <c r="GL108" s="76">
        <v>2782</v>
      </c>
      <c r="GM108" s="76">
        <v>2161</v>
      </c>
      <c r="GN108" s="76">
        <v>1447</v>
      </c>
      <c r="GO108" s="76">
        <v>0</v>
      </c>
      <c r="GP108" s="76">
        <v>0</v>
      </c>
      <c r="GQ108" s="76">
        <v>0</v>
      </c>
      <c r="GR108" s="76">
        <v>9771</v>
      </c>
      <c r="GS108" s="76">
        <v>0</v>
      </c>
      <c r="GT108" s="76">
        <v>0</v>
      </c>
      <c r="GU108" s="76">
        <v>0</v>
      </c>
      <c r="GV108" s="76">
        <v>0</v>
      </c>
      <c r="GW108" s="76">
        <v>2988</v>
      </c>
      <c r="GX108" s="76">
        <v>16367</v>
      </c>
      <c r="GY108" s="76">
        <v>0</v>
      </c>
      <c r="GZ108" s="76">
        <v>1194</v>
      </c>
      <c r="HA108" s="76">
        <v>0</v>
      </c>
      <c r="HB108" s="76">
        <v>0</v>
      </c>
      <c r="HC108" s="76">
        <v>1194</v>
      </c>
      <c r="HD108" s="76">
        <v>0</v>
      </c>
      <c r="HE108" s="76">
        <v>618</v>
      </c>
      <c r="HF108" s="76">
        <v>618</v>
      </c>
      <c r="HG108" s="76">
        <v>6498</v>
      </c>
      <c r="HH108" s="76">
        <v>0</v>
      </c>
      <c r="HI108" s="76">
        <v>0</v>
      </c>
      <c r="HJ108" s="76">
        <v>0</v>
      </c>
      <c r="HK108" s="76">
        <v>0</v>
      </c>
      <c r="HL108" s="76">
        <v>-964</v>
      </c>
      <c r="HM108" s="76">
        <v>5534</v>
      </c>
      <c r="HN108" s="76">
        <v>10649</v>
      </c>
      <c r="HO108" s="76">
        <v>13391</v>
      </c>
      <c r="HP108" s="76">
        <v>0</v>
      </c>
      <c r="HQ108" s="76">
        <v>302</v>
      </c>
      <c r="HR108" s="76">
        <v>-158</v>
      </c>
      <c r="HS108" s="76">
        <v>1</v>
      </c>
      <c r="HT108" s="76">
        <v>15334</v>
      </c>
      <c r="HU108" s="76">
        <v>0</v>
      </c>
      <c r="HV108" s="76">
        <v>0</v>
      </c>
      <c r="HW108" s="76">
        <v>0</v>
      </c>
      <c r="HX108" s="76">
        <v>0</v>
      </c>
    </row>
    <row r="109" spans="1:232" x14ac:dyDescent="0.2">
      <c r="A109" s="74" t="s">
        <v>488</v>
      </c>
      <c r="B109" s="74" t="s">
        <v>489</v>
      </c>
      <c r="C109" s="75" t="s">
        <v>200</v>
      </c>
      <c r="D109" s="75">
        <v>12</v>
      </c>
      <c r="E109" s="76">
        <v>34758</v>
      </c>
      <c r="F109" s="76">
        <v>0</v>
      </c>
      <c r="G109" s="76">
        <v>-21437</v>
      </c>
      <c r="H109" s="76">
        <v>13321</v>
      </c>
      <c r="I109" s="76">
        <v>285</v>
      </c>
      <c r="J109" s="76">
        <v>0</v>
      </c>
      <c r="K109" s="76">
        <v>0</v>
      </c>
      <c r="L109" s="76">
        <v>0</v>
      </c>
      <c r="M109" s="76">
        <v>402</v>
      </c>
      <c r="N109" s="76">
        <v>-4746</v>
      </c>
      <c r="O109" s="76">
        <v>0</v>
      </c>
      <c r="P109" s="76">
        <v>0</v>
      </c>
      <c r="Q109" s="76">
        <v>0</v>
      </c>
      <c r="R109" s="76">
        <v>0</v>
      </c>
      <c r="S109" s="76">
        <v>9262</v>
      </c>
      <c r="T109" s="76">
        <v>0</v>
      </c>
      <c r="U109" s="76">
        <v>9262</v>
      </c>
      <c r="V109" s="76">
        <v>-16</v>
      </c>
      <c r="W109" s="76">
        <v>-2980</v>
      </c>
      <c r="X109" s="76">
        <v>0</v>
      </c>
      <c r="Y109" s="76">
        <v>0</v>
      </c>
      <c r="Z109" s="76">
        <v>6266</v>
      </c>
      <c r="AA109" s="76">
        <v>33089</v>
      </c>
      <c r="AB109" s="76">
        <v>65</v>
      </c>
      <c r="AC109" s="76">
        <v>33154</v>
      </c>
      <c r="AD109" s="76">
        <v>151</v>
      </c>
      <c r="AE109" s="76">
        <v>0</v>
      </c>
      <c r="AF109" s="76">
        <v>0</v>
      </c>
      <c r="AG109" s="76">
        <v>0</v>
      </c>
      <c r="AH109" s="76">
        <v>33305</v>
      </c>
      <c r="AI109" s="76">
        <v>7675</v>
      </c>
      <c r="AJ109" s="76">
        <v>76</v>
      </c>
      <c r="AK109" s="76">
        <v>7335</v>
      </c>
      <c r="AL109" s="76">
        <v>288</v>
      </c>
      <c r="AM109" s="76">
        <v>0</v>
      </c>
      <c r="AN109" s="76">
        <v>142</v>
      </c>
      <c r="AO109" s="76">
        <v>4775</v>
      </c>
      <c r="AP109" s="76">
        <v>0</v>
      </c>
      <c r="AQ109" s="76">
        <v>536</v>
      </c>
      <c r="AR109" s="76">
        <v>20827</v>
      </c>
      <c r="AS109" s="76">
        <v>12478</v>
      </c>
      <c r="AT109" s="76">
        <v>873</v>
      </c>
      <c r="AU109" s="76">
        <v>116300</v>
      </c>
      <c r="AV109" s="76">
        <v>0</v>
      </c>
      <c r="AW109" s="76">
        <v>3917</v>
      </c>
      <c r="AX109" s="76">
        <v>0</v>
      </c>
      <c r="AY109" s="76">
        <v>0</v>
      </c>
      <c r="AZ109" s="76">
        <v>7744</v>
      </c>
      <c r="BA109" s="76">
        <v>4</v>
      </c>
      <c r="BB109" s="76">
        <v>0</v>
      </c>
      <c r="BC109" s="76">
        <v>0</v>
      </c>
      <c r="BD109" s="76">
        <v>0</v>
      </c>
      <c r="BE109" s="76">
        <v>127965</v>
      </c>
      <c r="BF109" s="76">
        <v>0</v>
      </c>
      <c r="BG109" s="76">
        <v>1696</v>
      </c>
      <c r="BH109" s="76">
        <v>3153</v>
      </c>
      <c r="BI109" s="76">
        <v>0</v>
      </c>
      <c r="BJ109" s="76">
        <v>0</v>
      </c>
      <c r="BK109" s="76">
        <v>4849</v>
      </c>
      <c r="BL109" s="76">
        <v>0</v>
      </c>
      <c r="BM109" s="76">
        <v>0</v>
      </c>
      <c r="BN109" s="76">
        <v>151</v>
      </c>
      <c r="BO109" s="76">
        <v>5369</v>
      </c>
      <c r="BP109" s="76">
        <v>5520</v>
      </c>
      <c r="BQ109" s="76">
        <v>-671</v>
      </c>
      <c r="BR109" s="76">
        <v>127294</v>
      </c>
      <c r="BS109" s="76">
        <v>65400</v>
      </c>
      <c r="BT109" s="76">
        <v>0</v>
      </c>
      <c r="BU109" s="76">
        <v>0</v>
      </c>
      <c r="BV109" s="76">
        <v>6199</v>
      </c>
      <c r="BW109" s="76">
        <v>0</v>
      </c>
      <c r="BX109" s="76">
        <v>0</v>
      </c>
      <c r="BY109" s="76">
        <v>508</v>
      </c>
      <c r="BZ109" s="76">
        <v>72107</v>
      </c>
      <c r="CA109" s="76">
        <v>5660</v>
      </c>
      <c r="CB109" s="76">
        <v>0</v>
      </c>
      <c r="CC109" s="76">
        <v>49527</v>
      </c>
      <c r="CD109" s="76">
        <v>42628</v>
      </c>
      <c r="CE109" s="76">
        <v>6899</v>
      </c>
      <c r="CF109" s="76">
        <v>0</v>
      </c>
      <c r="CG109" s="76">
        <v>0</v>
      </c>
      <c r="CH109" s="76">
        <v>0</v>
      </c>
      <c r="CI109" s="76">
        <v>49527</v>
      </c>
      <c r="CJ109" s="76">
        <v>0</v>
      </c>
      <c r="CK109" s="76">
        <v>0</v>
      </c>
      <c r="CL109" s="76">
        <v>0</v>
      </c>
      <c r="CM109" s="76">
        <v>0</v>
      </c>
      <c r="CN109" s="76">
        <v>0</v>
      </c>
      <c r="CO109" s="76">
        <v>0</v>
      </c>
      <c r="CP109" s="76">
        <v>0</v>
      </c>
      <c r="CQ109" s="76">
        <v>0</v>
      </c>
      <c r="CR109" s="76">
        <v>0</v>
      </c>
      <c r="CS109" s="76">
        <v>0</v>
      </c>
      <c r="CT109" s="76">
        <v>0</v>
      </c>
      <c r="CU109" s="76">
        <v>0</v>
      </c>
      <c r="CV109" s="76">
        <v>0</v>
      </c>
      <c r="CW109" s="76">
        <v>0</v>
      </c>
      <c r="CX109" s="76">
        <v>0</v>
      </c>
      <c r="CY109" s="76">
        <v>0</v>
      </c>
      <c r="CZ109" s="76">
        <v>780</v>
      </c>
      <c r="DA109" s="76">
        <v>0</v>
      </c>
      <c r="DB109" s="76">
        <v>474</v>
      </c>
      <c r="DC109" s="76">
        <v>306</v>
      </c>
      <c r="DD109" s="76">
        <v>780</v>
      </c>
      <c r="DE109" s="76">
        <v>0</v>
      </c>
      <c r="DF109" s="76">
        <v>474</v>
      </c>
      <c r="DG109" s="76">
        <v>306</v>
      </c>
      <c r="DH109" s="76">
        <v>0</v>
      </c>
      <c r="DI109" s="76">
        <v>0</v>
      </c>
      <c r="DJ109" s="76">
        <v>0</v>
      </c>
      <c r="DK109" s="76">
        <v>0</v>
      </c>
      <c r="DL109" s="76">
        <v>0</v>
      </c>
      <c r="DM109" s="76">
        <v>0</v>
      </c>
      <c r="DN109" s="76">
        <v>0</v>
      </c>
      <c r="DO109" s="76">
        <v>0</v>
      </c>
      <c r="DP109" s="76">
        <v>0</v>
      </c>
      <c r="DQ109" s="76">
        <v>0</v>
      </c>
      <c r="DR109" s="76">
        <v>0</v>
      </c>
      <c r="DS109" s="76">
        <v>0</v>
      </c>
      <c r="DT109" s="76">
        <v>0</v>
      </c>
      <c r="DU109" s="76">
        <v>0</v>
      </c>
      <c r="DV109" s="76">
        <v>0</v>
      </c>
      <c r="DW109" s="76">
        <v>0</v>
      </c>
      <c r="DX109" s="76">
        <v>0</v>
      </c>
      <c r="DY109" s="76">
        <v>0</v>
      </c>
      <c r="DZ109" s="76">
        <v>0</v>
      </c>
      <c r="EA109" s="76">
        <v>0</v>
      </c>
      <c r="EB109" s="76">
        <v>673</v>
      </c>
      <c r="EC109" s="76">
        <v>0</v>
      </c>
      <c r="ED109" s="76">
        <v>136</v>
      </c>
      <c r="EE109" s="76">
        <v>537</v>
      </c>
      <c r="EF109" s="76">
        <v>673</v>
      </c>
      <c r="EG109" s="76">
        <v>0</v>
      </c>
      <c r="EH109" s="76">
        <v>136</v>
      </c>
      <c r="EI109" s="76">
        <v>537</v>
      </c>
      <c r="EJ109" s="76">
        <v>1453</v>
      </c>
      <c r="EK109" s="76">
        <v>0</v>
      </c>
      <c r="EL109" s="76">
        <v>610</v>
      </c>
      <c r="EM109" s="76">
        <v>843</v>
      </c>
      <c r="EN109" s="76">
        <v>963</v>
      </c>
      <c r="EO109" s="76">
        <v>393</v>
      </c>
      <c r="EP109" s="76">
        <v>40</v>
      </c>
      <c r="EQ109" s="76">
        <v>393</v>
      </c>
      <c r="ER109" s="76">
        <v>137298</v>
      </c>
      <c r="ES109" s="76">
        <v>0</v>
      </c>
      <c r="ET109" s="76">
        <v>137298</v>
      </c>
      <c r="EU109" s="76">
        <v>9199</v>
      </c>
      <c r="EV109" s="76">
        <v>-1105</v>
      </c>
      <c r="EW109" s="76">
        <v>0</v>
      </c>
      <c r="EX109" s="76">
        <v>0</v>
      </c>
      <c r="EY109" s="76">
        <v>-7</v>
      </c>
      <c r="EZ109" s="76">
        <v>145385</v>
      </c>
      <c r="FA109" s="76">
        <v>24938</v>
      </c>
      <c r="FB109" s="76">
        <v>4348</v>
      </c>
      <c r="FC109" s="76">
        <v>0</v>
      </c>
      <c r="FD109" s="76">
        <v>0</v>
      </c>
      <c r="FE109" s="76">
        <v>-201</v>
      </c>
      <c r="FF109" s="76">
        <v>0</v>
      </c>
      <c r="FG109" s="76">
        <v>0</v>
      </c>
      <c r="FH109" s="76">
        <v>29085</v>
      </c>
      <c r="FI109" s="76">
        <v>116300</v>
      </c>
      <c r="FJ109" s="76">
        <v>112360</v>
      </c>
      <c r="FK109" s="76">
        <v>0</v>
      </c>
      <c r="FL109" s="76">
        <v>0</v>
      </c>
      <c r="FM109" s="76">
        <v>0</v>
      </c>
      <c r="FN109" s="76">
        <v>908</v>
      </c>
      <c r="FO109" s="76">
        <v>396</v>
      </c>
      <c r="FP109" s="76">
        <v>512</v>
      </c>
      <c r="FQ109" s="76">
        <v>501</v>
      </c>
      <c r="FR109" s="76">
        <v>487</v>
      </c>
      <c r="FS109" s="76">
        <v>14</v>
      </c>
      <c r="FT109" s="76">
        <v>167</v>
      </c>
      <c r="FU109" s="76">
        <v>408</v>
      </c>
      <c r="FV109" s="76">
        <v>-241</v>
      </c>
      <c r="FW109" s="76">
        <v>0</v>
      </c>
      <c r="FX109" s="76">
        <v>0</v>
      </c>
      <c r="FY109" s="76">
        <v>0</v>
      </c>
      <c r="FZ109" s="76">
        <v>0</v>
      </c>
      <c r="GA109" s="76">
        <v>0</v>
      </c>
      <c r="GB109" s="76">
        <v>0</v>
      </c>
      <c r="GC109" s="76">
        <v>1576</v>
      </c>
      <c r="GD109" s="76">
        <v>1291</v>
      </c>
      <c r="GE109" s="76">
        <v>285</v>
      </c>
      <c r="GF109" s="76">
        <v>0</v>
      </c>
      <c r="GG109" s="76">
        <v>0</v>
      </c>
      <c r="GH109" s="76">
        <v>0</v>
      </c>
      <c r="GI109" s="76">
        <v>0</v>
      </c>
      <c r="GJ109" s="76">
        <v>0</v>
      </c>
      <c r="GK109" s="76">
        <v>0</v>
      </c>
      <c r="GL109" s="76">
        <v>0</v>
      </c>
      <c r="GM109" s="76">
        <v>722</v>
      </c>
      <c r="GN109" s="76">
        <v>253</v>
      </c>
      <c r="GO109" s="76">
        <v>0</v>
      </c>
      <c r="GP109" s="76">
        <v>6</v>
      </c>
      <c r="GQ109" s="76">
        <v>0</v>
      </c>
      <c r="GR109" s="76">
        <v>3638</v>
      </c>
      <c r="GS109" s="76">
        <v>0</v>
      </c>
      <c r="GT109" s="76">
        <v>0</v>
      </c>
      <c r="GU109" s="76">
        <v>0</v>
      </c>
      <c r="GV109" s="76">
        <v>0</v>
      </c>
      <c r="GW109" s="76">
        <v>750</v>
      </c>
      <c r="GX109" s="76">
        <v>5369</v>
      </c>
      <c r="GY109" s="76">
        <v>0</v>
      </c>
      <c r="GZ109" s="76">
        <v>508</v>
      </c>
      <c r="HA109" s="76">
        <v>0</v>
      </c>
      <c r="HB109" s="76">
        <v>0</v>
      </c>
      <c r="HC109" s="76">
        <v>508</v>
      </c>
      <c r="HD109" s="76">
        <v>0</v>
      </c>
      <c r="HE109" s="76">
        <v>0</v>
      </c>
      <c r="HF109" s="76">
        <v>0</v>
      </c>
      <c r="HG109" s="76">
        <v>4686</v>
      </c>
      <c r="HH109" s="76">
        <v>0</v>
      </c>
      <c r="HI109" s="76">
        <v>60</v>
      </c>
      <c r="HJ109" s="76">
        <v>0</v>
      </c>
      <c r="HK109" s="76">
        <v>0</v>
      </c>
      <c r="HL109" s="76">
        <v>0</v>
      </c>
      <c r="HM109" s="76">
        <v>4746</v>
      </c>
      <c r="HN109" s="76">
        <v>1209</v>
      </c>
      <c r="HO109" s="76">
        <v>4775</v>
      </c>
      <c r="HP109" s="76">
        <v>7</v>
      </c>
      <c r="HQ109" s="76">
        <v>13</v>
      </c>
      <c r="HR109" s="76">
        <v>-120</v>
      </c>
      <c r="HS109" s="76">
        <v>0</v>
      </c>
      <c r="HT109" s="76">
        <v>8373</v>
      </c>
      <c r="HU109" s="76">
        <v>0</v>
      </c>
      <c r="HV109" s="76">
        <v>0</v>
      </c>
      <c r="HW109" s="76">
        <v>0</v>
      </c>
      <c r="HX109" s="76">
        <v>0</v>
      </c>
    </row>
    <row r="110" spans="1:232" x14ac:dyDescent="0.2">
      <c r="A110" s="74" t="s">
        <v>105</v>
      </c>
      <c r="B110" s="74" t="s">
        <v>104</v>
      </c>
      <c r="C110" s="75" t="s">
        <v>200</v>
      </c>
      <c r="D110" s="75">
        <v>12</v>
      </c>
      <c r="E110" s="76">
        <v>25632</v>
      </c>
      <c r="F110" s="76">
        <v>0</v>
      </c>
      <c r="G110" s="76">
        <v>-7725</v>
      </c>
      <c r="H110" s="76">
        <v>17907</v>
      </c>
      <c r="I110" s="76">
        <v>-357</v>
      </c>
      <c r="J110" s="76">
        <v>0</v>
      </c>
      <c r="K110" s="76">
        <v>-2500</v>
      </c>
      <c r="L110" s="76">
        <v>0</v>
      </c>
      <c r="M110" s="76">
        <v>71</v>
      </c>
      <c r="N110" s="76">
        <v>-8231</v>
      </c>
      <c r="O110" s="76">
        <v>0</v>
      </c>
      <c r="P110" s="76">
        <v>-1308</v>
      </c>
      <c r="Q110" s="76">
        <v>0</v>
      </c>
      <c r="R110" s="76">
        <v>0</v>
      </c>
      <c r="S110" s="76">
        <v>5582</v>
      </c>
      <c r="T110" s="76">
        <v>0</v>
      </c>
      <c r="U110" s="76">
        <v>5582</v>
      </c>
      <c r="V110" s="76">
        <v>0</v>
      </c>
      <c r="W110" s="76">
        <v>0</v>
      </c>
      <c r="X110" s="76">
        <v>0</v>
      </c>
      <c r="Y110" s="76">
        <v>0</v>
      </c>
      <c r="Z110" s="76">
        <v>5582</v>
      </c>
      <c r="AA110" s="76">
        <v>25584</v>
      </c>
      <c r="AB110" s="76">
        <v>18</v>
      </c>
      <c r="AC110" s="76">
        <v>25602</v>
      </c>
      <c r="AD110" s="76">
        <v>0</v>
      </c>
      <c r="AE110" s="76">
        <v>0</v>
      </c>
      <c r="AF110" s="76">
        <v>0</v>
      </c>
      <c r="AG110" s="76">
        <v>0</v>
      </c>
      <c r="AH110" s="76">
        <v>25602</v>
      </c>
      <c r="AI110" s="76">
        <v>2502</v>
      </c>
      <c r="AJ110" s="76">
        <v>396</v>
      </c>
      <c r="AK110" s="76">
        <v>475</v>
      </c>
      <c r="AL110" s="76">
        <v>349</v>
      </c>
      <c r="AM110" s="76">
        <v>44</v>
      </c>
      <c r="AN110" s="76">
        <v>93</v>
      </c>
      <c r="AO110" s="76">
        <v>3632</v>
      </c>
      <c r="AP110" s="76">
        <v>0</v>
      </c>
      <c r="AQ110" s="76">
        <v>223</v>
      </c>
      <c r="AR110" s="76">
        <v>7714</v>
      </c>
      <c r="AS110" s="76">
        <v>17888</v>
      </c>
      <c r="AT110" s="76">
        <v>144</v>
      </c>
      <c r="AU110" s="76">
        <v>344124</v>
      </c>
      <c r="AV110" s="76">
        <v>0</v>
      </c>
      <c r="AW110" s="76">
        <v>1830</v>
      </c>
      <c r="AX110" s="76">
        <v>0</v>
      </c>
      <c r="AY110" s="76">
        <v>0</v>
      </c>
      <c r="AZ110" s="76">
        <v>735</v>
      </c>
      <c r="BA110" s="76">
        <v>0</v>
      </c>
      <c r="BB110" s="76">
        <v>0</v>
      </c>
      <c r="BC110" s="76">
        <v>0</v>
      </c>
      <c r="BD110" s="76">
        <v>0</v>
      </c>
      <c r="BE110" s="76">
        <v>346689</v>
      </c>
      <c r="BF110" s="76">
        <v>0</v>
      </c>
      <c r="BG110" s="76">
        <v>823</v>
      </c>
      <c r="BH110" s="76">
        <v>16613</v>
      </c>
      <c r="BI110" s="76">
        <v>0</v>
      </c>
      <c r="BJ110" s="76">
        <v>0</v>
      </c>
      <c r="BK110" s="76">
        <v>17436</v>
      </c>
      <c r="BL110" s="76">
        <v>0</v>
      </c>
      <c r="BM110" s="76">
        <v>0</v>
      </c>
      <c r="BN110" s="76">
        <v>0</v>
      </c>
      <c r="BO110" s="76">
        <v>6495</v>
      </c>
      <c r="BP110" s="76">
        <v>6495</v>
      </c>
      <c r="BQ110" s="76">
        <v>10941</v>
      </c>
      <c r="BR110" s="76">
        <v>357630</v>
      </c>
      <c r="BS110" s="76">
        <v>178391</v>
      </c>
      <c r="BT110" s="76">
        <v>0</v>
      </c>
      <c r="BU110" s="76">
        <v>0</v>
      </c>
      <c r="BV110" s="76">
        <v>0</v>
      </c>
      <c r="BW110" s="76">
        <v>0</v>
      </c>
      <c r="BX110" s="76">
        <v>1308</v>
      </c>
      <c r="BY110" s="76">
        <v>89</v>
      </c>
      <c r="BZ110" s="76">
        <v>179788</v>
      </c>
      <c r="CA110" s="76">
        <v>0</v>
      </c>
      <c r="CB110" s="76">
        <v>0</v>
      </c>
      <c r="CC110" s="76">
        <v>177842</v>
      </c>
      <c r="CD110" s="76">
        <v>46330</v>
      </c>
      <c r="CE110" s="76">
        <v>131512</v>
      </c>
      <c r="CF110" s="76">
        <v>0</v>
      </c>
      <c r="CG110" s="76">
        <v>0</v>
      </c>
      <c r="CH110" s="76">
        <v>0</v>
      </c>
      <c r="CI110" s="76">
        <v>177842</v>
      </c>
      <c r="CJ110" s="76">
        <v>0</v>
      </c>
      <c r="CK110" s="76">
        <v>0</v>
      </c>
      <c r="CL110" s="76">
        <v>0</v>
      </c>
      <c r="CM110" s="76">
        <v>0</v>
      </c>
      <c r="CN110" s="76">
        <v>0</v>
      </c>
      <c r="CO110" s="76">
        <v>0</v>
      </c>
      <c r="CP110" s="76">
        <v>0</v>
      </c>
      <c r="CQ110" s="76">
        <v>0</v>
      </c>
      <c r="CR110" s="76">
        <v>0</v>
      </c>
      <c r="CS110" s="76">
        <v>0</v>
      </c>
      <c r="CT110" s="76">
        <v>0</v>
      </c>
      <c r="CU110" s="76">
        <v>0</v>
      </c>
      <c r="CV110" s="76">
        <v>0</v>
      </c>
      <c r="CW110" s="76">
        <v>0</v>
      </c>
      <c r="CX110" s="76">
        <v>0</v>
      </c>
      <c r="CY110" s="76">
        <v>0</v>
      </c>
      <c r="CZ110" s="76">
        <v>0</v>
      </c>
      <c r="DA110" s="76">
        <v>0</v>
      </c>
      <c r="DB110" s="76">
        <v>0</v>
      </c>
      <c r="DC110" s="76">
        <v>0</v>
      </c>
      <c r="DD110" s="76">
        <v>0</v>
      </c>
      <c r="DE110" s="76">
        <v>0</v>
      </c>
      <c r="DF110" s="76">
        <v>0</v>
      </c>
      <c r="DG110" s="76">
        <v>0</v>
      </c>
      <c r="DH110" s="76">
        <v>0</v>
      </c>
      <c r="DI110" s="76">
        <v>0</v>
      </c>
      <c r="DJ110" s="76">
        <v>0</v>
      </c>
      <c r="DK110" s="76">
        <v>0</v>
      </c>
      <c r="DL110" s="76">
        <v>0</v>
      </c>
      <c r="DM110" s="76">
        <v>0</v>
      </c>
      <c r="DN110" s="76">
        <v>0</v>
      </c>
      <c r="DO110" s="76">
        <v>0</v>
      </c>
      <c r="DP110" s="76">
        <v>0</v>
      </c>
      <c r="DQ110" s="76">
        <v>0</v>
      </c>
      <c r="DR110" s="76">
        <v>0</v>
      </c>
      <c r="DS110" s="76">
        <v>0</v>
      </c>
      <c r="DT110" s="76">
        <v>0</v>
      </c>
      <c r="DU110" s="76">
        <v>0</v>
      </c>
      <c r="DV110" s="76">
        <v>0</v>
      </c>
      <c r="DW110" s="76">
        <v>0</v>
      </c>
      <c r="DX110" s="76">
        <v>0</v>
      </c>
      <c r="DY110" s="76">
        <v>0</v>
      </c>
      <c r="DZ110" s="76">
        <v>0</v>
      </c>
      <c r="EA110" s="76">
        <v>0</v>
      </c>
      <c r="EB110" s="76">
        <v>30</v>
      </c>
      <c r="EC110" s="76">
        <v>0</v>
      </c>
      <c r="ED110" s="76">
        <v>11</v>
      </c>
      <c r="EE110" s="76">
        <v>19</v>
      </c>
      <c r="EF110" s="76">
        <v>30</v>
      </c>
      <c r="EG110" s="76">
        <v>0</v>
      </c>
      <c r="EH110" s="76">
        <v>11</v>
      </c>
      <c r="EI110" s="76">
        <v>19</v>
      </c>
      <c r="EJ110" s="76">
        <v>30</v>
      </c>
      <c r="EK110" s="76">
        <v>0</v>
      </c>
      <c r="EL110" s="76">
        <v>11</v>
      </c>
      <c r="EM110" s="76">
        <v>19</v>
      </c>
      <c r="EN110" s="76">
        <v>328</v>
      </c>
      <c r="EO110" s="76">
        <v>221</v>
      </c>
      <c r="EP110" s="76">
        <v>105</v>
      </c>
      <c r="EQ110" s="76">
        <v>221</v>
      </c>
      <c r="ER110" s="76">
        <v>336380</v>
      </c>
      <c r="ES110" s="76">
        <v>0</v>
      </c>
      <c r="ET110" s="76">
        <v>336380</v>
      </c>
      <c r="EU110" s="76">
        <v>18609</v>
      </c>
      <c r="EV110" s="76">
        <v>-565</v>
      </c>
      <c r="EW110" s="76">
        <v>0</v>
      </c>
      <c r="EX110" s="76">
        <v>0</v>
      </c>
      <c r="EY110" s="76">
        <v>0</v>
      </c>
      <c r="EZ110" s="76">
        <v>354424</v>
      </c>
      <c r="FA110" s="76">
        <v>6876</v>
      </c>
      <c r="FB110" s="76">
        <v>3632</v>
      </c>
      <c r="FC110" s="76">
        <v>0</v>
      </c>
      <c r="FD110" s="76">
        <v>0</v>
      </c>
      <c r="FE110" s="76">
        <v>-208</v>
      </c>
      <c r="FF110" s="76">
        <v>0</v>
      </c>
      <c r="FG110" s="76">
        <v>0</v>
      </c>
      <c r="FH110" s="76">
        <v>10300</v>
      </c>
      <c r="FI110" s="76">
        <v>344124</v>
      </c>
      <c r="FJ110" s="76">
        <v>329504</v>
      </c>
      <c r="FK110" s="76">
        <v>0</v>
      </c>
      <c r="FL110" s="76">
        <v>0</v>
      </c>
      <c r="FM110" s="76">
        <v>0</v>
      </c>
      <c r="FN110" s="76">
        <v>0</v>
      </c>
      <c r="FO110" s="76">
        <v>0</v>
      </c>
      <c r="FP110" s="76">
        <v>0</v>
      </c>
      <c r="FQ110" s="76">
        <v>0</v>
      </c>
      <c r="FR110" s="76">
        <v>0</v>
      </c>
      <c r="FS110" s="76">
        <v>0</v>
      </c>
      <c r="FT110" s="76">
        <v>0</v>
      </c>
      <c r="FU110" s="76">
        <v>0</v>
      </c>
      <c r="FV110" s="76">
        <v>0</v>
      </c>
      <c r="FW110" s="76">
        <v>0</v>
      </c>
      <c r="FX110" s="76">
        <v>0</v>
      </c>
      <c r="FY110" s="76">
        <v>0</v>
      </c>
      <c r="FZ110" s="76">
        <v>0</v>
      </c>
      <c r="GA110" s="76">
        <v>357</v>
      </c>
      <c r="GB110" s="76">
        <v>-357</v>
      </c>
      <c r="GC110" s="76">
        <v>0</v>
      </c>
      <c r="GD110" s="76">
        <v>357</v>
      </c>
      <c r="GE110" s="76">
        <v>-357</v>
      </c>
      <c r="GF110" s="76">
        <v>0</v>
      </c>
      <c r="GG110" s="76">
        <v>0</v>
      </c>
      <c r="GH110" s="76">
        <v>0</v>
      </c>
      <c r="GI110" s="76">
        <v>0</v>
      </c>
      <c r="GJ110" s="76">
        <v>0</v>
      </c>
      <c r="GK110" s="76">
        <v>0</v>
      </c>
      <c r="GL110" s="76">
        <v>0</v>
      </c>
      <c r="GM110" s="76">
        <v>13</v>
      </c>
      <c r="GN110" s="76">
        <v>1889</v>
      </c>
      <c r="GO110" s="76">
        <v>0</v>
      </c>
      <c r="GP110" s="76">
        <v>0</v>
      </c>
      <c r="GQ110" s="76">
        <v>0</v>
      </c>
      <c r="GR110" s="76">
        <v>695</v>
      </c>
      <c r="GS110" s="76">
        <v>0</v>
      </c>
      <c r="GT110" s="76">
        <v>0</v>
      </c>
      <c r="GU110" s="76">
        <v>4</v>
      </c>
      <c r="GV110" s="76">
        <v>0</v>
      </c>
      <c r="GW110" s="76">
        <v>3894</v>
      </c>
      <c r="GX110" s="76">
        <v>6495</v>
      </c>
      <c r="GY110" s="76">
        <v>0</v>
      </c>
      <c r="GZ110" s="76">
        <v>0</v>
      </c>
      <c r="HA110" s="76">
        <v>89</v>
      </c>
      <c r="HB110" s="76">
        <v>0</v>
      </c>
      <c r="HC110" s="76">
        <v>89</v>
      </c>
      <c r="HD110" s="76">
        <v>0</v>
      </c>
      <c r="HE110" s="76">
        <v>0</v>
      </c>
      <c r="HF110" s="76">
        <v>0</v>
      </c>
      <c r="HG110" s="76">
        <v>7620</v>
      </c>
      <c r="HH110" s="76">
        <v>267</v>
      </c>
      <c r="HI110" s="76">
        <v>0</v>
      </c>
      <c r="HJ110" s="76">
        <v>0</v>
      </c>
      <c r="HK110" s="76">
        <v>344</v>
      </c>
      <c r="HL110" s="76">
        <v>0</v>
      </c>
      <c r="HM110" s="76">
        <v>8231</v>
      </c>
      <c r="HN110" s="76">
        <v>797</v>
      </c>
      <c r="HO110" s="76">
        <v>3632</v>
      </c>
      <c r="HP110" s="76">
        <v>0</v>
      </c>
      <c r="HQ110" s="76">
        <v>91</v>
      </c>
      <c r="HR110" s="76">
        <v>0</v>
      </c>
      <c r="HS110" s="76">
        <v>0</v>
      </c>
      <c r="HT110" s="76">
        <v>1908</v>
      </c>
      <c r="HU110" s="76">
        <v>0</v>
      </c>
      <c r="HV110" s="76">
        <v>0</v>
      </c>
      <c r="HW110" s="76">
        <v>0</v>
      </c>
      <c r="HX110" s="76">
        <v>4</v>
      </c>
    </row>
    <row r="111" spans="1:232" x14ac:dyDescent="0.2">
      <c r="A111" s="74" t="s">
        <v>492</v>
      </c>
      <c r="B111" s="74" t="s">
        <v>491</v>
      </c>
      <c r="C111" s="75" t="s">
        <v>200</v>
      </c>
      <c r="D111" s="75">
        <v>12</v>
      </c>
      <c r="E111" s="76">
        <v>755803</v>
      </c>
      <c r="F111" s="76">
        <v>-182450</v>
      </c>
      <c r="G111" s="76">
        <v>-273879</v>
      </c>
      <c r="H111" s="76">
        <v>299474</v>
      </c>
      <c r="I111" s="76">
        <v>52369</v>
      </c>
      <c r="J111" s="76">
        <v>0</v>
      </c>
      <c r="K111" s="76">
        <v>440569</v>
      </c>
      <c r="L111" s="76">
        <v>12677</v>
      </c>
      <c r="M111" s="76">
        <v>1333</v>
      </c>
      <c r="N111" s="76">
        <v>-614571</v>
      </c>
      <c r="O111" s="76">
        <v>35641</v>
      </c>
      <c r="P111" s="76">
        <v>-3079</v>
      </c>
      <c r="Q111" s="76">
        <v>0</v>
      </c>
      <c r="R111" s="76">
        <v>0</v>
      </c>
      <c r="S111" s="76">
        <v>224413</v>
      </c>
      <c r="T111" s="76">
        <v>-5156</v>
      </c>
      <c r="U111" s="76">
        <v>219257</v>
      </c>
      <c r="V111" s="76">
        <v>0</v>
      </c>
      <c r="W111" s="76">
        <v>-3884</v>
      </c>
      <c r="X111" s="76">
        <v>159111</v>
      </c>
      <c r="Y111" s="76">
        <v>0</v>
      </c>
      <c r="Z111" s="76">
        <v>374484</v>
      </c>
      <c r="AA111" s="76">
        <v>391178</v>
      </c>
      <c r="AB111" s="76">
        <v>37528</v>
      </c>
      <c r="AC111" s="76">
        <v>428706</v>
      </c>
      <c r="AD111" s="76">
        <v>22097</v>
      </c>
      <c r="AE111" s="76">
        <v>0</v>
      </c>
      <c r="AF111" s="76">
        <v>3242</v>
      </c>
      <c r="AG111" s="76">
        <v>7962</v>
      </c>
      <c r="AH111" s="76">
        <v>462007</v>
      </c>
      <c r="AI111" s="76">
        <v>41887</v>
      </c>
      <c r="AJ111" s="76">
        <v>39114</v>
      </c>
      <c r="AK111" s="76">
        <v>52362</v>
      </c>
      <c r="AL111" s="76">
        <v>30153</v>
      </c>
      <c r="AM111" s="76">
        <v>0</v>
      </c>
      <c r="AN111" s="76">
        <v>2964</v>
      </c>
      <c r="AO111" s="76">
        <v>61703</v>
      </c>
      <c r="AP111" s="76">
        <v>0</v>
      </c>
      <c r="AQ111" s="76">
        <v>3374</v>
      </c>
      <c r="AR111" s="76">
        <v>231557</v>
      </c>
      <c r="AS111" s="76">
        <v>230450</v>
      </c>
      <c r="AT111" s="76">
        <v>3368</v>
      </c>
      <c r="AU111" s="76">
        <v>8670908</v>
      </c>
      <c r="AV111" s="76">
        <v>0</v>
      </c>
      <c r="AW111" s="76">
        <v>64533</v>
      </c>
      <c r="AX111" s="76">
        <v>13904</v>
      </c>
      <c r="AY111" s="76">
        <v>127434</v>
      </c>
      <c r="AZ111" s="76">
        <v>465830</v>
      </c>
      <c r="BA111" s="76">
        <v>392189</v>
      </c>
      <c r="BB111" s="76">
        <v>0</v>
      </c>
      <c r="BC111" s="76">
        <v>0</v>
      </c>
      <c r="BD111" s="76">
        <v>63514</v>
      </c>
      <c r="BE111" s="76">
        <v>9798312</v>
      </c>
      <c r="BF111" s="76">
        <v>1119880</v>
      </c>
      <c r="BG111" s="76">
        <v>23573</v>
      </c>
      <c r="BH111" s="76">
        <v>215108</v>
      </c>
      <c r="BI111" s="76">
        <v>0</v>
      </c>
      <c r="BJ111" s="76">
        <v>97858</v>
      </c>
      <c r="BK111" s="76">
        <v>1456419</v>
      </c>
      <c r="BL111" s="76">
        <v>49036</v>
      </c>
      <c r="BM111" s="76">
        <v>0</v>
      </c>
      <c r="BN111" s="76">
        <v>24130</v>
      </c>
      <c r="BO111" s="76">
        <v>382991</v>
      </c>
      <c r="BP111" s="76">
        <v>456157</v>
      </c>
      <c r="BQ111" s="76">
        <v>1000262</v>
      </c>
      <c r="BR111" s="76">
        <v>10798574</v>
      </c>
      <c r="BS111" s="76">
        <v>4529223</v>
      </c>
      <c r="BT111" s="76">
        <v>0</v>
      </c>
      <c r="BU111" s="76">
        <v>0</v>
      </c>
      <c r="BV111" s="76">
        <v>1667064</v>
      </c>
      <c r="BW111" s="76">
        <v>111044</v>
      </c>
      <c r="BX111" s="76">
        <v>3079</v>
      </c>
      <c r="BY111" s="76">
        <v>145738</v>
      </c>
      <c r="BZ111" s="76">
        <v>6456148</v>
      </c>
      <c r="CA111" s="76">
        <v>44697</v>
      </c>
      <c r="CB111" s="76">
        <v>66994</v>
      </c>
      <c r="CC111" s="76">
        <v>4230735</v>
      </c>
      <c r="CD111" s="76">
        <v>2344504</v>
      </c>
      <c r="CE111" s="76">
        <v>1886231</v>
      </c>
      <c r="CF111" s="76">
        <v>0</v>
      </c>
      <c r="CG111" s="76">
        <v>0</v>
      </c>
      <c r="CH111" s="76">
        <v>0</v>
      </c>
      <c r="CI111" s="76">
        <v>4230735</v>
      </c>
      <c r="CJ111" s="76">
        <v>95029</v>
      </c>
      <c r="CK111" s="76">
        <v>61275</v>
      </c>
      <c r="CL111" s="76">
        <v>1021</v>
      </c>
      <c r="CM111" s="76">
        <v>32733</v>
      </c>
      <c r="CN111" s="76">
        <v>0</v>
      </c>
      <c r="CO111" s="76">
        <v>0</v>
      </c>
      <c r="CP111" s="76">
        <v>0</v>
      </c>
      <c r="CQ111" s="76">
        <v>0</v>
      </c>
      <c r="CR111" s="76">
        <v>326</v>
      </c>
      <c r="CS111" s="76">
        <v>0</v>
      </c>
      <c r="CT111" s="76">
        <v>4029</v>
      </c>
      <c r="CU111" s="76">
        <v>-3703</v>
      </c>
      <c r="CV111" s="76">
        <v>208</v>
      </c>
      <c r="CW111" s="76">
        <v>0</v>
      </c>
      <c r="CX111" s="76">
        <v>7099</v>
      </c>
      <c r="CY111" s="76">
        <v>-6891</v>
      </c>
      <c r="CZ111" s="76">
        <v>738</v>
      </c>
      <c r="DA111" s="76">
        <v>0</v>
      </c>
      <c r="DB111" s="76">
        <v>1982</v>
      </c>
      <c r="DC111" s="76">
        <v>-1244</v>
      </c>
      <c r="DD111" s="76">
        <v>96301</v>
      </c>
      <c r="DE111" s="76">
        <v>61275</v>
      </c>
      <c r="DF111" s="76">
        <v>14131</v>
      </c>
      <c r="DG111" s="76">
        <v>20895</v>
      </c>
      <c r="DH111" s="76">
        <v>118977</v>
      </c>
      <c r="DI111" s="76">
        <v>85621</v>
      </c>
      <c r="DJ111" s="76">
        <v>2975</v>
      </c>
      <c r="DK111" s="76">
        <v>30381</v>
      </c>
      <c r="DL111" s="76">
        <v>2492</v>
      </c>
      <c r="DM111" s="76">
        <v>0</v>
      </c>
      <c r="DN111" s="76">
        <v>2216</v>
      </c>
      <c r="DO111" s="76">
        <v>276</v>
      </c>
      <c r="DP111" s="76">
        <v>0</v>
      </c>
      <c r="DQ111" s="76">
        <v>0</v>
      </c>
      <c r="DR111" s="76">
        <v>0</v>
      </c>
      <c r="DS111" s="76">
        <v>0</v>
      </c>
      <c r="DT111" s="76">
        <v>19012</v>
      </c>
      <c r="DU111" s="76">
        <v>0</v>
      </c>
      <c r="DV111" s="76">
        <v>6878</v>
      </c>
      <c r="DW111" s="76">
        <v>12134</v>
      </c>
      <c r="DX111" s="76">
        <v>0</v>
      </c>
      <c r="DY111" s="76">
        <v>0</v>
      </c>
      <c r="DZ111" s="76">
        <v>0</v>
      </c>
      <c r="EA111" s="76">
        <v>0</v>
      </c>
      <c r="EB111" s="76">
        <v>57014</v>
      </c>
      <c r="EC111" s="76">
        <v>35554</v>
      </c>
      <c r="ED111" s="76">
        <v>16123</v>
      </c>
      <c r="EE111" s="76">
        <v>5337</v>
      </c>
      <c r="EF111" s="76">
        <v>197495</v>
      </c>
      <c r="EG111" s="76">
        <v>121175</v>
      </c>
      <c r="EH111" s="76">
        <v>28192</v>
      </c>
      <c r="EI111" s="76">
        <v>48128</v>
      </c>
      <c r="EJ111" s="76">
        <v>293796</v>
      </c>
      <c r="EK111" s="76">
        <v>182450</v>
      </c>
      <c r="EL111" s="76">
        <v>42323</v>
      </c>
      <c r="EM111" s="76">
        <v>69023</v>
      </c>
      <c r="EN111" s="76">
        <v>32055</v>
      </c>
      <c r="EO111" s="76">
        <v>7074</v>
      </c>
      <c r="EP111" s="76">
        <v>8482</v>
      </c>
      <c r="EQ111" s="76">
        <v>7074</v>
      </c>
      <c r="ER111" s="76">
        <v>7447201</v>
      </c>
      <c r="ES111" s="76">
        <v>0</v>
      </c>
      <c r="ET111" s="76">
        <v>7447201</v>
      </c>
      <c r="EU111" s="76">
        <v>581371</v>
      </c>
      <c r="EV111" s="76">
        <v>-76005</v>
      </c>
      <c r="EW111" s="76">
        <v>1212883</v>
      </c>
      <c r="EX111" s="76">
        <v>0</v>
      </c>
      <c r="EY111" s="76">
        <v>-13892</v>
      </c>
      <c r="EZ111" s="76">
        <v>9151558</v>
      </c>
      <c r="FA111" s="76">
        <v>423070</v>
      </c>
      <c r="FB111" s="76">
        <v>62213</v>
      </c>
      <c r="FC111" s="76">
        <v>0</v>
      </c>
      <c r="FD111" s="76">
        <v>0</v>
      </c>
      <c r="FE111" s="76">
        <v>-5688</v>
      </c>
      <c r="FF111" s="76">
        <v>0</v>
      </c>
      <c r="FG111" s="76">
        <v>1055</v>
      </c>
      <c r="FH111" s="76">
        <v>480650</v>
      </c>
      <c r="FI111" s="76">
        <v>8670908</v>
      </c>
      <c r="FJ111" s="76">
        <v>7024131</v>
      </c>
      <c r="FK111" s="76">
        <v>47865</v>
      </c>
      <c r="FL111" s="76">
        <v>26199</v>
      </c>
      <c r="FM111" s="76">
        <v>21666</v>
      </c>
      <c r="FN111" s="76">
        <v>28666</v>
      </c>
      <c r="FO111" s="76">
        <v>13471</v>
      </c>
      <c r="FP111" s="76">
        <v>15195</v>
      </c>
      <c r="FQ111" s="76">
        <v>655</v>
      </c>
      <c r="FR111" s="76">
        <v>655</v>
      </c>
      <c r="FS111" s="76">
        <v>0</v>
      </c>
      <c r="FT111" s="76">
        <v>36551</v>
      </c>
      <c r="FU111" s="76">
        <v>20996</v>
      </c>
      <c r="FV111" s="76">
        <v>15555</v>
      </c>
      <c r="FW111" s="76">
        <v>0</v>
      </c>
      <c r="FX111" s="76">
        <v>0</v>
      </c>
      <c r="FY111" s="76">
        <v>0</v>
      </c>
      <c r="FZ111" s="76">
        <v>502</v>
      </c>
      <c r="GA111" s="76">
        <v>549</v>
      </c>
      <c r="GB111" s="76">
        <v>-47</v>
      </c>
      <c r="GC111" s="76">
        <v>114239</v>
      </c>
      <c r="GD111" s="76">
        <v>61870</v>
      </c>
      <c r="GE111" s="76">
        <v>52369</v>
      </c>
      <c r="GF111" s="76">
        <v>0</v>
      </c>
      <c r="GG111" s="76">
        <v>0</v>
      </c>
      <c r="GH111" s="76">
        <v>3563</v>
      </c>
      <c r="GI111" s="76">
        <v>0</v>
      </c>
      <c r="GJ111" s="76">
        <v>0</v>
      </c>
      <c r="GK111" s="76">
        <v>94295</v>
      </c>
      <c r="GL111" s="76">
        <v>97858</v>
      </c>
      <c r="GM111" s="76">
        <v>80268</v>
      </c>
      <c r="GN111" s="76">
        <v>0</v>
      </c>
      <c r="GO111" s="76">
        <v>0</v>
      </c>
      <c r="GP111" s="76">
        <v>0</v>
      </c>
      <c r="GQ111" s="76">
        <v>0</v>
      </c>
      <c r="GR111" s="76">
        <v>131264</v>
      </c>
      <c r="GS111" s="76">
        <v>0</v>
      </c>
      <c r="GT111" s="76">
        <v>0</v>
      </c>
      <c r="GU111" s="76">
        <v>0</v>
      </c>
      <c r="GV111" s="76">
        <v>0</v>
      </c>
      <c r="GW111" s="76">
        <v>171459</v>
      </c>
      <c r="GX111" s="76">
        <v>382991</v>
      </c>
      <c r="GY111" s="76">
        <v>78473</v>
      </c>
      <c r="GZ111" s="76">
        <v>7391</v>
      </c>
      <c r="HA111" s="76">
        <v>0</v>
      </c>
      <c r="HB111" s="76">
        <v>59874</v>
      </c>
      <c r="HC111" s="76">
        <v>145738</v>
      </c>
      <c r="HD111" s="76">
        <v>0</v>
      </c>
      <c r="HE111" s="76">
        <v>66994</v>
      </c>
      <c r="HF111" s="76">
        <v>66994</v>
      </c>
      <c r="HG111" s="76">
        <v>108818</v>
      </c>
      <c r="HH111" s="76">
        <v>3288</v>
      </c>
      <c r="HI111" s="76">
        <v>0</v>
      </c>
      <c r="HJ111" s="76">
        <v>0</v>
      </c>
      <c r="HK111" s="76">
        <v>541406</v>
      </c>
      <c r="HL111" s="76">
        <v>-38941</v>
      </c>
      <c r="HM111" s="76">
        <v>614571</v>
      </c>
      <c r="HN111" s="76">
        <v>40350</v>
      </c>
      <c r="HO111" s="76">
        <v>62213</v>
      </c>
      <c r="HP111" s="76">
        <v>0</v>
      </c>
      <c r="HQ111" s="76">
        <v>1563</v>
      </c>
      <c r="HR111" s="76">
        <v>-520</v>
      </c>
      <c r="HS111" s="76">
        <v>13532</v>
      </c>
      <c r="HT111" s="76">
        <v>78179</v>
      </c>
      <c r="HU111" s="76">
        <v>1203</v>
      </c>
      <c r="HV111" s="76">
        <v>0</v>
      </c>
      <c r="HW111" s="76">
        <v>1723</v>
      </c>
      <c r="HX111" s="76">
        <v>12392</v>
      </c>
    </row>
    <row r="112" spans="1:232" x14ac:dyDescent="0.2">
      <c r="A112" s="74" t="s">
        <v>493</v>
      </c>
      <c r="B112" s="74" t="s">
        <v>494</v>
      </c>
      <c r="C112" s="75" t="s">
        <v>200</v>
      </c>
      <c r="D112" s="75">
        <v>12</v>
      </c>
      <c r="E112" s="76">
        <v>110843</v>
      </c>
      <c r="F112" s="76">
        <v>-9543</v>
      </c>
      <c r="G112" s="76">
        <v>-60971</v>
      </c>
      <c r="H112" s="76">
        <v>40329</v>
      </c>
      <c r="I112" s="76">
        <v>939</v>
      </c>
      <c r="J112" s="76">
        <v>0</v>
      </c>
      <c r="K112" s="76">
        <v>0</v>
      </c>
      <c r="L112" s="76">
        <v>0</v>
      </c>
      <c r="M112" s="76">
        <v>24</v>
      </c>
      <c r="N112" s="76">
        <v>-24139</v>
      </c>
      <c r="O112" s="76">
        <v>18</v>
      </c>
      <c r="P112" s="76">
        <v>0</v>
      </c>
      <c r="Q112" s="76">
        <v>0</v>
      </c>
      <c r="R112" s="76">
        <v>0</v>
      </c>
      <c r="S112" s="76">
        <v>17171</v>
      </c>
      <c r="T112" s="76">
        <v>-146</v>
      </c>
      <c r="U112" s="76">
        <v>17025</v>
      </c>
      <c r="V112" s="76">
        <v>0</v>
      </c>
      <c r="W112" s="76">
        <v>-508</v>
      </c>
      <c r="X112" s="76">
        <v>0</v>
      </c>
      <c r="Y112" s="76">
        <v>0</v>
      </c>
      <c r="Z112" s="76">
        <v>16517</v>
      </c>
      <c r="AA112" s="76">
        <v>77439</v>
      </c>
      <c r="AB112" s="76">
        <v>4917</v>
      </c>
      <c r="AC112" s="76">
        <v>82356</v>
      </c>
      <c r="AD112" s="76">
        <v>2286</v>
      </c>
      <c r="AE112" s="76">
        <v>0</v>
      </c>
      <c r="AF112" s="76">
        <v>3582</v>
      </c>
      <c r="AG112" s="76">
        <v>166</v>
      </c>
      <c r="AH112" s="76">
        <v>88390</v>
      </c>
      <c r="AI112" s="76">
        <v>12976</v>
      </c>
      <c r="AJ112" s="76">
        <v>10030</v>
      </c>
      <c r="AK112" s="76">
        <v>9802</v>
      </c>
      <c r="AL112" s="76">
        <v>4174</v>
      </c>
      <c r="AM112" s="76">
        <v>2067</v>
      </c>
      <c r="AN112" s="76">
        <v>532</v>
      </c>
      <c r="AO112" s="76">
        <v>12912</v>
      </c>
      <c r="AP112" s="76">
        <v>242</v>
      </c>
      <c r="AQ112" s="76">
        <v>66</v>
      </c>
      <c r="AR112" s="76">
        <v>52801</v>
      </c>
      <c r="AS112" s="76">
        <v>35589</v>
      </c>
      <c r="AT112" s="76">
        <v>972</v>
      </c>
      <c r="AU112" s="76">
        <v>912221</v>
      </c>
      <c r="AV112" s="76">
        <v>0</v>
      </c>
      <c r="AW112" s="76">
        <v>14716</v>
      </c>
      <c r="AX112" s="76">
        <v>0</v>
      </c>
      <c r="AY112" s="76">
        <v>0</v>
      </c>
      <c r="AZ112" s="76">
        <v>5448</v>
      </c>
      <c r="BA112" s="76">
        <v>0</v>
      </c>
      <c r="BB112" s="76">
        <v>0</v>
      </c>
      <c r="BC112" s="76">
        <v>0</v>
      </c>
      <c r="BD112" s="76">
        <v>0</v>
      </c>
      <c r="BE112" s="76">
        <v>932385</v>
      </c>
      <c r="BF112" s="76">
        <v>27348</v>
      </c>
      <c r="BG112" s="76">
        <v>1487</v>
      </c>
      <c r="BH112" s="76">
        <v>10226</v>
      </c>
      <c r="BI112" s="76">
        <v>0</v>
      </c>
      <c r="BJ112" s="76">
        <v>2928</v>
      </c>
      <c r="BK112" s="76">
        <v>41989</v>
      </c>
      <c r="BL112" s="76">
        <v>8455</v>
      </c>
      <c r="BM112" s="76">
        <v>0</v>
      </c>
      <c r="BN112" s="76">
        <v>2270</v>
      </c>
      <c r="BO112" s="76">
        <v>20579</v>
      </c>
      <c r="BP112" s="76">
        <v>31304</v>
      </c>
      <c r="BQ112" s="76">
        <v>10685</v>
      </c>
      <c r="BR112" s="76">
        <v>943070</v>
      </c>
      <c r="BS112" s="76">
        <v>456998</v>
      </c>
      <c r="BT112" s="76">
        <v>0</v>
      </c>
      <c r="BU112" s="76">
        <v>0</v>
      </c>
      <c r="BV112" s="76">
        <v>226734</v>
      </c>
      <c r="BW112" s="76">
        <v>0</v>
      </c>
      <c r="BX112" s="76">
        <v>32313</v>
      </c>
      <c r="BY112" s="76">
        <v>11890</v>
      </c>
      <c r="BZ112" s="76">
        <v>727935</v>
      </c>
      <c r="CA112" s="76">
        <v>3505</v>
      </c>
      <c r="CB112" s="76">
        <v>0</v>
      </c>
      <c r="CC112" s="76">
        <v>211630</v>
      </c>
      <c r="CD112" s="76">
        <v>103563</v>
      </c>
      <c r="CE112" s="76">
        <v>139502</v>
      </c>
      <c r="CF112" s="76">
        <v>1000</v>
      </c>
      <c r="CG112" s="76">
        <v>-32435</v>
      </c>
      <c r="CH112" s="76">
        <v>0</v>
      </c>
      <c r="CI112" s="76">
        <v>211630</v>
      </c>
      <c r="CJ112" s="76">
        <v>9405</v>
      </c>
      <c r="CK112" s="76">
        <v>6596</v>
      </c>
      <c r="CL112" s="76">
        <v>0</v>
      </c>
      <c r="CM112" s="76">
        <v>2809</v>
      </c>
      <c r="CN112" s="76">
        <v>3328</v>
      </c>
      <c r="CO112" s="76">
        <v>0</v>
      </c>
      <c r="CP112" s="76">
        <v>3133</v>
      </c>
      <c r="CQ112" s="76">
        <v>195</v>
      </c>
      <c r="CR112" s="76">
        <v>1348</v>
      </c>
      <c r="CS112" s="76">
        <v>0</v>
      </c>
      <c r="CT112" s="76">
        <v>1157</v>
      </c>
      <c r="CU112" s="76">
        <v>191</v>
      </c>
      <c r="CV112" s="76">
        <v>0</v>
      </c>
      <c r="CW112" s="76">
        <v>0</v>
      </c>
      <c r="CX112" s="76">
        <v>0</v>
      </c>
      <c r="CY112" s="76">
        <v>0</v>
      </c>
      <c r="CZ112" s="76">
        <v>2958</v>
      </c>
      <c r="DA112" s="76">
        <v>0</v>
      </c>
      <c r="DB112" s="76">
        <v>2313</v>
      </c>
      <c r="DC112" s="76">
        <v>645</v>
      </c>
      <c r="DD112" s="76">
        <v>17039</v>
      </c>
      <c r="DE112" s="76">
        <v>6596</v>
      </c>
      <c r="DF112" s="76">
        <v>6603</v>
      </c>
      <c r="DG112" s="76">
        <v>3840</v>
      </c>
      <c r="DH112" s="76">
        <v>3530</v>
      </c>
      <c r="DI112" s="76">
        <v>2947</v>
      </c>
      <c r="DJ112" s="76">
        <v>0</v>
      </c>
      <c r="DK112" s="76">
        <v>583</v>
      </c>
      <c r="DL112" s="76">
        <v>0</v>
      </c>
      <c r="DM112" s="76">
        <v>0</v>
      </c>
      <c r="DN112" s="76">
        <v>0</v>
      </c>
      <c r="DO112" s="76">
        <v>0</v>
      </c>
      <c r="DP112" s="76">
        <v>0</v>
      </c>
      <c r="DQ112" s="76">
        <v>0</v>
      </c>
      <c r="DR112" s="76">
        <v>0</v>
      </c>
      <c r="DS112" s="76">
        <v>0</v>
      </c>
      <c r="DT112" s="76">
        <v>365</v>
      </c>
      <c r="DU112" s="76">
        <v>0</v>
      </c>
      <c r="DV112" s="76">
        <v>41</v>
      </c>
      <c r="DW112" s="76">
        <v>324</v>
      </c>
      <c r="DX112" s="76">
        <v>0</v>
      </c>
      <c r="DY112" s="76">
        <v>0</v>
      </c>
      <c r="DZ112" s="76">
        <v>0</v>
      </c>
      <c r="EA112" s="76">
        <v>0</v>
      </c>
      <c r="EB112" s="76">
        <v>1519</v>
      </c>
      <c r="EC112" s="76">
        <v>0</v>
      </c>
      <c r="ED112" s="76">
        <v>1526</v>
      </c>
      <c r="EE112" s="76">
        <v>-7</v>
      </c>
      <c r="EF112" s="76">
        <v>5414</v>
      </c>
      <c r="EG112" s="76">
        <v>2947</v>
      </c>
      <c r="EH112" s="76">
        <v>1567</v>
      </c>
      <c r="EI112" s="76">
        <v>900</v>
      </c>
      <c r="EJ112" s="76">
        <v>22453</v>
      </c>
      <c r="EK112" s="76">
        <v>9543</v>
      </c>
      <c r="EL112" s="76">
        <v>8170</v>
      </c>
      <c r="EM112" s="76">
        <v>4740</v>
      </c>
      <c r="EN112" s="76">
        <v>2148</v>
      </c>
      <c r="EO112" s="76">
        <v>927</v>
      </c>
      <c r="EP112" s="76">
        <v>669</v>
      </c>
      <c r="EQ112" s="76">
        <v>919</v>
      </c>
      <c r="ER112" s="76">
        <v>846789</v>
      </c>
      <c r="ES112" s="76">
        <v>140757</v>
      </c>
      <c r="ET112" s="76">
        <v>987546</v>
      </c>
      <c r="EU112" s="76">
        <v>39587</v>
      </c>
      <c r="EV112" s="76">
        <v>-8144</v>
      </c>
      <c r="EW112" s="76">
        <v>0</v>
      </c>
      <c r="EX112" s="76">
        <v>0</v>
      </c>
      <c r="EY112" s="76">
        <v>-997</v>
      </c>
      <c r="EZ112" s="76">
        <v>1017992</v>
      </c>
      <c r="FA112" s="76">
        <v>95081</v>
      </c>
      <c r="FB112" s="76">
        <v>11987</v>
      </c>
      <c r="FC112" s="76">
        <v>80</v>
      </c>
      <c r="FD112" s="76">
        <v>0</v>
      </c>
      <c r="FE112" s="76">
        <v>-1377</v>
      </c>
      <c r="FF112" s="76">
        <v>0</v>
      </c>
      <c r="FG112" s="76">
        <v>0</v>
      </c>
      <c r="FH112" s="76">
        <v>105771</v>
      </c>
      <c r="FI112" s="76">
        <v>912221</v>
      </c>
      <c r="FJ112" s="76">
        <v>892465</v>
      </c>
      <c r="FK112" s="76">
        <v>4028</v>
      </c>
      <c r="FL112" s="76">
        <v>3039</v>
      </c>
      <c r="FM112" s="76">
        <v>989</v>
      </c>
      <c r="FN112" s="76">
        <v>1948</v>
      </c>
      <c r="FO112" s="76">
        <v>2101</v>
      </c>
      <c r="FP112" s="76">
        <v>-153</v>
      </c>
      <c r="FQ112" s="76">
        <v>0</v>
      </c>
      <c r="FR112" s="76">
        <v>0</v>
      </c>
      <c r="FS112" s="76">
        <v>0</v>
      </c>
      <c r="FT112" s="76">
        <v>468</v>
      </c>
      <c r="FU112" s="76">
        <v>365</v>
      </c>
      <c r="FV112" s="76">
        <v>103</v>
      </c>
      <c r="FW112" s="76">
        <v>0</v>
      </c>
      <c r="FX112" s="76">
        <v>0</v>
      </c>
      <c r="FY112" s="76">
        <v>0</v>
      </c>
      <c r="FZ112" s="76">
        <v>0</v>
      </c>
      <c r="GA112" s="76">
        <v>0</v>
      </c>
      <c r="GB112" s="76">
        <v>0</v>
      </c>
      <c r="GC112" s="76">
        <v>6444</v>
      </c>
      <c r="GD112" s="76">
        <v>5505</v>
      </c>
      <c r="GE112" s="76">
        <v>939</v>
      </c>
      <c r="GF112" s="76">
        <v>0</v>
      </c>
      <c r="GG112" s="76">
        <v>0</v>
      </c>
      <c r="GH112" s="76">
        <v>222</v>
      </c>
      <c r="GI112" s="76">
        <v>0</v>
      </c>
      <c r="GJ112" s="76">
        <v>0</v>
      </c>
      <c r="GK112" s="76">
        <v>2706</v>
      </c>
      <c r="GL112" s="76">
        <v>2928</v>
      </c>
      <c r="GM112" s="76">
        <v>1727</v>
      </c>
      <c r="GN112" s="76">
        <v>2416</v>
      </c>
      <c r="GO112" s="76">
        <v>0</v>
      </c>
      <c r="GP112" s="76">
        <v>827</v>
      </c>
      <c r="GQ112" s="76">
        <v>109</v>
      </c>
      <c r="GR112" s="76">
        <v>5887</v>
      </c>
      <c r="GS112" s="76">
        <v>0</v>
      </c>
      <c r="GT112" s="76">
        <v>0</v>
      </c>
      <c r="GU112" s="76">
        <v>1619</v>
      </c>
      <c r="GV112" s="76">
        <v>0</v>
      </c>
      <c r="GW112" s="76">
        <v>7994</v>
      </c>
      <c r="GX112" s="76">
        <v>20579</v>
      </c>
      <c r="GY112" s="76">
        <v>1277</v>
      </c>
      <c r="GZ112" s="76">
        <v>1</v>
      </c>
      <c r="HA112" s="76">
        <v>10612</v>
      </c>
      <c r="HB112" s="76">
        <v>0</v>
      </c>
      <c r="HC112" s="76">
        <v>11890</v>
      </c>
      <c r="HD112" s="76">
        <v>0</v>
      </c>
      <c r="HE112" s="76">
        <v>0</v>
      </c>
      <c r="HF112" s="76">
        <v>0</v>
      </c>
      <c r="HG112" s="76">
        <v>24629</v>
      </c>
      <c r="HH112" s="76">
        <v>1314</v>
      </c>
      <c r="HI112" s="76">
        <v>360</v>
      </c>
      <c r="HJ112" s="76">
        <v>0</v>
      </c>
      <c r="HK112" s="76">
        <v>0</v>
      </c>
      <c r="HL112" s="76">
        <v>-2164</v>
      </c>
      <c r="HM112" s="76">
        <v>24139</v>
      </c>
      <c r="HN112" s="76">
        <v>7615</v>
      </c>
      <c r="HO112" s="76">
        <v>13585</v>
      </c>
      <c r="HP112" s="76">
        <v>242</v>
      </c>
      <c r="HQ112" s="76">
        <v>399</v>
      </c>
      <c r="HR112" s="76">
        <v>-116</v>
      </c>
      <c r="HS112" s="76">
        <v>138</v>
      </c>
      <c r="HT112" s="76">
        <v>19111</v>
      </c>
      <c r="HU112" s="76">
        <v>0</v>
      </c>
      <c r="HV112" s="76">
        <v>0</v>
      </c>
      <c r="HW112" s="76">
        <v>0</v>
      </c>
      <c r="HX112" s="76">
        <v>47</v>
      </c>
    </row>
    <row r="113" spans="1:232" x14ac:dyDescent="0.2">
      <c r="A113" s="74" t="s">
        <v>495</v>
      </c>
      <c r="B113" s="74" t="s">
        <v>496</v>
      </c>
      <c r="C113" s="75" t="s">
        <v>200</v>
      </c>
      <c r="D113" s="75">
        <v>12</v>
      </c>
      <c r="E113" s="76">
        <v>52852</v>
      </c>
      <c r="F113" s="76">
        <v>0</v>
      </c>
      <c r="G113" s="76">
        <v>-52468</v>
      </c>
      <c r="H113" s="76">
        <v>384</v>
      </c>
      <c r="I113" s="76">
        <v>244</v>
      </c>
      <c r="J113" s="76">
        <v>0</v>
      </c>
      <c r="K113" s="76">
        <v>-308</v>
      </c>
      <c r="L113" s="76">
        <v>0</v>
      </c>
      <c r="M113" s="76">
        <v>746</v>
      </c>
      <c r="N113" s="76">
        <v>-335</v>
      </c>
      <c r="O113" s="76">
        <v>328</v>
      </c>
      <c r="P113" s="76">
        <v>3215</v>
      </c>
      <c r="Q113" s="76">
        <v>0</v>
      </c>
      <c r="R113" s="76">
        <v>0</v>
      </c>
      <c r="S113" s="76">
        <v>4274</v>
      </c>
      <c r="T113" s="76">
        <v>0</v>
      </c>
      <c r="U113" s="76">
        <v>4274</v>
      </c>
      <c r="V113" s="76">
        <v>0</v>
      </c>
      <c r="W113" s="76">
        <v>0</v>
      </c>
      <c r="X113" s="76">
        <v>0</v>
      </c>
      <c r="Y113" s="76">
        <v>0</v>
      </c>
      <c r="Z113" s="76">
        <v>4274</v>
      </c>
      <c r="AA113" s="76">
        <v>12498</v>
      </c>
      <c r="AB113" s="76">
        <v>8637</v>
      </c>
      <c r="AC113" s="76">
        <v>21135</v>
      </c>
      <c r="AD113" s="76">
        <v>895</v>
      </c>
      <c r="AE113" s="76">
        <v>0</v>
      </c>
      <c r="AF113" s="76">
        <v>0</v>
      </c>
      <c r="AG113" s="76">
        <v>0</v>
      </c>
      <c r="AH113" s="76">
        <v>22030</v>
      </c>
      <c r="AI113" s="76">
        <v>9402</v>
      </c>
      <c r="AJ113" s="76">
        <v>7596</v>
      </c>
      <c r="AK113" s="76">
        <v>1879</v>
      </c>
      <c r="AL113" s="76">
        <v>0</v>
      </c>
      <c r="AM113" s="76">
        <v>437</v>
      </c>
      <c r="AN113" s="76">
        <v>1121</v>
      </c>
      <c r="AO113" s="76">
        <v>992</v>
      </c>
      <c r="AP113" s="76">
        <v>0</v>
      </c>
      <c r="AQ113" s="76">
        <v>0</v>
      </c>
      <c r="AR113" s="76">
        <v>21427</v>
      </c>
      <c r="AS113" s="76">
        <v>603</v>
      </c>
      <c r="AT113" s="76">
        <v>770</v>
      </c>
      <c r="AU113" s="76">
        <v>113653</v>
      </c>
      <c r="AV113" s="76">
        <v>0</v>
      </c>
      <c r="AW113" s="76">
        <v>3716</v>
      </c>
      <c r="AX113" s="76">
        <v>441</v>
      </c>
      <c r="AY113" s="76">
        <v>0</v>
      </c>
      <c r="AZ113" s="76">
        <v>3506</v>
      </c>
      <c r="BA113" s="76">
        <v>0</v>
      </c>
      <c r="BB113" s="76">
        <v>0</v>
      </c>
      <c r="BC113" s="76">
        <v>0</v>
      </c>
      <c r="BD113" s="76">
        <v>49011</v>
      </c>
      <c r="BE113" s="76">
        <v>170327</v>
      </c>
      <c r="BF113" s="76">
        <v>0</v>
      </c>
      <c r="BG113" s="76">
        <v>5220</v>
      </c>
      <c r="BH113" s="76">
        <v>1886</v>
      </c>
      <c r="BI113" s="76">
        <v>0</v>
      </c>
      <c r="BJ113" s="76">
        <v>1570</v>
      </c>
      <c r="BK113" s="76">
        <v>8676</v>
      </c>
      <c r="BL113" s="76">
        <v>386</v>
      </c>
      <c r="BM113" s="76">
        <v>0</v>
      </c>
      <c r="BN113" s="76">
        <v>894</v>
      </c>
      <c r="BO113" s="76">
        <v>13074</v>
      </c>
      <c r="BP113" s="76">
        <v>14354</v>
      </c>
      <c r="BQ113" s="76">
        <v>-5678</v>
      </c>
      <c r="BR113" s="76">
        <v>164649</v>
      </c>
      <c r="BS113" s="76">
        <v>5995</v>
      </c>
      <c r="BT113" s="76">
        <v>0</v>
      </c>
      <c r="BU113" s="76">
        <v>0</v>
      </c>
      <c r="BV113" s="76">
        <v>74202</v>
      </c>
      <c r="BW113" s="76">
        <v>0</v>
      </c>
      <c r="BX113" s="76">
        <v>0</v>
      </c>
      <c r="BY113" s="76">
        <v>8285</v>
      </c>
      <c r="BZ113" s="76">
        <v>88482</v>
      </c>
      <c r="CA113" s="76">
        <v>0</v>
      </c>
      <c r="CB113" s="76">
        <v>0</v>
      </c>
      <c r="CC113" s="76">
        <v>76167</v>
      </c>
      <c r="CD113" s="76">
        <v>75960</v>
      </c>
      <c r="CE113" s="76">
        <v>0</v>
      </c>
      <c r="CF113" s="76">
        <v>207</v>
      </c>
      <c r="CG113" s="76">
        <v>0</v>
      </c>
      <c r="CH113" s="76">
        <v>0</v>
      </c>
      <c r="CI113" s="76">
        <v>76167</v>
      </c>
      <c r="CJ113" s="76">
        <v>0</v>
      </c>
      <c r="CK113" s="76">
        <v>0</v>
      </c>
      <c r="CL113" s="76">
        <v>0</v>
      </c>
      <c r="CM113" s="76">
        <v>0</v>
      </c>
      <c r="CN113" s="76">
        <v>30400</v>
      </c>
      <c r="CO113" s="76">
        <v>0</v>
      </c>
      <c r="CP113" s="76">
        <v>30979</v>
      </c>
      <c r="CQ113" s="76">
        <v>-579</v>
      </c>
      <c r="CR113" s="76">
        <v>0</v>
      </c>
      <c r="CS113" s="76">
        <v>0</v>
      </c>
      <c r="CT113" s="76">
        <v>0</v>
      </c>
      <c r="CU113" s="76">
        <v>0</v>
      </c>
      <c r="CV113" s="76">
        <v>0</v>
      </c>
      <c r="CW113" s="76">
        <v>0</v>
      </c>
      <c r="CX113" s="76">
        <v>0</v>
      </c>
      <c r="CY113" s="76">
        <v>0</v>
      </c>
      <c r="CZ113" s="76">
        <v>0</v>
      </c>
      <c r="DA113" s="76">
        <v>0</v>
      </c>
      <c r="DB113" s="76">
        <v>0</v>
      </c>
      <c r="DC113" s="76">
        <v>0</v>
      </c>
      <c r="DD113" s="76">
        <v>30400</v>
      </c>
      <c r="DE113" s="76">
        <v>0</v>
      </c>
      <c r="DF113" s="76">
        <v>30979</v>
      </c>
      <c r="DG113" s="76">
        <v>-579</v>
      </c>
      <c r="DH113" s="76">
        <v>0</v>
      </c>
      <c r="DI113" s="76">
        <v>0</v>
      </c>
      <c r="DJ113" s="76">
        <v>0</v>
      </c>
      <c r="DK113" s="76">
        <v>0</v>
      </c>
      <c r="DL113" s="76">
        <v>0</v>
      </c>
      <c r="DM113" s="76">
        <v>0</v>
      </c>
      <c r="DN113" s="76">
        <v>0</v>
      </c>
      <c r="DO113" s="76">
        <v>0</v>
      </c>
      <c r="DP113" s="76">
        <v>0</v>
      </c>
      <c r="DQ113" s="76">
        <v>0</v>
      </c>
      <c r="DR113" s="76">
        <v>0</v>
      </c>
      <c r="DS113" s="76">
        <v>0</v>
      </c>
      <c r="DT113" s="76">
        <v>0</v>
      </c>
      <c r="DU113" s="76">
        <v>0</v>
      </c>
      <c r="DV113" s="76">
        <v>0</v>
      </c>
      <c r="DW113" s="76">
        <v>0</v>
      </c>
      <c r="DX113" s="76">
        <v>0</v>
      </c>
      <c r="DY113" s="76">
        <v>0</v>
      </c>
      <c r="DZ113" s="76">
        <v>0</v>
      </c>
      <c r="EA113" s="76">
        <v>0</v>
      </c>
      <c r="EB113" s="76">
        <v>422</v>
      </c>
      <c r="EC113" s="76">
        <v>0</v>
      </c>
      <c r="ED113" s="76">
        <v>62</v>
      </c>
      <c r="EE113" s="76">
        <v>360</v>
      </c>
      <c r="EF113" s="76">
        <v>422</v>
      </c>
      <c r="EG113" s="76">
        <v>0</v>
      </c>
      <c r="EH113" s="76">
        <v>62</v>
      </c>
      <c r="EI113" s="76">
        <v>360</v>
      </c>
      <c r="EJ113" s="76">
        <v>30822</v>
      </c>
      <c r="EK113" s="76">
        <v>0</v>
      </c>
      <c r="EL113" s="76">
        <v>31041</v>
      </c>
      <c r="EM113" s="76">
        <v>-219</v>
      </c>
      <c r="EN113" s="76">
        <v>1585</v>
      </c>
      <c r="EO113" s="76">
        <v>2191</v>
      </c>
      <c r="EP113" s="76">
        <v>92</v>
      </c>
      <c r="EQ113" s="76">
        <v>2191</v>
      </c>
      <c r="ER113" s="76">
        <v>129578</v>
      </c>
      <c r="ES113" s="76">
        <v>0</v>
      </c>
      <c r="ET113" s="76">
        <v>129578</v>
      </c>
      <c r="EU113" s="76">
        <v>1519</v>
      </c>
      <c r="EV113" s="76">
        <v>-3950</v>
      </c>
      <c r="EW113" s="76">
        <v>0</v>
      </c>
      <c r="EX113" s="76">
        <v>0</v>
      </c>
      <c r="EY113" s="76">
        <v>0</v>
      </c>
      <c r="EZ113" s="76">
        <v>127147</v>
      </c>
      <c r="FA113" s="76">
        <v>12729</v>
      </c>
      <c r="FB113" s="76">
        <v>1033</v>
      </c>
      <c r="FC113" s="76">
        <v>0</v>
      </c>
      <c r="FD113" s="76">
        <v>0</v>
      </c>
      <c r="FE113" s="76">
        <v>-268</v>
      </c>
      <c r="FF113" s="76">
        <v>0</v>
      </c>
      <c r="FG113" s="76">
        <v>0</v>
      </c>
      <c r="FH113" s="76">
        <v>13494</v>
      </c>
      <c r="FI113" s="76">
        <v>113653</v>
      </c>
      <c r="FJ113" s="76">
        <v>116849</v>
      </c>
      <c r="FK113" s="76">
        <v>0</v>
      </c>
      <c r="FL113" s="76">
        <v>0</v>
      </c>
      <c r="FM113" s="76">
        <v>0</v>
      </c>
      <c r="FN113" s="76">
        <v>0</v>
      </c>
      <c r="FO113" s="76">
        <v>0</v>
      </c>
      <c r="FP113" s="76">
        <v>0</v>
      </c>
      <c r="FQ113" s="76">
        <v>0</v>
      </c>
      <c r="FR113" s="76">
        <v>0</v>
      </c>
      <c r="FS113" s="76">
        <v>0</v>
      </c>
      <c r="FT113" s="76">
        <v>390</v>
      </c>
      <c r="FU113" s="76">
        <v>227</v>
      </c>
      <c r="FV113" s="76">
        <v>163</v>
      </c>
      <c r="FW113" s="76">
        <v>4100</v>
      </c>
      <c r="FX113" s="76">
        <v>4019</v>
      </c>
      <c r="FY113" s="76">
        <v>81</v>
      </c>
      <c r="FZ113" s="76">
        <v>0</v>
      </c>
      <c r="GA113" s="76">
        <v>0</v>
      </c>
      <c r="GB113" s="76">
        <v>0</v>
      </c>
      <c r="GC113" s="76">
        <v>4490</v>
      </c>
      <c r="GD113" s="76">
        <v>4246</v>
      </c>
      <c r="GE113" s="76">
        <v>244</v>
      </c>
      <c r="GF113" s="76">
        <v>0</v>
      </c>
      <c r="GG113" s="76">
        <v>0</v>
      </c>
      <c r="GH113" s="76">
        <v>0</v>
      </c>
      <c r="GI113" s="76">
        <v>0</v>
      </c>
      <c r="GJ113" s="76">
        <v>0</v>
      </c>
      <c r="GK113" s="76">
        <v>1570</v>
      </c>
      <c r="GL113" s="76">
        <v>1570</v>
      </c>
      <c r="GM113" s="76">
        <v>3411</v>
      </c>
      <c r="GN113" s="76">
        <v>0</v>
      </c>
      <c r="GO113" s="76">
        <v>0</v>
      </c>
      <c r="GP113" s="76">
        <v>827</v>
      </c>
      <c r="GQ113" s="76">
        <v>0</v>
      </c>
      <c r="GR113" s="76">
        <v>4321</v>
      </c>
      <c r="GS113" s="76">
        <v>0</v>
      </c>
      <c r="GT113" s="76">
        <v>0</v>
      </c>
      <c r="GU113" s="76">
        <v>1273</v>
      </c>
      <c r="GV113" s="76">
        <v>0</v>
      </c>
      <c r="GW113" s="76">
        <v>3242</v>
      </c>
      <c r="GX113" s="76">
        <v>13074</v>
      </c>
      <c r="GY113" s="76">
        <v>638</v>
      </c>
      <c r="GZ113" s="76">
        <v>0</v>
      </c>
      <c r="HA113" s="76">
        <v>7647</v>
      </c>
      <c r="HB113" s="76">
        <v>0</v>
      </c>
      <c r="HC113" s="76">
        <v>8285</v>
      </c>
      <c r="HD113" s="76">
        <v>0</v>
      </c>
      <c r="HE113" s="76">
        <v>0</v>
      </c>
      <c r="HF113" s="76">
        <v>0</v>
      </c>
      <c r="HG113" s="76">
        <v>106</v>
      </c>
      <c r="HH113" s="76">
        <v>0</v>
      </c>
      <c r="HI113" s="76">
        <v>229</v>
      </c>
      <c r="HJ113" s="76">
        <v>0</v>
      </c>
      <c r="HK113" s="76">
        <v>0</v>
      </c>
      <c r="HL113" s="76">
        <v>0</v>
      </c>
      <c r="HM113" s="76">
        <v>335</v>
      </c>
      <c r="HN113" s="76">
        <v>1519</v>
      </c>
      <c r="HO113" s="76">
        <v>2015</v>
      </c>
      <c r="HP113" s="76">
        <v>0</v>
      </c>
      <c r="HQ113" s="76">
        <v>5</v>
      </c>
      <c r="HR113" s="76">
        <v>-60</v>
      </c>
      <c r="HS113" s="76">
        <v>-122</v>
      </c>
      <c r="HT113" s="76">
        <v>2352</v>
      </c>
      <c r="HU113" s="76">
        <v>0</v>
      </c>
      <c r="HV113" s="76">
        <v>0</v>
      </c>
      <c r="HW113" s="76">
        <v>0</v>
      </c>
      <c r="HX113" s="76">
        <v>0</v>
      </c>
    </row>
    <row r="114" spans="1:232" x14ac:dyDescent="0.2">
      <c r="A114" s="74" t="s">
        <v>498</v>
      </c>
      <c r="B114" s="74" t="s">
        <v>499</v>
      </c>
      <c r="C114" s="75" t="s">
        <v>200</v>
      </c>
      <c r="D114" s="75">
        <v>12</v>
      </c>
      <c r="E114" s="76">
        <v>68369</v>
      </c>
      <c r="F114" s="76">
        <v>-31466</v>
      </c>
      <c r="G114" s="76">
        <v>-26973</v>
      </c>
      <c r="H114" s="76">
        <v>9930</v>
      </c>
      <c r="I114" s="76">
        <v>1591</v>
      </c>
      <c r="J114" s="76">
        <v>0</v>
      </c>
      <c r="K114" s="76">
        <v>-47800</v>
      </c>
      <c r="L114" s="76">
        <v>0</v>
      </c>
      <c r="M114" s="76">
        <v>538</v>
      </c>
      <c r="N114" s="76">
        <v>-16984</v>
      </c>
      <c r="O114" s="76">
        <v>-9</v>
      </c>
      <c r="P114" s="76">
        <v>0</v>
      </c>
      <c r="Q114" s="76">
        <v>0</v>
      </c>
      <c r="R114" s="76">
        <v>0</v>
      </c>
      <c r="S114" s="76">
        <v>-52734</v>
      </c>
      <c r="T114" s="76">
        <v>-41</v>
      </c>
      <c r="U114" s="76">
        <v>-52775</v>
      </c>
      <c r="V114" s="76">
        <v>0</v>
      </c>
      <c r="W114" s="76">
        <v>221</v>
      </c>
      <c r="X114" s="76">
        <v>0</v>
      </c>
      <c r="Y114" s="76">
        <v>0</v>
      </c>
      <c r="Z114" s="76">
        <v>-52554</v>
      </c>
      <c r="AA114" s="76">
        <v>30719</v>
      </c>
      <c r="AB114" s="76">
        <v>3344</v>
      </c>
      <c r="AC114" s="76">
        <v>34063</v>
      </c>
      <c r="AD114" s="76">
        <v>17</v>
      </c>
      <c r="AE114" s="76">
        <v>0</v>
      </c>
      <c r="AF114" s="76">
        <v>0</v>
      </c>
      <c r="AG114" s="76">
        <v>14</v>
      </c>
      <c r="AH114" s="76">
        <v>34094</v>
      </c>
      <c r="AI114" s="76">
        <v>3607</v>
      </c>
      <c r="AJ114" s="76">
        <v>3846</v>
      </c>
      <c r="AK114" s="76">
        <v>4301</v>
      </c>
      <c r="AL114" s="76">
        <v>1179</v>
      </c>
      <c r="AM114" s="76">
        <v>1018</v>
      </c>
      <c r="AN114" s="76">
        <v>-41</v>
      </c>
      <c r="AO114" s="76">
        <v>4988</v>
      </c>
      <c r="AP114" s="76">
        <v>0</v>
      </c>
      <c r="AQ114" s="76">
        <v>0</v>
      </c>
      <c r="AR114" s="76">
        <v>18898</v>
      </c>
      <c r="AS114" s="76">
        <v>15196</v>
      </c>
      <c r="AT114" s="76">
        <v>579</v>
      </c>
      <c r="AU114" s="76">
        <v>393471</v>
      </c>
      <c r="AV114" s="76">
        <v>0</v>
      </c>
      <c r="AW114" s="76">
        <v>6731</v>
      </c>
      <c r="AX114" s="76">
        <v>0</v>
      </c>
      <c r="AY114" s="76">
        <v>0</v>
      </c>
      <c r="AZ114" s="76">
        <v>18638</v>
      </c>
      <c r="BA114" s="76">
        <v>0</v>
      </c>
      <c r="BB114" s="76">
        <v>0</v>
      </c>
      <c r="BC114" s="76">
        <v>0</v>
      </c>
      <c r="BD114" s="76">
        <v>0</v>
      </c>
      <c r="BE114" s="76">
        <v>418840</v>
      </c>
      <c r="BF114" s="76">
        <v>22542</v>
      </c>
      <c r="BG114" s="76">
        <v>11212</v>
      </c>
      <c r="BH114" s="76">
        <v>16932</v>
      </c>
      <c r="BI114" s="76">
        <v>0</v>
      </c>
      <c r="BJ114" s="76">
        <v>16078</v>
      </c>
      <c r="BK114" s="76">
        <v>66764</v>
      </c>
      <c r="BL114" s="76">
        <v>10907</v>
      </c>
      <c r="BM114" s="76">
        <v>0</v>
      </c>
      <c r="BN114" s="76">
        <v>57</v>
      </c>
      <c r="BO114" s="76">
        <v>8490</v>
      </c>
      <c r="BP114" s="76">
        <v>19454</v>
      </c>
      <c r="BQ114" s="76">
        <v>47310</v>
      </c>
      <c r="BR114" s="76">
        <v>466150</v>
      </c>
      <c r="BS114" s="76">
        <v>267749</v>
      </c>
      <c r="BT114" s="76">
        <v>0</v>
      </c>
      <c r="BU114" s="76">
        <v>0</v>
      </c>
      <c r="BV114" s="76">
        <v>4815</v>
      </c>
      <c r="BW114" s="76">
        <v>0</v>
      </c>
      <c r="BX114" s="76">
        <v>0</v>
      </c>
      <c r="BY114" s="76">
        <v>822</v>
      </c>
      <c r="BZ114" s="76">
        <v>273386</v>
      </c>
      <c r="CA114" s="76">
        <v>9395</v>
      </c>
      <c r="CB114" s="76">
        <v>0</v>
      </c>
      <c r="CC114" s="76">
        <v>183369</v>
      </c>
      <c r="CD114" s="76">
        <v>16164</v>
      </c>
      <c r="CE114" s="76">
        <v>167205</v>
      </c>
      <c r="CF114" s="76">
        <v>0</v>
      </c>
      <c r="CG114" s="76">
        <v>0</v>
      </c>
      <c r="CH114" s="76">
        <v>0</v>
      </c>
      <c r="CI114" s="76">
        <v>183369</v>
      </c>
      <c r="CJ114" s="76">
        <v>1297</v>
      </c>
      <c r="CK114" s="76">
        <v>656</v>
      </c>
      <c r="CL114" s="76">
        <v>0</v>
      </c>
      <c r="CM114" s="76">
        <v>641</v>
      </c>
      <c r="CN114" s="76">
        <v>0</v>
      </c>
      <c r="CO114" s="76">
        <v>0</v>
      </c>
      <c r="CP114" s="76">
        <v>0</v>
      </c>
      <c r="CQ114" s="76">
        <v>0</v>
      </c>
      <c r="CR114" s="76">
        <v>0</v>
      </c>
      <c r="CS114" s="76">
        <v>0</v>
      </c>
      <c r="CT114" s="76">
        <v>689</v>
      </c>
      <c r="CU114" s="76">
        <v>-689</v>
      </c>
      <c r="CV114" s="76">
        <v>0</v>
      </c>
      <c r="CW114" s="76">
        <v>0</v>
      </c>
      <c r="CX114" s="76">
        <v>287</v>
      </c>
      <c r="CY114" s="76">
        <v>-287</v>
      </c>
      <c r="CZ114" s="76">
        <v>0</v>
      </c>
      <c r="DA114" s="76">
        <v>0</v>
      </c>
      <c r="DB114" s="76">
        <v>0</v>
      </c>
      <c r="DC114" s="76">
        <v>0</v>
      </c>
      <c r="DD114" s="76">
        <v>1297</v>
      </c>
      <c r="DE114" s="76">
        <v>656</v>
      </c>
      <c r="DF114" s="76">
        <v>976</v>
      </c>
      <c r="DG114" s="76">
        <v>-335</v>
      </c>
      <c r="DH114" s="76">
        <v>24575</v>
      </c>
      <c r="DI114" s="76">
        <v>27421</v>
      </c>
      <c r="DJ114" s="76">
        <v>0</v>
      </c>
      <c r="DK114" s="76">
        <v>-2846</v>
      </c>
      <c r="DL114" s="76">
        <v>0</v>
      </c>
      <c r="DM114" s="76">
        <v>0</v>
      </c>
      <c r="DN114" s="76">
        <v>0</v>
      </c>
      <c r="DO114" s="76">
        <v>0</v>
      </c>
      <c r="DP114" s="76">
        <v>0</v>
      </c>
      <c r="DQ114" s="76">
        <v>0</v>
      </c>
      <c r="DR114" s="76">
        <v>0</v>
      </c>
      <c r="DS114" s="76">
        <v>0</v>
      </c>
      <c r="DT114" s="76">
        <v>1956</v>
      </c>
      <c r="DU114" s="76">
        <v>0</v>
      </c>
      <c r="DV114" s="76">
        <v>1956</v>
      </c>
      <c r="DW114" s="76">
        <v>0</v>
      </c>
      <c r="DX114" s="76">
        <v>321</v>
      </c>
      <c r="DY114" s="76">
        <v>0</v>
      </c>
      <c r="DZ114" s="76">
        <v>202</v>
      </c>
      <c r="EA114" s="76">
        <v>119</v>
      </c>
      <c r="EB114" s="76">
        <v>6126</v>
      </c>
      <c r="EC114" s="76">
        <v>3389</v>
      </c>
      <c r="ED114" s="76">
        <v>4941</v>
      </c>
      <c r="EE114" s="76">
        <v>-2204</v>
      </c>
      <c r="EF114" s="76">
        <v>32978</v>
      </c>
      <c r="EG114" s="76">
        <v>30810</v>
      </c>
      <c r="EH114" s="76">
        <v>7099</v>
      </c>
      <c r="EI114" s="76">
        <v>-4931</v>
      </c>
      <c r="EJ114" s="76">
        <v>34275</v>
      </c>
      <c r="EK114" s="76">
        <v>31466</v>
      </c>
      <c r="EL114" s="76">
        <v>8075</v>
      </c>
      <c r="EM114" s="76">
        <v>-5266</v>
      </c>
      <c r="EN114" s="76">
        <v>1306</v>
      </c>
      <c r="EO114" s="76">
        <v>928</v>
      </c>
      <c r="EP114" s="76">
        <v>143</v>
      </c>
      <c r="EQ114" s="76">
        <v>928</v>
      </c>
      <c r="ER114" s="76">
        <v>402024</v>
      </c>
      <c r="ES114" s="76">
        <v>0</v>
      </c>
      <c r="ET114" s="76">
        <v>402024</v>
      </c>
      <c r="EU114" s="76">
        <v>11501</v>
      </c>
      <c r="EV114" s="76">
        <v>-5184</v>
      </c>
      <c r="EW114" s="76">
        <v>0</v>
      </c>
      <c r="EX114" s="76">
        <v>0</v>
      </c>
      <c r="EY114" s="76">
        <v>-947</v>
      </c>
      <c r="EZ114" s="76">
        <v>407394</v>
      </c>
      <c r="FA114" s="76">
        <v>9658</v>
      </c>
      <c r="FB114" s="76">
        <v>4988</v>
      </c>
      <c r="FC114" s="76">
        <v>0</v>
      </c>
      <c r="FD114" s="76">
        <v>0</v>
      </c>
      <c r="FE114" s="76">
        <v>-686</v>
      </c>
      <c r="FF114" s="76">
        <v>0</v>
      </c>
      <c r="FG114" s="76">
        <v>-37</v>
      </c>
      <c r="FH114" s="76">
        <v>13923</v>
      </c>
      <c r="FI114" s="76">
        <v>393471</v>
      </c>
      <c r="FJ114" s="76">
        <v>392366</v>
      </c>
      <c r="FK114" s="76">
        <v>1660</v>
      </c>
      <c r="FL114" s="76">
        <v>846</v>
      </c>
      <c r="FM114" s="76">
        <v>814</v>
      </c>
      <c r="FN114" s="76">
        <v>1474</v>
      </c>
      <c r="FO114" s="76">
        <v>1935</v>
      </c>
      <c r="FP114" s="76">
        <v>-461</v>
      </c>
      <c r="FQ114" s="76">
        <v>290</v>
      </c>
      <c r="FR114" s="76">
        <v>108</v>
      </c>
      <c r="FS114" s="76">
        <v>182</v>
      </c>
      <c r="FT114" s="76">
        <v>3024</v>
      </c>
      <c r="FU114" s="76">
        <v>1978</v>
      </c>
      <c r="FV114" s="76">
        <v>1046</v>
      </c>
      <c r="FW114" s="76">
        <v>0</v>
      </c>
      <c r="FX114" s="76">
        <v>0</v>
      </c>
      <c r="FY114" s="76">
        <v>0</v>
      </c>
      <c r="FZ114" s="76">
        <v>10</v>
      </c>
      <c r="GA114" s="76">
        <v>0</v>
      </c>
      <c r="GB114" s="76">
        <v>10</v>
      </c>
      <c r="GC114" s="76">
        <v>6458</v>
      </c>
      <c r="GD114" s="76">
        <v>4867</v>
      </c>
      <c r="GE114" s="76">
        <v>1591</v>
      </c>
      <c r="GF114" s="76">
        <v>0</v>
      </c>
      <c r="GG114" s="76">
        <v>0</v>
      </c>
      <c r="GH114" s="76">
        <v>0</v>
      </c>
      <c r="GI114" s="76">
        <v>0</v>
      </c>
      <c r="GJ114" s="76">
        <v>0</v>
      </c>
      <c r="GK114" s="76">
        <v>16078</v>
      </c>
      <c r="GL114" s="76">
        <v>16078</v>
      </c>
      <c r="GM114" s="76">
        <v>1634</v>
      </c>
      <c r="GN114" s="76">
        <v>744</v>
      </c>
      <c r="GO114" s="76">
        <v>0</v>
      </c>
      <c r="GP114" s="76">
        <v>0</v>
      </c>
      <c r="GQ114" s="76">
        <v>0</v>
      </c>
      <c r="GR114" s="76">
        <v>5318</v>
      </c>
      <c r="GS114" s="76">
        <v>0</v>
      </c>
      <c r="GT114" s="76">
        <v>0</v>
      </c>
      <c r="GU114" s="76">
        <v>0</v>
      </c>
      <c r="GV114" s="76">
        <v>0</v>
      </c>
      <c r="GW114" s="76">
        <v>794</v>
      </c>
      <c r="GX114" s="76">
        <v>8490</v>
      </c>
      <c r="GY114" s="76">
        <v>213</v>
      </c>
      <c r="GZ114" s="76">
        <v>0</v>
      </c>
      <c r="HA114" s="76">
        <v>0</v>
      </c>
      <c r="HB114" s="76">
        <v>609</v>
      </c>
      <c r="HC114" s="76">
        <v>822</v>
      </c>
      <c r="HD114" s="76">
        <v>0</v>
      </c>
      <c r="HE114" s="76">
        <v>0</v>
      </c>
      <c r="HF114" s="76">
        <v>0</v>
      </c>
      <c r="HG114" s="76">
        <v>16807</v>
      </c>
      <c r="HH114" s="76">
        <v>18</v>
      </c>
      <c r="HI114" s="76">
        <v>330</v>
      </c>
      <c r="HJ114" s="76">
        <v>0</v>
      </c>
      <c r="HK114" s="76">
        <v>796</v>
      </c>
      <c r="HL114" s="76">
        <v>-967</v>
      </c>
      <c r="HM114" s="76">
        <v>16984</v>
      </c>
      <c r="HN114" s="76">
        <v>938</v>
      </c>
      <c r="HO114" s="76">
        <v>5277</v>
      </c>
      <c r="HP114" s="76">
        <v>47800</v>
      </c>
      <c r="HQ114" s="76">
        <v>93</v>
      </c>
      <c r="HR114" s="76">
        <v>-40</v>
      </c>
      <c r="HS114" s="76">
        <v>-18</v>
      </c>
      <c r="HT114" s="76">
        <v>6652</v>
      </c>
      <c r="HU114" s="76">
        <v>19</v>
      </c>
      <c r="HV114" s="76">
        <v>0</v>
      </c>
      <c r="HW114" s="76">
        <v>8</v>
      </c>
      <c r="HX114" s="76">
        <v>727</v>
      </c>
    </row>
    <row r="115" spans="1:232" x14ac:dyDescent="0.2">
      <c r="A115" s="74" t="s">
        <v>109</v>
      </c>
      <c r="B115" s="74" t="s">
        <v>108</v>
      </c>
      <c r="C115" s="75" t="s">
        <v>200</v>
      </c>
      <c r="D115" s="75">
        <v>12</v>
      </c>
      <c r="E115" s="76">
        <v>47478</v>
      </c>
      <c r="F115" s="76">
        <v>0</v>
      </c>
      <c r="G115" s="76">
        <v>-30168</v>
      </c>
      <c r="H115" s="76">
        <v>17310</v>
      </c>
      <c r="I115" s="76">
        <v>6497</v>
      </c>
      <c r="J115" s="76">
        <v>81</v>
      </c>
      <c r="K115" s="76">
        <v>0</v>
      </c>
      <c r="L115" s="76">
        <v>0</v>
      </c>
      <c r="M115" s="76">
        <v>38</v>
      </c>
      <c r="N115" s="76">
        <v>-5382</v>
      </c>
      <c r="O115" s="76">
        <v>82</v>
      </c>
      <c r="P115" s="76">
        <v>0</v>
      </c>
      <c r="Q115" s="76">
        <v>0</v>
      </c>
      <c r="R115" s="76">
        <v>0</v>
      </c>
      <c r="S115" s="76">
        <v>18626</v>
      </c>
      <c r="T115" s="76">
        <v>0</v>
      </c>
      <c r="U115" s="76">
        <v>18626</v>
      </c>
      <c r="V115" s="76">
        <v>0</v>
      </c>
      <c r="W115" s="76">
        <v>-5918</v>
      </c>
      <c r="X115" s="76">
        <v>0</v>
      </c>
      <c r="Y115" s="76">
        <v>0</v>
      </c>
      <c r="Z115" s="76">
        <v>12708</v>
      </c>
      <c r="AA115" s="76">
        <v>42482</v>
      </c>
      <c r="AB115" s="76">
        <v>2648</v>
      </c>
      <c r="AC115" s="76">
        <v>45130</v>
      </c>
      <c r="AD115" s="76">
        <v>15</v>
      </c>
      <c r="AE115" s="76">
        <v>0</v>
      </c>
      <c r="AF115" s="76">
        <v>21</v>
      </c>
      <c r="AG115" s="76">
        <v>0</v>
      </c>
      <c r="AH115" s="76">
        <v>45166</v>
      </c>
      <c r="AI115" s="76">
        <v>9607</v>
      </c>
      <c r="AJ115" s="76">
        <v>2554</v>
      </c>
      <c r="AK115" s="76">
        <v>4623</v>
      </c>
      <c r="AL115" s="76">
        <v>3107</v>
      </c>
      <c r="AM115" s="76">
        <v>0</v>
      </c>
      <c r="AN115" s="76">
        <v>94</v>
      </c>
      <c r="AO115" s="76">
        <v>7103</v>
      </c>
      <c r="AP115" s="76">
        <v>0</v>
      </c>
      <c r="AQ115" s="76">
        <v>1340</v>
      </c>
      <c r="AR115" s="76">
        <v>28428</v>
      </c>
      <c r="AS115" s="76">
        <v>16738</v>
      </c>
      <c r="AT115" s="76">
        <v>204</v>
      </c>
      <c r="AU115" s="76">
        <v>348497</v>
      </c>
      <c r="AV115" s="76">
        <v>0</v>
      </c>
      <c r="AW115" s="76">
        <v>3366</v>
      </c>
      <c r="AX115" s="76">
        <v>0</v>
      </c>
      <c r="AY115" s="76">
        <v>0</v>
      </c>
      <c r="AZ115" s="76">
        <v>1540</v>
      </c>
      <c r="BA115" s="76">
        <v>163</v>
      </c>
      <c r="BB115" s="76">
        <v>0</v>
      </c>
      <c r="BC115" s="76">
        <v>0</v>
      </c>
      <c r="BD115" s="76">
        <v>0</v>
      </c>
      <c r="BE115" s="76">
        <v>353566</v>
      </c>
      <c r="BF115" s="76">
        <v>0</v>
      </c>
      <c r="BG115" s="76">
        <v>1731</v>
      </c>
      <c r="BH115" s="76">
        <v>21340</v>
      </c>
      <c r="BI115" s="76">
        <v>0</v>
      </c>
      <c r="BJ115" s="76">
        <v>329</v>
      </c>
      <c r="BK115" s="76">
        <v>23400</v>
      </c>
      <c r="BL115" s="76">
        <v>0</v>
      </c>
      <c r="BM115" s="76">
        <v>0</v>
      </c>
      <c r="BN115" s="76">
        <v>0</v>
      </c>
      <c r="BO115" s="76">
        <v>7201</v>
      </c>
      <c r="BP115" s="76">
        <v>7201</v>
      </c>
      <c r="BQ115" s="76">
        <v>16199</v>
      </c>
      <c r="BR115" s="76">
        <v>369765</v>
      </c>
      <c r="BS115" s="76">
        <v>150904</v>
      </c>
      <c r="BT115" s="76">
        <v>0</v>
      </c>
      <c r="BU115" s="76">
        <v>0</v>
      </c>
      <c r="BV115" s="76">
        <v>595</v>
      </c>
      <c r="BW115" s="76">
        <v>0</v>
      </c>
      <c r="BX115" s="76">
        <v>0</v>
      </c>
      <c r="BY115" s="76">
        <v>0</v>
      </c>
      <c r="BZ115" s="76">
        <v>151499</v>
      </c>
      <c r="CA115" s="76">
        <v>31424</v>
      </c>
      <c r="CB115" s="76">
        <v>0</v>
      </c>
      <c r="CC115" s="76">
        <v>186842</v>
      </c>
      <c r="CD115" s="76">
        <v>89289</v>
      </c>
      <c r="CE115" s="76">
        <v>97592</v>
      </c>
      <c r="CF115" s="76">
        <v>0</v>
      </c>
      <c r="CG115" s="76">
        <v>0</v>
      </c>
      <c r="CH115" s="76">
        <v>-39</v>
      </c>
      <c r="CI115" s="76">
        <v>186842</v>
      </c>
      <c r="CJ115" s="76">
        <v>0</v>
      </c>
      <c r="CK115" s="76">
        <v>0</v>
      </c>
      <c r="CL115" s="76">
        <v>0</v>
      </c>
      <c r="CM115" s="76">
        <v>0</v>
      </c>
      <c r="CN115" s="76">
        <v>393</v>
      </c>
      <c r="CO115" s="76">
        <v>0</v>
      </c>
      <c r="CP115" s="76">
        <v>350</v>
      </c>
      <c r="CQ115" s="76">
        <v>43</v>
      </c>
      <c r="CR115" s="76">
        <v>0</v>
      </c>
      <c r="CS115" s="76">
        <v>0</v>
      </c>
      <c r="CT115" s="76">
        <v>0</v>
      </c>
      <c r="CU115" s="76">
        <v>0</v>
      </c>
      <c r="CV115" s="76">
        <v>0</v>
      </c>
      <c r="CW115" s="76">
        <v>0</v>
      </c>
      <c r="CX115" s="76">
        <v>0</v>
      </c>
      <c r="CY115" s="76">
        <v>0</v>
      </c>
      <c r="CZ115" s="76">
        <v>304</v>
      </c>
      <c r="DA115" s="76">
        <v>0</v>
      </c>
      <c r="DB115" s="76">
        <v>262</v>
      </c>
      <c r="DC115" s="76">
        <v>42</v>
      </c>
      <c r="DD115" s="76">
        <v>697</v>
      </c>
      <c r="DE115" s="76">
        <v>0</v>
      </c>
      <c r="DF115" s="76">
        <v>612</v>
      </c>
      <c r="DG115" s="76">
        <v>85</v>
      </c>
      <c r="DH115" s="76">
        <v>0</v>
      </c>
      <c r="DI115" s="76">
        <v>0</v>
      </c>
      <c r="DJ115" s="76">
        <v>0</v>
      </c>
      <c r="DK115" s="76">
        <v>0</v>
      </c>
      <c r="DL115" s="76">
        <v>0</v>
      </c>
      <c r="DM115" s="76">
        <v>0</v>
      </c>
      <c r="DN115" s="76">
        <v>0</v>
      </c>
      <c r="DO115" s="76">
        <v>0</v>
      </c>
      <c r="DP115" s="76">
        <v>0</v>
      </c>
      <c r="DQ115" s="76">
        <v>0</v>
      </c>
      <c r="DR115" s="76">
        <v>0</v>
      </c>
      <c r="DS115" s="76">
        <v>0</v>
      </c>
      <c r="DT115" s="76">
        <v>140</v>
      </c>
      <c r="DU115" s="76">
        <v>0</v>
      </c>
      <c r="DV115" s="76">
        <v>127</v>
      </c>
      <c r="DW115" s="76">
        <v>13</v>
      </c>
      <c r="DX115" s="76">
        <v>0</v>
      </c>
      <c r="DY115" s="76">
        <v>0</v>
      </c>
      <c r="DZ115" s="76">
        <v>0</v>
      </c>
      <c r="EA115" s="76">
        <v>0</v>
      </c>
      <c r="EB115" s="76">
        <v>1475</v>
      </c>
      <c r="EC115" s="76">
        <v>0</v>
      </c>
      <c r="ED115" s="76">
        <v>1001</v>
      </c>
      <c r="EE115" s="76">
        <v>474</v>
      </c>
      <c r="EF115" s="76">
        <v>1615</v>
      </c>
      <c r="EG115" s="76">
        <v>0</v>
      </c>
      <c r="EH115" s="76">
        <v>1128</v>
      </c>
      <c r="EI115" s="76">
        <v>487</v>
      </c>
      <c r="EJ115" s="76">
        <v>2312</v>
      </c>
      <c r="EK115" s="76">
        <v>0</v>
      </c>
      <c r="EL115" s="76">
        <v>1740</v>
      </c>
      <c r="EM115" s="76">
        <v>572</v>
      </c>
      <c r="EN115" s="76">
        <v>796</v>
      </c>
      <c r="EO115" s="76">
        <v>561</v>
      </c>
      <c r="EP115" s="76">
        <v>60</v>
      </c>
      <c r="EQ115" s="76">
        <v>561</v>
      </c>
      <c r="ER115" s="76">
        <v>411117</v>
      </c>
      <c r="ES115" s="76">
        <v>0</v>
      </c>
      <c r="ET115" s="76">
        <v>411117</v>
      </c>
      <c r="EU115" s="76">
        <v>5778</v>
      </c>
      <c r="EV115" s="76">
        <v>-11274</v>
      </c>
      <c r="EW115" s="76">
        <v>0</v>
      </c>
      <c r="EX115" s="76">
        <v>0</v>
      </c>
      <c r="EY115" s="76">
        <v>-1063</v>
      </c>
      <c r="EZ115" s="76">
        <v>404558</v>
      </c>
      <c r="FA115" s="76">
        <v>54175</v>
      </c>
      <c r="FB115" s="76">
        <v>7103</v>
      </c>
      <c r="FC115" s="76">
        <v>-2408</v>
      </c>
      <c r="FD115" s="76">
        <v>0</v>
      </c>
      <c r="FE115" s="76">
        <v>-2407</v>
      </c>
      <c r="FF115" s="76">
        <v>0</v>
      </c>
      <c r="FG115" s="76">
        <v>-402</v>
      </c>
      <c r="FH115" s="76">
        <v>56061</v>
      </c>
      <c r="FI115" s="76">
        <v>348497</v>
      </c>
      <c r="FJ115" s="76">
        <v>356942</v>
      </c>
      <c r="FK115" s="76">
        <v>280</v>
      </c>
      <c r="FL115" s="76">
        <v>165</v>
      </c>
      <c r="FM115" s="76">
        <v>115</v>
      </c>
      <c r="FN115" s="76">
        <v>431</v>
      </c>
      <c r="FO115" s="76">
        <v>629</v>
      </c>
      <c r="FP115" s="76">
        <v>-198</v>
      </c>
      <c r="FQ115" s="76">
        <v>0</v>
      </c>
      <c r="FR115" s="76">
        <v>0</v>
      </c>
      <c r="FS115" s="76">
        <v>0</v>
      </c>
      <c r="FT115" s="76">
        <v>0</v>
      </c>
      <c r="FU115" s="76">
        <v>0</v>
      </c>
      <c r="FV115" s="76">
        <v>0</v>
      </c>
      <c r="FW115" s="76">
        <v>11420</v>
      </c>
      <c r="FX115" s="76">
        <v>5599</v>
      </c>
      <c r="FY115" s="76">
        <v>5821</v>
      </c>
      <c r="FZ115" s="76">
        <v>2901</v>
      </c>
      <c r="GA115" s="76">
        <v>2142</v>
      </c>
      <c r="GB115" s="76">
        <v>759</v>
      </c>
      <c r="GC115" s="76">
        <v>15032</v>
      </c>
      <c r="GD115" s="76">
        <v>8535</v>
      </c>
      <c r="GE115" s="76">
        <v>6497</v>
      </c>
      <c r="GF115" s="76">
        <v>0</v>
      </c>
      <c r="GG115" s="76">
        <v>0</v>
      </c>
      <c r="GH115" s="76">
        <v>0</v>
      </c>
      <c r="GI115" s="76">
        <v>0</v>
      </c>
      <c r="GJ115" s="76">
        <v>0</v>
      </c>
      <c r="GK115" s="76">
        <v>329</v>
      </c>
      <c r="GL115" s="76">
        <v>329</v>
      </c>
      <c r="GM115" s="76">
        <v>598</v>
      </c>
      <c r="GN115" s="76">
        <v>1051</v>
      </c>
      <c r="GO115" s="76">
        <v>0</v>
      </c>
      <c r="GP115" s="76">
        <v>549</v>
      </c>
      <c r="GQ115" s="76">
        <v>105</v>
      </c>
      <c r="GR115" s="76">
        <v>852</v>
      </c>
      <c r="GS115" s="76">
        <v>0</v>
      </c>
      <c r="GT115" s="76">
        <v>0</v>
      </c>
      <c r="GU115" s="76">
        <v>57</v>
      </c>
      <c r="GV115" s="76">
        <v>0</v>
      </c>
      <c r="GW115" s="76">
        <v>3989</v>
      </c>
      <c r="GX115" s="76">
        <v>7201</v>
      </c>
      <c r="GY115" s="76">
        <v>0</v>
      </c>
      <c r="GZ115" s="76">
        <v>0</v>
      </c>
      <c r="HA115" s="76">
        <v>0</v>
      </c>
      <c r="HB115" s="76">
        <v>0</v>
      </c>
      <c r="HC115" s="76">
        <v>0</v>
      </c>
      <c r="HD115" s="76">
        <v>0</v>
      </c>
      <c r="HE115" s="76">
        <v>0</v>
      </c>
      <c r="HF115" s="76">
        <v>0</v>
      </c>
      <c r="HG115" s="76">
        <v>4523</v>
      </c>
      <c r="HH115" s="76">
        <v>0</v>
      </c>
      <c r="HI115" s="76">
        <v>859</v>
      </c>
      <c r="HJ115" s="76">
        <v>0</v>
      </c>
      <c r="HK115" s="76">
        <v>0</v>
      </c>
      <c r="HL115" s="76">
        <v>0</v>
      </c>
      <c r="HM115" s="76">
        <v>5382</v>
      </c>
      <c r="HN115" s="76">
        <v>5709</v>
      </c>
      <c r="HO115" s="76">
        <v>7706</v>
      </c>
      <c r="HP115" s="76">
        <v>-2408</v>
      </c>
      <c r="HQ115" s="76">
        <v>0</v>
      </c>
      <c r="HR115" s="76">
        <v>-26</v>
      </c>
      <c r="HS115" s="76">
        <v>-141</v>
      </c>
      <c r="HT115" s="76">
        <v>8775</v>
      </c>
      <c r="HU115" s="76">
        <v>0</v>
      </c>
      <c r="HV115" s="76">
        <v>0</v>
      </c>
      <c r="HW115" s="76">
        <v>-23</v>
      </c>
      <c r="HX115" s="76">
        <v>140</v>
      </c>
    </row>
    <row r="116" spans="1:232" x14ac:dyDescent="0.2">
      <c r="A116" s="74" t="s">
        <v>504</v>
      </c>
      <c r="B116" s="74" t="s">
        <v>505</v>
      </c>
      <c r="C116" s="75" t="s">
        <v>200</v>
      </c>
      <c r="D116" s="75">
        <v>12</v>
      </c>
      <c r="E116" s="76">
        <v>8548</v>
      </c>
      <c r="F116" s="76">
        <v>0</v>
      </c>
      <c r="G116" s="76">
        <v>-4900</v>
      </c>
      <c r="H116" s="76">
        <v>3648</v>
      </c>
      <c r="I116" s="76">
        <v>-5</v>
      </c>
      <c r="J116" s="76">
        <v>0</v>
      </c>
      <c r="K116" s="76">
        <v>0</v>
      </c>
      <c r="L116" s="76">
        <v>0</v>
      </c>
      <c r="M116" s="76">
        <v>17</v>
      </c>
      <c r="N116" s="76">
        <v>-2617</v>
      </c>
      <c r="O116" s="76">
        <v>0</v>
      </c>
      <c r="P116" s="76">
        <v>0</v>
      </c>
      <c r="Q116" s="76">
        <v>0</v>
      </c>
      <c r="R116" s="76">
        <v>0</v>
      </c>
      <c r="S116" s="76">
        <v>1043</v>
      </c>
      <c r="T116" s="76">
        <v>-1</v>
      </c>
      <c r="U116" s="76">
        <v>1042</v>
      </c>
      <c r="V116" s="76">
        <v>0</v>
      </c>
      <c r="W116" s="76">
        <v>0</v>
      </c>
      <c r="X116" s="76">
        <v>0</v>
      </c>
      <c r="Y116" s="76">
        <v>0</v>
      </c>
      <c r="Z116" s="76">
        <v>1042</v>
      </c>
      <c r="AA116" s="76">
        <v>7397</v>
      </c>
      <c r="AB116" s="76">
        <v>202</v>
      </c>
      <c r="AC116" s="76">
        <v>7599</v>
      </c>
      <c r="AD116" s="76">
        <v>643</v>
      </c>
      <c r="AE116" s="76">
        <v>0</v>
      </c>
      <c r="AF116" s="76">
        <v>0</v>
      </c>
      <c r="AG116" s="76">
        <v>82</v>
      </c>
      <c r="AH116" s="76">
        <v>8324</v>
      </c>
      <c r="AI116" s="76">
        <v>1843</v>
      </c>
      <c r="AJ116" s="76">
        <v>194</v>
      </c>
      <c r="AK116" s="76">
        <v>823</v>
      </c>
      <c r="AL116" s="76">
        <v>187</v>
      </c>
      <c r="AM116" s="76">
        <v>80</v>
      </c>
      <c r="AN116" s="76">
        <v>19</v>
      </c>
      <c r="AO116" s="76">
        <v>1748</v>
      </c>
      <c r="AP116" s="76">
        <v>0</v>
      </c>
      <c r="AQ116" s="76">
        <v>6</v>
      </c>
      <c r="AR116" s="76">
        <v>4900</v>
      </c>
      <c r="AS116" s="76">
        <v>3424</v>
      </c>
      <c r="AT116" s="76">
        <v>29</v>
      </c>
      <c r="AU116" s="76">
        <v>117200</v>
      </c>
      <c r="AV116" s="76">
        <v>0</v>
      </c>
      <c r="AW116" s="76">
        <v>879</v>
      </c>
      <c r="AX116" s="76">
        <v>0</v>
      </c>
      <c r="AY116" s="76">
        <v>0</v>
      </c>
      <c r="AZ116" s="76">
        <v>480</v>
      </c>
      <c r="BA116" s="76">
        <v>0</v>
      </c>
      <c r="BB116" s="76">
        <v>0</v>
      </c>
      <c r="BC116" s="76">
        <v>0</v>
      </c>
      <c r="BD116" s="76">
        <v>0</v>
      </c>
      <c r="BE116" s="76">
        <v>118559</v>
      </c>
      <c r="BF116" s="76">
        <v>0</v>
      </c>
      <c r="BG116" s="76">
        <v>215</v>
      </c>
      <c r="BH116" s="76">
        <v>6165</v>
      </c>
      <c r="BI116" s="76">
        <v>0</v>
      </c>
      <c r="BJ116" s="76">
        <v>0</v>
      </c>
      <c r="BK116" s="76">
        <v>6380</v>
      </c>
      <c r="BL116" s="76">
        <v>1530</v>
      </c>
      <c r="BM116" s="76">
        <v>0</v>
      </c>
      <c r="BN116" s="76">
        <v>649</v>
      </c>
      <c r="BO116" s="76">
        <v>1579</v>
      </c>
      <c r="BP116" s="76">
        <v>3758</v>
      </c>
      <c r="BQ116" s="76">
        <v>2622</v>
      </c>
      <c r="BR116" s="76">
        <v>121181</v>
      </c>
      <c r="BS116" s="76">
        <v>52323</v>
      </c>
      <c r="BT116" s="76">
        <v>0</v>
      </c>
      <c r="BU116" s="76">
        <v>0</v>
      </c>
      <c r="BV116" s="76">
        <v>56148</v>
      </c>
      <c r="BW116" s="76">
        <v>0</v>
      </c>
      <c r="BX116" s="76">
        <v>0</v>
      </c>
      <c r="BY116" s="76">
        <v>1434</v>
      </c>
      <c r="BZ116" s="76">
        <v>109905</v>
      </c>
      <c r="CA116" s="76">
        <v>0</v>
      </c>
      <c r="CB116" s="76">
        <v>0</v>
      </c>
      <c r="CC116" s="76">
        <v>11276</v>
      </c>
      <c r="CD116" s="76">
        <v>11276</v>
      </c>
      <c r="CE116" s="76">
        <v>0</v>
      </c>
      <c r="CF116" s="76">
        <v>0</v>
      </c>
      <c r="CG116" s="76">
        <v>0</v>
      </c>
      <c r="CH116" s="76">
        <v>0</v>
      </c>
      <c r="CI116" s="76">
        <v>11276</v>
      </c>
      <c r="CJ116" s="76">
        <v>0</v>
      </c>
      <c r="CK116" s="76">
        <v>0</v>
      </c>
      <c r="CL116" s="76">
        <v>0</v>
      </c>
      <c r="CM116" s="76">
        <v>0</v>
      </c>
      <c r="CN116" s="76">
        <v>0</v>
      </c>
      <c r="CO116" s="76">
        <v>0</v>
      </c>
      <c r="CP116" s="76">
        <v>0</v>
      </c>
      <c r="CQ116" s="76">
        <v>0</v>
      </c>
      <c r="CR116" s="76">
        <v>68</v>
      </c>
      <c r="CS116" s="76">
        <v>0</v>
      </c>
      <c r="CT116" s="76">
        <v>0</v>
      </c>
      <c r="CU116" s="76">
        <v>68</v>
      </c>
      <c r="CV116" s="76">
        <v>0</v>
      </c>
      <c r="CW116" s="76">
        <v>0</v>
      </c>
      <c r="CX116" s="76">
        <v>0</v>
      </c>
      <c r="CY116" s="76">
        <v>0</v>
      </c>
      <c r="CZ116" s="76">
        <v>90</v>
      </c>
      <c r="DA116" s="76">
        <v>0</v>
      </c>
      <c r="DB116" s="76">
        <v>0</v>
      </c>
      <c r="DC116" s="76">
        <v>90</v>
      </c>
      <c r="DD116" s="76">
        <v>158</v>
      </c>
      <c r="DE116" s="76">
        <v>0</v>
      </c>
      <c r="DF116" s="76">
        <v>0</v>
      </c>
      <c r="DG116" s="76">
        <v>158</v>
      </c>
      <c r="DH116" s="76">
        <v>0</v>
      </c>
      <c r="DI116" s="76">
        <v>0</v>
      </c>
      <c r="DJ116" s="76">
        <v>0</v>
      </c>
      <c r="DK116" s="76">
        <v>0</v>
      </c>
      <c r="DL116" s="76">
        <v>0</v>
      </c>
      <c r="DM116" s="76">
        <v>0</v>
      </c>
      <c r="DN116" s="76">
        <v>0</v>
      </c>
      <c r="DO116" s="76">
        <v>0</v>
      </c>
      <c r="DP116" s="76">
        <v>0</v>
      </c>
      <c r="DQ116" s="76">
        <v>0</v>
      </c>
      <c r="DR116" s="76">
        <v>0</v>
      </c>
      <c r="DS116" s="76">
        <v>0</v>
      </c>
      <c r="DT116" s="76">
        <v>0</v>
      </c>
      <c r="DU116" s="76">
        <v>0</v>
      </c>
      <c r="DV116" s="76">
        <v>0</v>
      </c>
      <c r="DW116" s="76">
        <v>0</v>
      </c>
      <c r="DX116" s="76">
        <v>0</v>
      </c>
      <c r="DY116" s="76">
        <v>0</v>
      </c>
      <c r="DZ116" s="76">
        <v>0</v>
      </c>
      <c r="EA116" s="76">
        <v>0</v>
      </c>
      <c r="EB116" s="76">
        <v>66</v>
      </c>
      <c r="EC116" s="76">
        <v>0</v>
      </c>
      <c r="ED116" s="76">
        <v>0</v>
      </c>
      <c r="EE116" s="76">
        <v>66</v>
      </c>
      <c r="EF116" s="76">
        <v>66</v>
      </c>
      <c r="EG116" s="76">
        <v>0</v>
      </c>
      <c r="EH116" s="76">
        <v>0</v>
      </c>
      <c r="EI116" s="76">
        <v>66</v>
      </c>
      <c r="EJ116" s="76">
        <v>224</v>
      </c>
      <c r="EK116" s="76">
        <v>0</v>
      </c>
      <c r="EL116" s="76">
        <v>0</v>
      </c>
      <c r="EM116" s="76">
        <v>224</v>
      </c>
      <c r="EN116" s="76">
        <v>283</v>
      </c>
      <c r="EO116" s="76">
        <v>263</v>
      </c>
      <c r="EP116" s="76">
        <v>200</v>
      </c>
      <c r="EQ116" s="76">
        <v>263</v>
      </c>
      <c r="ER116" s="76">
        <v>135037</v>
      </c>
      <c r="ES116" s="76">
        <v>0</v>
      </c>
      <c r="ET116" s="76">
        <v>135037</v>
      </c>
      <c r="EU116" s="76">
        <v>2278</v>
      </c>
      <c r="EV116" s="76">
        <v>-675</v>
      </c>
      <c r="EW116" s="76">
        <v>0</v>
      </c>
      <c r="EX116" s="76">
        <v>0</v>
      </c>
      <c r="EY116" s="76">
        <v>0</v>
      </c>
      <c r="EZ116" s="76">
        <v>136640</v>
      </c>
      <c r="FA116" s="76">
        <v>17924</v>
      </c>
      <c r="FB116" s="76">
        <v>1748</v>
      </c>
      <c r="FC116" s="76">
        <v>0</v>
      </c>
      <c r="FD116" s="76">
        <v>0</v>
      </c>
      <c r="FE116" s="76">
        <v>-232</v>
      </c>
      <c r="FF116" s="76">
        <v>0</v>
      </c>
      <c r="FG116" s="76">
        <v>0</v>
      </c>
      <c r="FH116" s="76">
        <v>19440</v>
      </c>
      <c r="FI116" s="76">
        <v>117200</v>
      </c>
      <c r="FJ116" s="76">
        <v>117113</v>
      </c>
      <c r="FK116" s="76">
        <v>279</v>
      </c>
      <c r="FL116" s="76">
        <v>316</v>
      </c>
      <c r="FM116" s="76">
        <v>-37</v>
      </c>
      <c r="FN116" s="76">
        <v>0</v>
      </c>
      <c r="FO116" s="76">
        <v>0</v>
      </c>
      <c r="FP116" s="76">
        <v>0</v>
      </c>
      <c r="FQ116" s="76">
        <v>160</v>
      </c>
      <c r="FR116" s="76">
        <v>129</v>
      </c>
      <c r="FS116" s="76">
        <v>31</v>
      </c>
      <c r="FT116" s="76">
        <v>0</v>
      </c>
      <c r="FU116" s="76">
        <v>0</v>
      </c>
      <c r="FV116" s="76">
        <v>0</v>
      </c>
      <c r="FW116" s="76">
        <v>0</v>
      </c>
      <c r="FX116" s="76">
        <v>0</v>
      </c>
      <c r="FY116" s="76">
        <v>0</v>
      </c>
      <c r="FZ116" s="76">
        <v>1</v>
      </c>
      <c r="GA116" s="76">
        <v>0</v>
      </c>
      <c r="GB116" s="76">
        <v>1</v>
      </c>
      <c r="GC116" s="76">
        <v>440</v>
      </c>
      <c r="GD116" s="76">
        <v>445</v>
      </c>
      <c r="GE116" s="76">
        <v>-5</v>
      </c>
      <c r="GF116" s="76">
        <v>0</v>
      </c>
      <c r="GG116" s="76">
        <v>0</v>
      </c>
      <c r="GH116" s="76">
        <v>0</v>
      </c>
      <c r="GI116" s="76">
        <v>0</v>
      </c>
      <c r="GJ116" s="76">
        <v>0</v>
      </c>
      <c r="GK116" s="76">
        <v>0</v>
      </c>
      <c r="GL116" s="76">
        <v>0</v>
      </c>
      <c r="GM116" s="76">
        <v>297</v>
      </c>
      <c r="GN116" s="76">
        <v>137</v>
      </c>
      <c r="GO116" s="76">
        <v>0</v>
      </c>
      <c r="GP116" s="76">
        <v>0</v>
      </c>
      <c r="GQ116" s="76">
        <v>0</v>
      </c>
      <c r="GR116" s="76">
        <v>1103</v>
      </c>
      <c r="GS116" s="76">
        <v>0</v>
      </c>
      <c r="GT116" s="76">
        <v>0</v>
      </c>
      <c r="GU116" s="76">
        <v>0</v>
      </c>
      <c r="GV116" s="76">
        <v>0</v>
      </c>
      <c r="GW116" s="76">
        <v>42</v>
      </c>
      <c r="GX116" s="76">
        <v>1579</v>
      </c>
      <c r="GY116" s="76">
        <v>0</v>
      </c>
      <c r="GZ116" s="76">
        <v>0</v>
      </c>
      <c r="HA116" s="76">
        <v>842</v>
      </c>
      <c r="HB116" s="76">
        <v>592</v>
      </c>
      <c r="HC116" s="76">
        <v>1434</v>
      </c>
      <c r="HD116" s="76">
        <v>0</v>
      </c>
      <c r="HE116" s="76">
        <v>0</v>
      </c>
      <c r="HF116" s="76">
        <v>0</v>
      </c>
      <c r="HG116" s="76">
        <v>2661</v>
      </c>
      <c r="HH116" s="76">
        <v>48</v>
      </c>
      <c r="HI116" s="76">
        <v>0</v>
      </c>
      <c r="HJ116" s="76">
        <v>0</v>
      </c>
      <c r="HK116" s="76">
        <v>0</v>
      </c>
      <c r="HL116" s="76">
        <v>-92</v>
      </c>
      <c r="HM116" s="76">
        <v>2617</v>
      </c>
      <c r="HN116" s="76">
        <v>561</v>
      </c>
      <c r="HO116" s="76">
        <v>1810</v>
      </c>
      <c r="HP116" s="76">
        <v>0</v>
      </c>
      <c r="HQ116" s="76">
        <v>34</v>
      </c>
      <c r="HR116" s="76">
        <v>-6</v>
      </c>
      <c r="HS116" s="76">
        <v>1</v>
      </c>
      <c r="HT116" s="76">
        <v>1430</v>
      </c>
      <c r="HU116" s="76">
        <v>0</v>
      </c>
      <c r="HV116" s="76">
        <v>0</v>
      </c>
      <c r="HW116" s="76">
        <v>0</v>
      </c>
      <c r="HX116" s="76">
        <v>0</v>
      </c>
    </row>
    <row r="117" spans="1:232" x14ac:dyDescent="0.2">
      <c r="A117" s="74" t="s">
        <v>111</v>
      </c>
      <c r="B117" s="74" t="s">
        <v>110</v>
      </c>
      <c r="C117" s="75" t="s">
        <v>200</v>
      </c>
      <c r="D117" s="75">
        <v>12</v>
      </c>
      <c r="E117" s="76">
        <v>43728</v>
      </c>
      <c r="F117" s="76">
        <v>-884</v>
      </c>
      <c r="G117" s="76">
        <v>-27135</v>
      </c>
      <c r="H117" s="76">
        <v>15709</v>
      </c>
      <c r="I117" s="76">
        <v>1489</v>
      </c>
      <c r="J117" s="76">
        <v>7</v>
      </c>
      <c r="K117" s="76">
        <v>0</v>
      </c>
      <c r="L117" s="76">
        <v>0</v>
      </c>
      <c r="M117" s="76">
        <v>98</v>
      </c>
      <c r="N117" s="76">
        <v>-4300</v>
      </c>
      <c r="O117" s="76">
        <v>0</v>
      </c>
      <c r="P117" s="76">
        <v>0</v>
      </c>
      <c r="Q117" s="76">
        <v>0</v>
      </c>
      <c r="R117" s="76">
        <v>0</v>
      </c>
      <c r="S117" s="76">
        <v>13003</v>
      </c>
      <c r="T117" s="76">
        <v>0</v>
      </c>
      <c r="U117" s="76">
        <v>13003</v>
      </c>
      <c r="V117" s="76">
        <v>0</v>
      </c>
      <c r="W117" s="76">
        <v>-4814</v>
      </c>
      <c r="X117" s="76">
        <v>0</v>
      </c>
      <c r="Y117" s="76">
        <v>0</v>
      </c>
      <c r="Z117" s="76">
        <v>8189</v>
      </c>
      <c r="AA117" s="76">
        <v>37597</v>
      </c>
      <c r="AB117" s="76">
        <v>2923</v>
      </c>
      <c r="AC117" s="76">
        <v>40520</v>
      </c>
      <c r="AD117" s="76">
        <v>77</v>
      </c>
      <c r="AE117" s="76">
        <v>0</v>
      </c>
      <c r="AF117" s="76">
        <v>0</v>
      </c>
      <c r="AG117" s="76">
        <v>325</v>
      </c>
      <c r="AH117" s="76">
        <v>40922</v>
      </c>
      <c r="AI117" s="76">
        <v>7583</v>
      </c>
      <c r="AJ117" s="76">
        <v>3749</v>
      </c>
      <c r="AK117" s="76">
        <v>5545</v>
      </c>
      <c r="AL117" s="76">
        <v>1301</v>
      </c>
      <c r="AM117" s="76">
        <v>2431</v>
      </c>
      <c r="AN117" s="76">
        <v>269</v>
      </c>
      <c r="AO117" s="76">
        <v>5157</v>
      </c>
      <c r="AP117" s="76">
        <v>0</v>
      </c>
      <c r="AQ117" s="76">
        <v>0</v>
      </c>
      <c r="AR117" s="76">
        <v>26035</v>
      </c>
      <c r="AS117" s="76">
        <v>14887</v>
      </c>
      <c r="AT117" s="76">
        <v>231</v>
      </c>
      <c r="AU117" s="76">
        <v>168722</v>
      </c>
      <c r="AV117" s="76">
        <v>0</v>
      </c>
      <c r="AW117" s="76">
        <v>3727</v>
      </c>
      <c r="AX117" s="76">
        <v>785</v>
      </c>
      <c r="AY117" s="76">
        <v>0</v>
      </c>
      <c r="AZ117" s="76">
        <v>0</v>
      </c>
      <c r="BA117" s="76">
        <v>0</v>
      </c>
      <c r="BB117" s="76">
        <v>0</v>
      </c>
      <c r="BC117" s="76">
        <v>0</v>
      </c>
      <c r="BD117" s="76">
        <v>0</v>
      </c>
      <c r="BE117" s="76">
        <v>173234</v>
      </c>
      <c r="BF117" s="76">
        <v>872</v>
      </c>
      <c r="BG117" s="76">
        <v>32416</v>
      </c>
      <c r="BH117" s="76">
        <v>30766</v>
      </c>
      <c r="BI117" s="76">
        <v>1940</v>
      </c>
      <c r="BJ117" s="76">
        <v>188</v>
      </c>
      <c r="BK117" s="76">
        <v>66182</v>
      </c>
      <c r="BL117" s="76">
        <v>0</v>
      </c>
      <c r="BM117" s="76">
        <v>0</v>
      </c>
      <c r="BN117" s="76">
        <v>101</v>
      </c>
      <c r="BO117" s="76">
        <v>9447</v>
      </c>
      <c r="BP117" s="76">
        <v>9548</v>
      </c>
      <c r="BQ117" s="76">
        <v>56634</v>
      </c>
      <c r="BR117" s="76">
        <v>229868</v>
      </c>
      <c r="BS117" s="76">
        <v>114188</v>
      </c>
      <c r="BT117" s="76">
        <v>0</v>
      </c>
      <c r="BU117" s="76">
        <v>4</v>
      </c>
      <c r="BV117" s="76">
        <v>6414</v>
      </c>
      <c r="BW117" s="76">
        <v>0</v>
      </c>
      <c r="BX117" s="76">
        <v>0</v>
      </c>
      <c r="BY117" s="76">
        <v>386</v>
      </c>
      <c r="BZ117" s="76">
        <v>120992</v>
      </c>
      <c r="CA117" s="76">
        <v>11101</v>
      </c>
      <c r="CB117" s="76">
        <v>29988</v>
      </c>
      <c r="CC117" s="76">
        <v>67787</v>
      </c>
      <c r="CD117" s="76">
        <v>67467</v>
      </c>
      <c r="CE117" s="76">
        <v>0</v>
      </c>
      <c r="CF117" s="76">
        <v>320</v>
      </c>
      <c r="CG117" s="76">
        <v>0</v>
      </c>
      <c r="CH117" s="76">
        <v>0</v>
      </c>
      <c r="CI117" s="76">
        <v>67787</v>
      </c>
      <c r="CJ117" s="76">
        <v>1405</v>
      </c>
      <c r="CK117" s="76">
        <v>884</v>
      </c>
      <c r="CL117" s="76">
        <v>0</v>
      </c>
      <c r="CM117" s="76">
        <v>521</v>
      </c>
      <c r="CN117" s="76">
        <v>473</v>
      </c>
      <c r="CO117" s="76">
        <v>0</v>
      </c>
      <c r="CP117" s="76">
        <v>537</v>
      </c>
      <c r="CQ117" s="76">
        <v>-64</v>
      </c>
      <c r="CR117" s="76">
        <v>0</v>
      </c>
      <c r="CS117" s="76">
        <v>0</v>
      </c>
      <c r="CT117" s="76">
        <v>0</v>
      </c>
      <c r="CU117" s="76">
        <v>0</v>
      </c>
      <c r="CV117" s="76">
        <v>0</v>
      </c>
      <c r="CW117" s="76">
        <v>0</v>
      </c>
      <c r="CX117" s="76">
        <v>0</v>
      </c>
      <c r="CY117" s="76">
        <v>0</v>
      </c>
      <c r="CZ117" s="76">
        <v>0</v>
      </c>
      <c r="DA117" s="76">
        <v>0</v>
      </c>
      <c r="DB117" s="76">
        <v>0</v>
      </c>
      <c r="DC117" s="76">
        <v>0</v>
      </c>
      <c r="DD117" s="76">
        <v>1878</v>
      </c>
      <c r="DE117" s="76">
        <v>884</v>
      </c>
      <c r="DF117" s="76">
        <v>537</v>
      </c>
      <c r="DG117" s="76">
        <v>457</v>
      </c>
      <c r="DH117" s="76">
        <v>0</v>
      </c>
      <c r="DI117" s="76">
        <v>0</v>
      </c>
      <c r="DJ117" s="76">
        <v>0</v>
      </c>
      <c r="DK117" s="76">
        <v>0</v>
      </c>
      <c r="DL117" s="76">
        <v>0</v>
      </c>
      <c r="DM117" s="76">
        <v>0</v>
      </c>
      <c r="DN117" s="76">
        <v>0</v>
      </c>
      <c r="DO117" s="76">
        <v>0</v>
      </c>
      <c r="DP117" s="76">
        <v>0</v>
      </c>
      <c r="DQ117" s="76">
        <v>0</v>
      </c>
      <c r="DR117" s="76">
        <v>0</v>
      </c>
      <c r="DS117" s="76">
        <v>0</v>
      </c>
      <c r="DT117" s="76">
        <v>0</v>
      </c>
      <c r="DU117" s="76">
        <v>0</v>
      </c>
      <c r="DV117" s="76">
        <v>0</v>
      </c>
      <c r="DW117" s="76">
        <v>0</v>
      </c>
      <c r="DX117" s="76">
        <v>0</v>
      </c>
      <c r="DY117" s="76">
        <v>0</v>
      </c>
      <c r="DZ117" s="76">
        <v>0</v>
      </c>
      <c r="EA117" s="76">
        <v>0</v>
      </c>
      <c r="EB117" s="76">
        <v>928</v>
      </c>
      <c r="EC117" s="76">
        <v>0</v>
      </c>
      <c r="ED117" s="76">
        <v>563</v>
      </c>
      <c r="EE117" s="76">
        <v>365</v>
      </c>
      <c r="EF117" s="76">
        <v>928</v>
      </c>
      <c r="EG117" s="76">
        <v>0</v>
      </c>
      <c r="EH117" s="76">
        <v>563</v>
      </c>
      <c r="EI117" s="76">
        <v>365</v>
      </c>
      <c r="EJ117" s="76">
        <v>2806</v>
      </c>
      <c r="EK117" s="76">
        <v>884</v>
      </c>
      <c r="EL117" s="76">
        <v>1100</v>
      </c>
      <c r="EM117" s="76">
        <v>822</v>
      </c>
      <c r="EN117" s="76">
        <v>1390</v>
      </c>
      <c r="EO117" s="76">
        <v>569</v>
      </c>
      <c r="EP117" s="76">
        <v>776</v>
      </c>
      <c r="EQ117" s="76">
        <v>569</v>
      </c>
      <c r="ER117" s="76">
        <v>168987</v>
      </c>
      <c r="ES117" s="76">
        <v>0</v>
      </c>
      <c r="ET117" s="76">
        <v>168987</v>
      </c>
      <c r="EU117" s="76">
        <v>27939</v>
      </c>
      <c r="EV117" s="76">
        <v>-1362</v>
      </c>
      <c r="EW117" s="76">
        <v>0</v>
      </c>
      <c r="EX117" s="76">
        <v>0</v>
      </c>
      <c r="EY117" s="76">
        <v>-476</v>
      </c>
      <c r="EZ117" s="76">
        <v>195088</v>
      </c>
      <c r="FA117" s="76">
        <v>21642</v>
      </c>
      <c r="FB117" s="76">
        <v>4918</v>
      </c>
      <c r="FC117" s="76">
        <v>0</v>
      </c>
      <c r="FD117" s="76">
        <v>0</v>
      </c>
      <c r="FE117" s="76">
        <v>-198</v>
      </c>
      <c r="FF117" s="76">
        <v>0</v>
      </c>
      <c r="FG117" s="76">
        <v>4</v>
      </c>
      <c r="FH117" s="76">
        <v>26366</v>
      </c>
      <c r="FI117" s="76">
        <v>168722</v>
      </c>
      <c r="FJ117" s="76">
        <v>147345</v>
      </c>
      <c r="FK117" s="76">
        <v>0</v>
      </c>
      <c r="FL117" s="76">
        <v>0</v>
      </c>
      <c r="FM117" s="76">
        <v>0</v>
      </c>
      <c r="FN117" s="76">
        <v>2446</v>
      </c>
      <c r="FO117" s="76">
        <v>2206</v>
      </c>
      <c r="FP117" s="76">
        <v>240</v>
      </c>
      <c r="FQ117" s="76">
        <v>236</v>
      </c>
      <c r="FR117" s="76">
        <v>251</v>
      </c>
      <c r="FS117" s="76">
        <v>-15</v>
      </c>
      <c r="FT117" s="76">
        <v>0</v>
      </c>
      <c r="FU117" s="76">
        <v>0</v>
      </c>
      <c r="FV117" s="76">
        <v>0</v>
      </c>
      <c r="FW117" s="76">
        <v>0</v>
      </c>
      <c r="FX117" s="76">
        <v>0</v>
      </c>
      <c r="FY117" s="76">
        <v>0</v>
      </c>
      <c r="FZ117" s="76">
        <v>1861</v>
      </c>
      <c r="GA117" s="76">
        <v>597</v>
      </c>
      <c r="GB117" s="76">
        <v>1264</v>
      </c>
      <c r="GC117" s="76">
        <v>4543</v>
      </c>
      <c r="GD117" s="76">
        <v>3054</v>
      </c>
      <c r="GE117" s="76">
        <v>1489</v>
      </c>
      <c r="GF117" s="76">
        <v>0</v>
      </c>
      <c r="GG117" s="76">
        <v>0</v>
      </c>
      <c r="GH117" s="76">
        <v>0</v>
      </c>
      <c r="GI117" s="76">
        <v>0</v>
      </c>
      <c r="GJ117" s="76">
        <v>0</v>
      </c>
      <c r="GK117" s="76">
        <v>188</v>
      </c>
      <c r="GL117" s="76">
        <v>188</v>
      </c>
      <c r="GM117" s="76">
        <v>549</v>
      </c>
      <c r="GN117" s="76">
        <v>1312</v>
      </c>
      <c r="GO117" s="76">
        <v>0</v>
      </c>
      <c r="GP117" s="76">
        <v>0</v>
      </c>
      <c r="GQ117" s="76">
        <v>227</v>
      </c>
      <c r="GR117" s="76">
        <v>5069</v>
      </c>
      <c r="GS117" s="76">
        <v>18</v>
      </c>
      <c r="GT117" s="76">
        <v>0</v>
      </c>
      <c r="GU117" s="76">
        <v>0</v>
      </c>
      <c r="GV117" s="76">
        <v>0</v>
      </c>
      <c r="GW117" s="76">
        <v>2272</v>
      </c>
      <c r="GX117" s="76">
        <v>9447</v>
      </c>
      <c r="GY117" s="76">
        <v>121</v>
      </c>
      <c r="GZ117" s="76">
        <v>0</v>
      </c>
      <c r="HA117" s="76">
        <v>0</v>
      </c>
      <c r="HB117" s="76">
        <v>265</v>
      </c>
      <c r="HC117" s="76">
        <v>386</v>
      </c>
      <c r="HD117" s="76">
        <v>29482</v>
      </c>
      <c r="HE117" s="76">
        <v>506</v>
      </c>
      <c r="HF117" s="76">
        <v>29988</v>
      </c>
      <c r="HG117" s="76">
        <v>4479</v>
      </c>
      <c r="HH117" s="76">
        <v>220</v>
      </c>
      <c r="HI117" s="76">
        <v>223</v>
      </c>
      <c r="HJ117" s="76">
        <v>0</v>
      </c>
      <c r="HK117" s="76">
        <v>0</v>
      </c>
      <c r="HL117" s="76">
        <v>-622</v>
      </c>
      <c r="HM117" s="76">
        <v>4300</v>
      </c>
      <c r="HN117" s="76">
        <v>8655</v>
      </c>
      <c r="HO117" s="76">
        <v>5553</v>
      </c>
      <c r="HP117" s="76">
        <v>0</v>
      </c>
      <c r="HQ117" s="76">
        <v>131</v>
      </c>
      <c r="HR117" s="76">
        <v>-91</v>
      </c>
      <c r="HS117" s="76">
        <v>15</v>
      </c>
      <c r="HT117" s="76">
        <v>8010</v>
      </c>
      <c r="HU117" s="76">
        <v>0</v>
      </c>
      <c r="HV117" s="76">
        <v>0</v>
      </c>
      <c r="HW117" s="76">
        <v>5</v>
      </c>
      <c r="HX117" s="76">
        <v>501</v>
      </c>
    </row>
    <row r="118" spans="1:232" x14ac:dyDescent="0.2">
      <c r="A118" s="74" t="s">
        <v>515</v>
      </c>
      <c r="B118" s="74" t="s">
        <v>514</v>
      </c>
      <c r="C118" s="75" t="s">
        <v>200</v>
      </c>
      <c r="D118" s="75">
        <v>12</v>
      </c>
      <c r="E118" s="76">
        <v>265689</v>
      </c>
      <c r="F118" s="76">
        <v>-25912</v>
      </c>
      <c r="G118" s="76">
        <v>-143517</v>
      </c>
      <c r="H118" s="76">
        <v>96260</v>
      </c>
      <c r="I118" s="76">
        <v>16912</v>
      </c>
      <c r="J118" s="76">
        <v>0</v>
      </c>
      <c r="K118" s="76">
        <v>10577</v>
      </c>
      <c r="L118" s="76">
        <v>3784</v>
      </c>
      <c r="M118" s="76">
        <v>1456</v>
      </c>
      <c r="N118" s="76">
        <v>-48459</v>
      </c>
      <c r="O118" s="76">
        <v>686</v>
      </c>
      <c r="P118" s="76">
        <v>-1557</v>
      </c>
      <c r="Q118" s="76">
        <v>0</v>
      </c>
      <c r="R118" s="76">
        <v>0</v>
      </c>
      <c r="S118" s="76">
        <v>79659</v>
      </c>
      <c r="T118" s="76">
        <v>-8</v>
      </c>
      <c r="U118" s="76">
        <v>79651</v>
      </c>
      <c r="V118" s="76">
        <v>0</v>
      </c>
      <c r="W118" s="76">
        <v>-1357</v>
      </c>
      <c r="X118" s="76">
        <v>-2731</v>
      </c>
      <c r="Y118" s="76">
        <v>0</v>
      </c>
      <c r="Z118" s="76">
        <v>75563</v>
      </c>
      <c r="AA118" s="76">
        <v>170197</v>
      </c>
      <c r="AB118" s="76">
        <v>21459</v>
      </c>
      <c r="AC118" s="76">
        <v>191656</v>
      </c>
      <c r="AD118" s="76">
        <v>4855</v>
      </c>
      <c r="AE118" s="76">
        <v>0</v>
      </c>
      <c r="AF118" s="76">
        <v>0</v>
      </c>
      <c r="AG118" s="76">
        <v>1483</v>
      </c>
      <c r="AH118" s="76">
        <v>197994</v>
      </c>
      <c r="AI118" s="76">
        <v>37492</v>
      </c>
      <c r="AJ118" s="76">
        <v>27037</v>
      </c>
      <c r="AK118" s="76">
        <v>16592</v>
      </c>
      <c r="AL118" s="76">
        <v>10384</v>
      </c>
      <c r="AM118" s="76">
        <v>3951</v>
      </c>
      <c r="AN118" s="76">
        <v>1908</v>
      </c>
      <c r="AO118" s="76">
        <v>17681</v>
      </c>
      <c r="AP118" s="76">
        <v>619</v>
      </c>
      <c r="AQ118" s="76">
        <v>2834</v>
      </c>
      <c r="AR118" s="76">
        <v>118498</v>
      </c>
      <c r="AS118" s="76">
        <v>79496</v>
      </c>
      <c r="AT118" s="76">
        <v>2712</v>
      </c>
      <c r="AU118" s="76">
        <v>2791377</v>
      </c>
      <c r="AV118" s="76">
        <v>0</v>
      </c>
      <c r="AW118" s="76">
        <v>12020</v>
      </c>
      <c r="AX118" s="76">
        <v>0</v>
      </c>
      <c r="AY118" s="76">
        <v>138439</v>
      </c>
      <c r="AZ118" s="76">
        <v>47824</v>
      </c>
      <c r="BA118" s="76">
        <v>7989</v>
      </c>
      <c r="BB118" s="76">
        <v>0</v>
      </c>
      <c r="BC118" s="76">
        <v>0</v>
      </c>
      <c r="BD118" s="76">
        <v>26796</v>
      </c>
      <c r="BE118" s="76">
        <v>3024445</v>
      </c>
      <c r="BF118" s="76">
        <v>97092</v>
      </c>
      <c r="BG118" s="76">
        <v>8821</v>
      </c>
      <c r="BH118" s="76">
        <v>104190</v>
      </c>
      <c r="BI118" s="76">
        <v>0</v>
      </c>
      <c r="BJ118" s="76">
        <v>27376</v>
      </c>
      <c r="BK118" s="76">
        <v>237479</v>
      </c>
      <c r="BL118" s="76">
        <v>5918</v>
      </c>
      <c r="BM118" s="76">
        <v>0</v>
      </c>
      <c r="BN118" s="76">
        <v>4855</v>
      </c>
      <c r="BO118" s="76">
        <v>124865</v>
      </c>
      <c r="BP118" s="76">
        <v>135638</v>
      </c>
      <c r="BQ118" s="76">
        <v>101841</v>
      </c>
      <c r="BR118" s="76">
        <v>3126286</v>
      </c>
      <c r="BS118" s="76">
        <v>1039676</v>
      </c>
      <c r="BT118" s="76">
        <v>0</v>
      </c>
      <c r="BU118" s="76">
        <v>613</v>
      </c>
      <c r="BV118" s="76">
        <v>154842</v>
      </c>
      <c r="BW118" s="76">
        <v>112591</v>
      </c>
      <c r="BX118" s="76">
        <v>48962</v>
      </c>
      <c r="BY118" s="76">
        <v>83194</v>
      </c>
      <c r="BZ118" s="76">
        <v>1439878</v>
      </c>
      <c r="CA118" s="76">
        <v>34412</v>
      </c>
      <c r="CB118" s="76">
        <v>9802</v>
      </c>
      <c r="CC118" s="76">
        <v>1642194</v>
      </c>
      <c r="CD118" s="76">
        <v>805259</v>
      </c>
      <c r="CE118" s="76">
        <v>850023</v>
      </c>
      <c r="CF118" s="76">
        <v>13994</v>
      </c>
      <c r="CG118" s="76">
        <v>-27082</v>
      </c>
      <c r="CH118" s="76">
        <v>0</v>
      </c>
      <c r="CI118" s="76">
        <v>1642194</v>
      </c>
      <c r="CJ118" s="76">
        <v>34806</v>
      </c>
      <c r="CK118" s="76">
        <v>23403</v>
      </c>
      <c r="CL118" s="76">
        <v>417</v>
      </c>
      <c r="CM118" s="76">
        <v>10986</v>
      </c>
      <c r="CN118" s="76">
        <v>13552</v>
      </c>
      <c r="CO118" s="76">
        <v>0</v>
      </c>
      <c r="CP118" s="76">
        <v>11702</v>
      </c>
      <c r="CQ118" s="76">
        <v>1850</v>
      </c>
      <c r="CR118" s="76">
        <v>0</v>
      </c>
      <c r="CS118" s="76">
        <v>0</v>
      </c>
      <c r="CT118" s="76">
        <v>0</v>
      </c>
      <c r="CU118" s="76">
        <v>0</v>
      </c>
      <c r="CV118" s="76">
        <v>347</v>
      </c>
      <c r="CW118" s="76">
        <v>0</v>
      </c>
      <c r="CX118" s="76">
        <v>805</v>
      </c>
      <c r="CY118" s="76">
        <v>-458</v>
      </c>
      <c r="CZ118" s="76">
        <v>1928</v>
      </c>
      <c r="DA118" s="76">
        <v>0</v>
      </c>
      <c r="DB118" s="76">
        <v>1414</v>
      </c>
      <c r="DC118" s="76">
        <v>514</v>
      </c>
      <c r="DD118" s="76">
        <v>50633</v>
      </c>
      <c r="DE118" s="76">
        <v>23403</v>
      </c>
      <c r="DF118" s="76">
        <v>14338</v>
      </c>
      <c r="DG118" s="76">
        <v>12892</v>
      </c>
      <c r="DH118" s="76">
        <v>2815</v>
      </c>
      <c r="DI118" s="76">
        <v>2509</v>
      </c>
      <c r="DJ118" s="76">
        <v>0</v>
      </c>
      <c r="DK118" s="76">
        <v>306</v>
      </c>
      <c r="DL118" s="76">
        <v>0</v>
      </c>
      <c r="DM118" s="76">
        <v>0</v>
      </c>
      <c r="DN118" s="76">
        <v>0</v>
      </c>
      <c r="DO118" s="76">
        <v>0</v>
      </c>
      <c r="DP118" s="76">
        <v>5561</v>
      </c>
      <c r="DQ118" s="76">
        <v>0</v>
      </c>
      <c r="DR118" s="76">
        <v>5695</v>
      </c>
      <c r="DS118" s="76">
        <v>-134</v>
      </c>
      <c r="DT118" s="76">
        <v>4593</v>
      </c>
      <c r="DU118" s="76">
        <v>0</v>
      </c>
      <c r="DV118" s="76">
        <v>657</v>
      </c>
      <c r="DW118" s="76">
        <v>3936</v>
      </c>
      <c r="DX118" s="76">
        <v>0</v>
      </c>
      <c r="DY118" s="76">
        <v>0</v>
      </c>
      <c r="DZ118" s="76">
        <v>0</v>
      </c>
      <c r="EA118" s="76">
        <v>0</v>
      </c>
      <c r="EB118" s="76">
        <v>4093</v>
      </c>
      <c r="EC118" s="76">
        <v>0</v>
      </c>
      <c r="ED118" s="76">
        <v>4329</v>
      </c>
      <c r="EE118" s="76">
        <v>-236</v>
      </c>
      <c r="EF118" s="76">
        <v>17062</v>
      </c>
      <c r="EG118" s="76">
        <v>2509</v>
      </c>
      <c r="EH118" s="76">
        <v>10681</v>
      </c>
      <c r="EI118" s="76">
        <v>3872</v>
      </c>
      <c r="EJ118" s="76">
        <v>67695</v>
      </c>
      <c r="EK118" s="76">
        <v>25912</v>
      </c>
      <c r="EL118" s="76">
        <v>25019</v>
      </c>
      <c r="EM118" s="76">
        <v>16764</v>
      </c>
      <c r="EN118" s="76">
        <v>9619</v>
      </c>
      <c r="EO118" s="76">
        <v>9135</v>
      </c>
      <c r="EP118" s="76">
        <v>2779</v>
      </c>
      <c r="EQ118" s="76">
        <v>7154</v>
      </c>
      <c r="ER118" s="76">
        <v>2754873</v>
      </c>
      <c r="ES118" s="76">
        <v>0</v>
      </c>
      <c r="ET118" s="76">
        <v>2754873</v>
      </c>
      <c r="EU118" s="76">
        <v>161729</v>
      </c>
      <c r="EV118" s="76">
        <v>-49319</v>
      </c>
      <c r="EW118" s="76">
        <v>0</v>
      </c>
      <c r="EX118" s="76">
        <v>5623</v>
      </c>
      <c r="EY118" s="76">
        <v>-16579</v>
      </c>
      <c r="EZ118" s="76">
        <v>2856327</v>
      </c>
      <c r="FA118" s="76">
        <v>66134</v>
      </c>
      <c r="FB118" s="76">
        <v>15311</v>
      </c>
      <c r="FC118" s="76">
        <v>619</v>
      </c>
      <c r="FD118" s="76">
        <v>0</v>
      </c>
      <c r="FE118" s="76">
        <v>-17114</v>
      </c>
      <c r="FF118" s="76">
        <v>0</v>
      </c>
      <c r="FG118" s="76">
        <v>0</v>
      </c>
      <c r="FH118" s="76">
        <v>64950</v>
      </c>
      <c r="FI118" s="76">
        <v>2791377</v>
      </c>
      <c r="FJ118" s="76">
        <v>2688739</v>
      </c>
      <c r="FK118" s="76">
        <v>26570</v>
      </c>
      <c r="FL118" s="76">
        <v>15812</v>
      </c>
      <c r="FM118" s="76">
        <v>10758</v>
      </c>
      <c r="FN118" s="76">
        <v>3544</v>
      </c>
      <c r="FO118" s="76">
        <v>2190</v>
      </c>
      <c r="FP118" s="76">
        <v>1354</v>
      </c>
      <c r="FQ118" s="76">
        <v>853</v>
      </c>
      <c r="FR118" s="76">
        <v>747</v>
      </c>
      <c r="FS118" s="76">
        <v>106</v>
      </c>
      <c r="FT118" s="76">
        <v>0</v>
      </c>
      <c r="FU118" s="76">
        <v>0</v>
      </c>
      <c r="FV118" s="76">
        <v>0</v>
      </c>
      <c r="FW118" s="76">
        <v>0</v>
      </c>
      <c r="FX118" s="76">
        <v>0</v>
      </c>
      <c r="FY118" s="76">
        <v>0</v>
      </c>
      <c r="FZ118" s="76">
        <v>30576</v>
      </c>
      <c r="GA118" s="76">
        <v>25882</v>
      </c>
      <c r="GB118" s="76">
        <v>4694</v>
      </c>
      <c r="GC118" s="76">
        <v>61543</v>
      </c>
      <c r="GD118" s="76">
        <v>44631</v>
      </c>
      <c r="GE118" s="76">
        <v>16912</v>
      </c>
      <c r="GF118" s="76">
        <v>0</v>
      </c>
      <c r="GG118" s="76">
        <v>61</v>
      </c>
      <c r="GH118" s="76">
        <v>27</v>
      </c>
      <c r="GI118" s="76">
        <v>8279</v>
      </c>
      <c r="GJ118" s="76">
        <v>0</v>
      </c>
      <c r="GK118" s="76">
        <v>19009</v>
      </c>
      <c r="GL118" s="76">
        <v>27376</v>
      </c>
      <c r="GM118" s="76">
        <v>5617</v>
      </c>
      <c r="GN118" s="76">
        <v>10188</v>
      </c>
      <c r="GO118" s="76">
        <v>0</v>
      </c>
      <c r="GP118" s="76">
        <v>28702</v>
      </c>
      <c r="GQ118" s="76">
        <v>912</v>
      </c>
      <c r="GR118" s="76">
        <v>54673</v>
      </c>
      <c r="GS118" s="76">
        <v>25</v>
      </c>
      <c r="GT118" s="76">
        <v>0</v>
      </c>
      <c r="GU118" s="76">
        <v>0</v>
      </c>
      <c r="GV118" s="76">
        <v>0</v>
      </c>
      <c r="GW118" s="76">
        <v>24748</v>
      </c>
      <c r="GX118" s="76">
        <v>124865</v>
      </c>
      <c r="GY118" s="76">
        <v>73614</v>
      </c>
      <c r="GZ118" s="76">
        <v>2134</v>
      </c>
      <c r="HA118" s="76">
        <v>0</v>
      </c>
      <c r="HB118" s="76">
        <v>7446</v>
      </c>
      <c r="HC118" s="76">
        <v>83194</v>
      </c>
      <c r="HD118" s="76">
        <v>8279</v>
      </c>
      <c r="HE118" s="76">
        <v>1523</v>
      </c>
      <c r="HF118" s="76">
        <v>9802</v>
      </c>
      <c r="HG118" s="76">
        <v>52762</v>
      </c>
      <c r="HH118" s="76">
        <v>0</v>
      </c>
      <c r="HI118" s="76">
        <v>1885</v>
      </c>
      <c r="HJ118" s="76">
        <v>534</v>
      </c>
      <c r="HK118" s="76">
        <v>47</v>
      </c>
      <c r="HL118" s="76">
        <v>-6769</v>
      </c>
      <c r="HM118" s="76">
        <v>48459</v>
      </c>
      <c r="HN118" s="76">
        <v>28651</v>
      </c>
      <c r="HO118" s="76">
        <v>17681</v>
      </c>
      <c r="HP118" s="76">
        <v>-12476</v>
      </c>
      <c r="HQ118" s="76">
        <v>648</v>
      </c>
      <c r="HR118" s="76">
        <v>-180</v>
      </c>
      <c r="HS118" s="76">
        <v>-618</v>
      </c>
      <c r="HT118" s="76">
        <v>31226</v>
      </c>
      <c r="HU118" s="76">
        <v>198</v>
      </c>
      <c r="HV118" s="76">
        <v>-13</v>
      </c>
      <c r="HW118" s="76">
        <v>-339</v>
      </c>
      <c r="HX118" s="76">
        <v>4859</v>
      </c>
    </row>
    <row r="119" spans="1:232" x14ac:dyDescent="0.2">
      <c r="A119" s="74" t="s">
        <v>516</v>
      </c>
      <c r="B119" s="74" t="s">
        <v>517</v>
      </c>
      <c r="C119" s="75" t="s">
        <v>200</v>
      </c>
      <c r="D119" s="75">
        <v>12</v>
      </c>
      <c r="E119" s="76">
        <v>205978</v>
      </c>
      <c r="F119" s="76">
        <v>-5356</v>
      </c>
      <c r="G119" s="76">
        <v>-134838</v>
      </c>
      <c r="H119" s="76">
        <v>65784</v>
      </c>
      <c r="I119" s="76">
        <v>2662</v>
      </c>
      <c r="J119" s="76">
        <v>0</v>
      </c>
      <c r="K119" s="76">
        <v>0</v>
      </c>
      <c r="L119" s="76">
        <v>0</v>
      </c>
      <c r="M119" s="76">
        <v>648</v>
      </c>
      <c r="N119" s="76">
        <v>-30380</v>
      </c>
      <c r="O119" s="76">
        <v>1170</v>
      </c>
      <c r="P119" s="76">
        <v>0</v>
      </c>
      <c r="Q119" s="76">
        <v>0</v>
      </c>
      <c r="R119" s="76">
        <v>0</v>
      </c>
      <c r="S119" s="76">
        <v>39884</v>
      </c>
      <c r="T119" s="76">
        <v>-100</v>
      </c>
      <c r="U119" s="76">
        <v>39784</v>
      </c>
      <c r="V119" s="76">
        <v>0</v>
      </c>
      <c r="W119" s="76">
        <v>0</v>
      </c>
      <c r="X119" s="76">
        <v>-2891</v>
      </c>
      <c r="Y119" s="76">
        <v>0</v>
      </c>
      <c r="Z119" s="76">
        <v>36893</v>
      </c>
      <c r="AA119" s="76">
        <v>137557</v>
      </c>
      <c r="AB119" s="76">
        <v>22669</v>
      </c>
      <c r="AC119" s="76">
        <v>160226</v>
      </c>
      <c r="AD119" s="76">
        <v>7576</v>
      </c>
      <c r="AE119" s="76">
        <v>0</v>
      </c>
      <c r="AF119" s="76">
        <v>0</v>
      </c>
      <c r="AG119" s="76">
        <v>7580</v>
      </c>
      <c r="AH119" s="76">
        <v>175382</v>
      </c>
      <c r="AI119" s="76">
        <v>30642</v>
      </c>
      <c r="AJ119" s="76">
        <v>23014</v>
      </c>
      <c r="AK119" s="76">
        <v>20923</v>
      </c>
      <c r="AL119" s="76">
        <v>5771</v>
      </c>
      <c r="AM119" s="76">
        <v>4102</v>
      </c>
      <c r="AN119" s="76">
        <v>2304</v>
      </c>
      <c r="AO119" s="76">
        <v>21367</v>
      </c>
      <c r="AP119" s="76">
        <v>0</v>
      </c>
      <c r="AQ119" s="76">
        <v>-103</v>
      </c>
      <c r="AR119" s="76">
        <v>108020</v>
      </c>
      <c r="AS119" s="76">
        <v>67362</v>
      </c>
      <c r="AT119" s="76">
        <v>2536</v>
      </c>
      <c r="AU119" s="76">
        <v>1468258</v>
      </c>
      <c r="AV119" s="76">
        <v>0</v>
      </c>
      <c r="AW119" s="76">
        <v>30101</v>
      </c>
      <c r="AX119" s="76">
        <v>0</v>
      </c>
      <c r="AY119" s="76">
        <v>132</v>
      </c>
      <c r="AZ119" s="76">
        <v>14463</v>
      </c>
      <c r="BA119" s="76">
        <v>0</v>
      </c>
      <c r="BB119" s="76">
        <v>0</v>
      </c>
      <c r="BC119" s="76">
        <v>0</v>
      </c>
      <c r="BD119" s="76">
        <v>3017</v>
      </c>
      <c r="BE119" s="76">
        <v>1515971</v>
      </c>
      <c r="BF119" s="76">
        <v>2862</v>
      </c>
      <c r="BG119" s="76">
        <v>5013</v>
      </c>
      <c r="BH119" s="76">
        <v>67939</v>
      </c>
      <c r="BI119" s="76">
        <v>595</v>
      </c>
      <c r="BJ119" s="76">
        <v>7999</v>
      </c>
      <c r="BK119" s="76">
        <v>84408</v>
      </c>
      <c r="BL119" s="76">
        <v>36011</v>
      </c>
      <c r="BM119" s="76">
        <v>0</v>
      </c>
      <c r="BN119" s="76">
        <v>8205</v>
      </c>
      <c r="BO119" s="76">
        <v>30523</v>
      </c>
      <c r="BP119" s="76">
        <v>74739</v>
      </c>
      <c r="BQ119" s="76">
        <v>9669</v>
      </c>
      <c r="BR119" s="76">
        <v>1525640</v>
      </c>
      <c r="BS119" s="76">
        <v>524649</v>
      </c>
      <c r="BT119" s="76">
        <v>0</v>
      </c>
      <c r="BU119" s="76">
        <v>3995</v>
      </c>
      <c r="BV119" s="76">
        <v>711275</v>
      </c>
      <c r="BW119" s="76">
        <v>132</v>
      </c>
      <c r="BX119" s="76">
        <v>76397</v>
      </c>
      <c r="BY119" s="76">
        <v>33793</v>
      </c>
      <c r="BZ119" s="76">
        <v>1350241</v>
      </c>
      <c r="CA119" s="76">
        <v>0</v>
      </c>
      <c r="CB119" s="76">
        <v>0</v>
      </c>
      <c r="CC119" s="76">
        <v>175399</v>
      </c>
      <c r="CD119" s="76">
        <v>251796</v>
      </c>
      <c r="CE119" s="76">
        <v>0</v>
      </c>
      <c r="CF119" s="76">
        <v>0</v>
      </c>
      <c r="CG119" s="76">
        <v>-76397</v>
      </c>
      <c r="CH119" s="76">
        <v>0</v>
      </c>
      <c r="CI119" s="76">
        <v>175399</v>
      </c>
      <c r="CJ119" s="76">
        <v>6112</v>
      </c>
      <c r="CK119" s="76">
        <v>5356</v>
      </c>
      <c r="CL119" s="76">
        <v>0</v>
      </c>
      <c r="CM119" s="76">
        <v>756</v>
      </c>
      <c r="CN119" s="76">
        <v>0</v>
      </c>
      <c r="CO119" s="76">
        <v>0</v>
      </c>
      <c r="CP119" s="76">
        <v>0</v>
      </c>
      <c r="CQ119" s="76">
        <v>0</v>
      </c>
      <c r="CR119" s="76">
        <v>0</v>
      </c>
      <c r="CS119" s="76">
        <v>0</v>
      </c>
      <c r="CT119" s="76">
        <v>70</v>
      </c>
      <c r="CU119" s="76">
        <v>-70</v>
      </c>
      <c r="CV119" s="76">
        <v>140</v>
      </c>
      <c r="CW119" s="76">
        <v>0</v>
      </c>
      <c r="CX119" s="76">
        <v>410</v>
      </c>
      <c r="CY119" s="76">
        <v>-270</v>
      </c>
      <c r="CZ119" s="76">
        <v>1041</v>
      </c>
      <c r="DA119" s="76">
        <v>0</v>
      </c>
      <c r="DB119" s="76">
        <v>278</v>
      </c>
      <c r="DC119" s="76">
        <v>763</v>
      </c>
      <c r="DD119" s="76">
        <v>7293</v>
      </c>
      <c r="DE119" s="76">
        <v>5356</v>
      </c>
      <c r="DF119" s="76">
        <v>758</v>
      </c>
      <c r="DG119" s="76">
        <v>1179</v>
      </c>
      <c r="DH119" s="76">
        <v>0</v>
      </c>
      <c r="DI119" s="76">
        <v>0</v>
      </c>
      <c r="DJ119" s="76">
        <v>0</v>
      </c>
      <c r="DK119" s="76">
        <v>0</v>
      </c>
      <c r="DL119" s="76">
        <v>244</v>
      </c>
      <c r="DM119" s="76">
        <v>0</v>
      </c>
      <c r="DN119" s="76">
        <v>176</v>
      </c>
      <c r="DO119" s="76">
        <v>68</v>
      </c>
      <c r="DP119" s="76">
        <v>490</v>
      </c>
      <c r="DQ119" s="76">
        <v>0</v>
      </c>
      <c r="DR119" s="76">
        <v>708</v>
      </c>
      <c r="DS119" s="76">
        <v>-218</v>
      </c>
      <c r="DT119" s="76">
        <v>973</v>
      </c>
      <c r="DU119" s="76">
        <v>0</v>
      </c>
      <c r="DV119" s="76">
        <v>363</v>
      </c>
      <c r="DW119" s="76">
        <v>610</v>
      </c>
      <c r="DX119" s="76">
        <v>20741</v>
      </c>
      <c r="DY119" s="76">
        <v>0</v>
      </c>
      <c r="DZ119" s="76">
        <v>23035</v>
      </c>
      <c r="EA119" s="76">
        <v>-2294</v>
      </c>
      <c r="EB119" s="76">
        <v>855</v>
      </c>
      <c r="EC119" s="76">
        <v>0</v>
      </c>
      <c r="ED119" s="76">
        <v>1778</v>
      </c>
      <c r="EE119" s="76">
        <v>-923</v>
      </c>
      <c r="EF119" s="76">
        <v>23303</v>
      </c>
      <c r="EG119" s="76">
        <v>0</v>
      </c>
      <c r="EH119" s="76">
        <v>26060</v>
      </c>
      <c r="EI119" s="76">
        <v>-2757</v>
      </c>
      <c r="EJ119" s="76">
        <v>30596</v>
      </c>
      <c r="EK119" s="76">
        <v>5356</v>
      </c>
      <c r="EL119" s="76">
        <v>26818</v>
      </c>
      <c r="EM119" s="76">
        <v>-1578</v>
      </c>
      <c r="EN119" s="76">
        <v>7904</v>
      </c>
      <c r="EO119" s="76">
        <v>4594</v>
      </c>
      <c r="EP119" s="76">
        <v>2891</v>
      </c>
      <c r="EQ119" s="76">
        <v>4594</v>
      </c>
      <c r="ER119" s="76">
        <v>1678921</v>
      </c>
      <c r="ES119" s="76">
        <v>0</v>
      </c>
      <c r="ET119" s="76">
        <v>1678921</v>
      </c>
      <c r="EU119" s="76">
        <v>41077</v>
      </c>
      <c r="EV119" s="76">
        <v>-11898</v>
      </c>
      <c r="EW119" s="76">
        <v>0</v>
      </c>
      <c r="EX119" s="76">
        <v>0</v>
      </c>
      <c r="EY119" s="76">
        <v>-5221</v>
      </c>
      <c r="EZ119" s="76">
        <v>1702879</v>
      </c>
      <c r="FA119" s="76">
        <v>217312</v>
      </c>
      <c r="FB119" s="76">
        <v>21355</v>
      </c>
      <c r="FC119" s="76">
        <v>0</v>
      </c>
      <c r="FD119" s="76">
        <v>0</v>
      </c>
      <c r="FE119" s="76">
        <v>-3906</v>
      </c>
      <c r="FF119" s="76">
        <v>0</v>
      </c>
      <c r="FG119" s="76">
        <v>-140</v>
      </c>
      <c r="FH119" s="76">
        <v>234621</v>
      </c>
      <c r="FI119" s="76">
        <v>1468258</v>
      </c>
      <c r="FJ119" s="76">
        <v>1461609</v>
      </c>
      <c r="FK119" s="76">
        <v>5683</v>
      </c>
      <c r="FL119" s="76">
        <v>3859</v>
      </c>
      <c r="FM119" s="76">
        <v>1824</v>
      </c>
      <c r="FN119" s="76">
        <v>154</v>
      </c>
      <c r="FO119" s="76">
        <v>56</v>
      </c>
      <c r="FP119" s="76">
        <v>98</v>
      </c>
      <c r="FQ119" s="76">
        <v>250</v>
      </c>
      <c r="FR119" s="76">
        <v>316</v>
      </c>
      <c r="FS119" s="76">
        <v>-66</v>
      </c>
      <c r="FT119" s="76">
        <v>8456</v>
      </c>
      <c r="FU119" s="76">
        <v>7650</v>
      </c>
      <c r="FV119" s="76">
        <v>806</v>
      </c>
      <c r="FW119" s="76">
        <v>0</v>
      </c>
      <c r="FX119" s="76">
        <v>0</v>
      </c>
      <c r="FY119" s="76">
        <v>0</v>
      </c>
      <c r="FZ119" s="76">
        <v>0</v>
      </c>
      <c r="GA119" s="76">
        <v>0</v>
      </c>
      <c r="GB119" s="76">
        <v>0</v>
      </c>
      <c r="GC119" s="76">
        <v>14543</v>
      </c>
      <c r="GD119" s="76">
        <v>11881</v>
      </c>
      <c r="GE119" s="76">
        <v>2662</v>
      </c>
      <c r="GF119" s="76">
        <v>0</v>
      </c>
      <c r="GG119" s="76">
        <v>0</v>
      </c>
      <c r="GH119" s="76">
        <v>3036</v>
      </c>
      <c r="GI119" s="76">
        <v>0</v>
      </c>
      <c r="GJ119" s="76">
        <v>0</v>
      </c>
      <c r="GK119" s="76">
        <v>4963</v>
      </c>
      <c r="GL119" s="76">
        <v>7999</v>
      </c>
      <c r="GM119" s="76">
        <v>1369</v>
      </c>
      <c r="GN119" s="76">
        <v>3349</v>
      </c>
      <c r="GO119" s="76">
        <v>0</v>
      </c>
      <c r="GP119" s="76">
        <v>3279</v>
      </c>
      <c r="GQ119" s="76">
        <v>215</v>
      </c>
      <c r="GR119" s="76">
        <v>16965</v>
      </c>
      <c r="GS119" s="76">
        <v>129</v>
      </c>
      <c r="GT119" s="76">
        <v>0</v>
      </c>
      <c r="GU119" s="76">
        <v>3319</v>
      </c>
      <c r="GV119" s="76">
        <v>0</v>
      </c>
      <c r="GW119" s="76">
        <v>1898</v>
      </c>
      <c r="GX119" s="76">
        <v>30523</v>
      </c>
      <c r="GY119" s="76">
        <v>2612</v>
      </c>
      <c r="GZ119" s="76">
        <v>290</v>
      </c>
      <c r="HA119" s="76">
        <v>22881</v>
      </c>
      <c r="HB119" s="76">
        <v>8010</v>
      </c>
      <c r="HC119" s="76">
        <v>33793</v>
      </c>
      <c r="HD119" s="76">
        <v>0</v>
      </c>
      <c r="HE119" s="76">
        <v>0</v>
      </c>
      <c r="HF119" s="76">
        <v>0</v>
      </c>
      <c r="HG119" s="76">
        <v>28623</v>
      </c>
      <c r="HH119" s="76">
        <v>825</v>
      </c>
      <c r="HI119" s="76">
        <v>1321</v>
      </c>
      <c r="HJ119" s="76">
        <v>34</v>
      </c>
      <c r="HK119" s="76">
        <v>0</v>
      </c>
      <c r="HL119" s="76">
        <v>-423</v>
      </c>
      <c r="HM119" s="76">
        <v>30380</v>
      </c>
      <c r="HN119" s="76">
        <v>13024</v>
      </c>
      <c r="HO119" s="76">
        <v>24048</v>
      </c>
      <c r="HP119" s="76">
        <v>0</v>
      </c>
      <c r="HQ119" s="76">
        <v>156</v>
      </c>
      <c r="HR119" s="76">
        <v>-155</v>
      </c>
      <c r="HS119" s="76">
        <v>-38</v>
      </c>
      <c r="HT119" s="76">
        <v>30789</v>
      </c>
      <c r="HU119" s="76">
        <v>0</v>
      </c>
      <c r="HV119" s="76">
        <v>-16</v>
      </c>
      <c r="HW119" s="76">
        <v>0</v>
      </c>
      <c r="HX119" s="76">
        <v>165</v>
      </c>
    </row>
    <row r="120" spans="1:232" x14ac:dyDescent="0.2">
      <c r="A120" s="74" t="s">
        <v>113</v>
      </c>
      <c r="B120" s="74" t="s">
        <v>112</v>
      </c>
      <c r="C120" s="75" t="s">
        <v>200</v>
      </c>
      <c r="D120" s="75">
        <v>12</v>
      </c>
      <c r="E120" s="76">
        <v>120970</v>
      </c>
      <c r="F120" s="76">
        <v>-15990</v>
      </c>
      <c r="G120" s="76">
        <v>-61075</v>
      </c>
      <c r="H120" s="76">
        <v>43905</v>
      </c>
      <c r="I120" s="76">
        <v>25361</v>
      </c>
      <c r="J120" s="76">
        <v>0</v>
      </c>
      <c r="K120" s="76">
        <v>0</v>
      </c>
      <c r="L120" s="76">
        <v>0</v>
      </c>
      <c r="M120" s="76">
        <v>104</v>
      </c>
      <c r="N120" s="76">
        <v>-20891</v>
      </c>
      <c r="O120" s="76">
        <v>35</v>
      </c>
      <c r="P120" s="76">
        <v>-762</v>
      </c>
      <c r="Q120" s="76">
        <v>0</v>
      </c>
      <c r="R120" s="76">
        <v>0</v>
      </c>
      <c r="S120" s="76">
        <v>47752</v>
      </c>
      <c r="T120" s="76">
        <v>332</v>
      </c>
      <c r="U120" s="76">
        <v>48084</v>
      </c>
      <c r="V120" s="76">
        <v>0</v>
      </c>
      <c r="W120" s="76">
        <v>-357</v>
      </c>
      <c r="X120" s="76">
        <v>-2662</v>
      </c>
      <c r="Y120" s="76">
        <v>0</v>
      </c>
      <c r="Z120" s="76">
        <v>45065</v>
      </c>
      <c r="AA120" s="76">
        <v>81618</v>
      </c>
      <c r="AB120" s="76">
        <v>8935</v>
      </c>
      <c r="AC120" s="76">
        <v>90553</v>
      </c>
      <c r="AD120" s="76">
        <v>5153</v>
      </c>
      <c r="AE120" s="76">
        <v>0</v>
      </c>
      <c r="AF120" s="76">
        <v>0</v>
      </c>
      <c r="AG120" s="76">
        <v>0</v>
      </c>
      <c r="AH120" s="76">
        <v>95706</v>
      </c>
      <c r="AI120" s="76">
        <v>15508</v>
      </c>
      <c r="AJ120" s="76">
        <v>9357</v>
      </c>
      <c r="AK120" s="76">
        <v>8840</v>
      </c>
      <c r="AL120" s="76">
        <v>3631</v>
      </c>
      <c r="AM120" s="76">
        <v>1801</v>
      </c>
      <c r="AN120" s="76">
        <v>400</v>
      </c>
      <c r="AO120" s="76">
        <v>14683</v>
      </c>
      <c r="AP120" s="76">
        <v>-125</v>
      </c>
      <c r="AQ120" s="76">
        <v>0</v>
      </c>
      <c r="AR120" s="76">
        <v>54095</v>
      </c>
      <c r="AS120" s="76">
        <v>41611</v>
      </c>
      <c r="AT120" s="76">
        <v>864</v>
      </c>
      <c r="AU120" s="76">
        <v>1267567</v>
      </c>
      <c r="AV120" s="76">
        <v>0</v>
      </c>
      <c r="AW120" s="76">
        <v>12883</v>
      </c>
      <c r="AX120" s="76">
        <v>0</v>
      </c>
      <c r="AY120" s="76">
        <v>60608</v>
      </c>
      <c r="AZ120" s="76">
        <v>1059</v>
      </c>
      <c r="BA120" s="76">
        <v>0</v>
      </c>
      <c r="BB120" s="76">
        <v>0</v>
      </c>
      <c r="BC120" s="76">
        <v>0</v>
      </c>
      <c r="BD120" s="76">
        <v>0</v>
      </c>
      <c r="BE120" s="76">
        <v>1342117</v>
      </c>
      <c r="BF120" s="76">
        <v>34758</v>
      </c>
      <c r="BG120" s="76">
        <v>19314</v>
      </c>
      <c r="BH120" s="76">
        <v>27208</v>
      </c>
      <c r="BI120" s="76">
        <v>0</v>
      </c>
      <c r="BJ120" s="76">
        <v>2188</v>
      </c>
      <c r="BK120" s="76">
        <v>83468</v>
      </c>
      <c r="BL120" s="76">
        <v>974</v>
      </c>
      <c r="BM120" s="76">
        <v>532</v>
      </c>
      <c r="BN120" s="76">
        <v>0</v>
      </c>
      <c r="BO120" s="76">
        <v>25930</v>
      </c>
      <c r="BP120" s="76">
        <v>27436</v>
      </c>
      <c r="BQ120" s="76">
        <v>56032</v>
      </c>
      <c r="BR120" s="76">
        <v>1398149</v>
      </c>
      <c r="BS120" s="76">
        <v>425833</v>
      </c>
      <c r="BT120" s="76">
        <v>0</v>
      </c>
      <c r="BU120" s="76">
        <v>685</v>
      </c>
      <c r="BV120" s="76">
        <v>459320</v>
      </c>
      <c r="BW120" s="76">
        <v>52059</v>
      </c>
      <c r="BX120" s="76">
        <v>73222</v>
      </c>
      <c r="BY120" s="76">
        <v>66686</v>
      </c>
      <c r="BZ120" s="76">
        <v>1077805</v>
      </c>
      <c r="CA120" s="76">
        <v>1679</v>
      </c>
      <c r="CB120" s="76">
        <v>0</v>
      </c>
      <c r="CC120" s="76">
        <v>318665</v>
      </c>
      <c r="CD120" s="76">
        <v>374553</v>
      </c>
      <c r="CE120" s="76">
        <v>0</v>
      </c>
      <c r="CF120" s="76">
        <v>0</v>
      </c>
      <c r="CG120" s="76">
        <v>-55888</v>
      </c>
      <c r="CH120" s="76">
        <v>0</v>
      </c>
      <c r="CI120" s="76">
        <v>318665</v>
      </c>
      <c r="CJ120" s="76">
        <v>23235</v>
      </c>
      <c r="CK120" s="76">
        <v>15990</v>
      </c>
      <c r="CL120" s="76">
        <v>0</v>
      </c>
      <c r="CM120" s="76">
        <v>7245</v>
      </c>
      <c r="CN120" s="76">
        <v>0</v>
      </c>
      <c r="CO120" s="76">
        <v>0</v>
      </c>
      <c r="CP120" s="76">
        <v>0</v>
      </c>
      <c r="CQ120" s="76">
        <v>0</v>
      </c>
      <c r="CR120" s="76">
        <v>0</v>
      </c>
      <c r="CS120" s="76">
        <v>0</v>
      </c>
      <c r="CT120" s="76">
        <v>4414</v>
      </c>
      <c r="CU120" s="76">
        <v>-4414</v>
      </c>
      <c r="CV120" s="76">
        <v>620</v>
      </c>
      <c r="CW120" s="76">
        <v>0</v>
      </c>
      <c r="CX120" s="76">
        <v>611</v>
      </c>
      <c r="CY120" s="76">
        <v>9</v>
      </c>
      <c r="CZ120" s="76">
        <v>1337</v>
      </c>
      <c r="DA120" s="76">
        <v>0</v>
      </c>
      <c r="DB120" s="76">
        <v>1749</v>
      </c>
      <c r="DC120" s="76">
        <v>-412</v>
      </c>
      <c r="DD120" s="76">
        <v>25192</v>
      </c>
      <c r="DE120" s="76">
        <v>15990</v>
      </c>
      <c r="DF120" s="76">
        <v>6774</v>
      </c>
      <c r="DG120" s="76">
        <v>2428</v>
      </c>
      <c r="DH120" s="76">
        <v>2</v>
      </c>
      <c r="DI120" s="76">
        <v>0</v>
      </c>
      <c r="DJ120" s="76">
        <v>47</v>
      </c>
      <c r="DK120" s="76">
        <v>-45</v>
      </c>
      <c r="DL120" s="76">
        <v>0</v>
      </c>
      <c r="DM120" s="76">
        <v>0</v>
      </c>
      <c r="DN120" s="76">
        <v>0</v>
      </c>
      <c r="DO120" s="76">
        <v>0</v>
      </c>
      <c r="DP120" s="76">
        <v>0</v>
      </c>
      <c r="DQ120" s="76">
        <v>0</v>
      </c>
      <c r="DR120" s="76">
        <v>0</v>
      </c>
      <c r="DS120" s="76">
        <v>0</v>
      </c>
      <c r="DT120" s="76">
        <v>70</v>
      </c>
      <c r="DU120" s="76">
        <v>0</v>
      </c>
      <c r="DV120" s="76">
        <v>43</v>
      </c>
      <c r="DW120" s="76">
        <v>27</v>
      </c>
      <c r="DX120" s="76">
        <v>0</v>
      </c>
      <c r="DY120" s="76">
        <v>0</v>
      </c>
      <c r="DZ120" s="76">
        <v>0</v>
      </c>
      <c r="EA120" s="76">
        <v>0</v>
      </c>
      <c r="EB120" s="76">
        <v>0</v>
      </c>
      <c r="EC120" s="76">
        <v>0</v>
      </c>
      <c r="ED120" s="76">
        <v>116</v>
      </c>
      <c r="EE120" s="76">
        <v>-116</v>
      </c>
      <c r="EF120" s="76">
        <v>72</v>
      </c>
      <c r="EG120" s="76">
        <v>0</v>
      </c>
      <c r="EH120" s="76">
        <v>206</v>
      </c>
      <c r="EI120" s="76">
        <v>-134</v>
      </c>
      <c r="EJ120" s="76">
        <v>25264</v>
      </c>
      <c r="EK120" s="76">
        <v>15990</v>
      </c>
      <c r="EL120" s="76">
        <v>6980</v>
      </c>
      <c r="EM120" s="76">
        <v>2294</v>
      </c>
      <c r="EN120" s="76">
        <v>3918</v>
      </c>
      <c r="EO120" s="76">
        <v>1848</v>
      </c>
      <c r="EP120" s="76">
        <v>1030</v>
      </c>
      <c r="EQ120" s="76">
        <v>1848</v>
      </c>
      <c r="ER120" s="76">
        <v>1365473</v>
      </c>
      <c r="ES120" s="76">
        <v>0</v>
      </c>
      <c r="ET120" s="76">
        <v>1365473</v>
      </c>
      <c r="EU120" s="76">
        <v>96814</v>
      </c>
      <c r="EV120" s="76">
        <v>-27946</v>
      </c>
      <c r="EW120" s="76">
        <v>0</v>
      </c>
      <c r="EX120" s="76">
        <v>0</v>
      </c>
      <c r="EY120" s="76">
        <v>-23562</v>
      </c>
      <c r="EZ120" s="76">
        <v>1410779</v>
      </c>
      <c r="FA120" s="76">
        <v>130788</v>
      </c>
      <c r="FB120" s="76">
        <v>14510</v>
      </c>
      <c r="FC120" s="76">
        <v>1599</v>
      </c>
      <c r="FD120" s="76">
        <v>0</v>
      </c>
      <c r="FE120" s="76">
        <v>-3685</v>
      </c>
      <c r="FF120" s="76">
        <v>0</v>
      </c>
      <c r="FG120" s="76">
        <v>0</v>
      </c>
      <c r="FH120" s="76">
        <v>143212</v>
      </c>
      <c r="FI120" s="76">
        <v>1267567</v>
      </c>
      <c r="FJ120" s="76">
        <v>1234685</v>
      </c>
      <c r="FK120" s="76">
        <v>16865</v>
      </c>
      <c r="FL120" s="76">
        <v>8833</v>
      </c>
      <c r="FM120" s="76">
        <v>8032</v>
      </c>
      <c r="FN120" s="76">
        <v>156</v>
      </c>
      <c r="FO120" s="76">
        <v>52</v>
      </c>
      <c r="FP120" s="76">
        <v>104</v>
      </c>
      <c r="FQ120" s="76">
        <v>179</v>
      </c>
      <c r="FR120" s="76">
        <v>172</v>
      </c>
      <c r="FS120" s="76">
        <v>7</v>
      </c>
      <c r="FT120" s="76">
        <v>11266</v>
      </c>
      <c r="FU120" s="76">
        <v>8019</v>
      </c>
      <c r="FV120" s="76">
        <v>3247</v>
      </c>
      <c r="FW120" s="76">
        <v>21650</v>
      </c>
      <c r="FX120" s="76">
        <v>7509</v>
      </c>
      <c r="FY120" s="76">
        <v>14141</v>
      </c>
      <c r="FZ120" s="76">
        <v>1597</v>
      </c>
      <c r="GA120" s="76">
        <v>1767</v>
      </c>
      <c r="GB120" s="76">
        <v>-170</v>
      </c>
      <c r="GC120" s="76">
        <v>51713</v>
      </c>
      <c r="GD120" s="76">
        <v>26352</v>
      </c>
      <c r="GE120" s="76">
        <v>25361</v>
      </c>
      <c r="GF120" s="76">
        <v>0</v>
      </c>
      <c r="GG120" s="76">
        <v>0</v>
      </c>
      <c r="GH120" s="76">
        <v>0</v>
      </c>
      <c r="GI120" s="76">
        <v>0</v>
      </c>
      <c r="GJ120" s="76">
        <v>0</v>
      </c>
      <c r="GK120" s="76">
        <v>2188</v>
      </c>
      <c r="GL120" s="76">
        <v>2188</v>
      </c>
      <c r="GM120" s="76">
        <v>672</v>
      </c>
      <c r="GN120" s="76">
        <v>2530</v>
      </c>
      <c r="GO120" s="76">
        <v>0</v>
      </c>
      <c r="GP120" s="76">
        <v>3891</v>
      </c>
      <c r="GQ120" s="76">
        <v>0</v>
      </c>
      <c r="GR120" s="76">
        <v>14746</v>
      </c>
      <c r="GS120" s="76">
        <v>142</v>
      </c>
      <c r="GT120" s="76">
        <v>0</v>
      </c>
      <c r="GU120" s="76">
        <v>881</v>
      </c>
      <c r="GV120" s="76">
        <v>0</v>
      </c>
      <c r="GW120" s="76">
        <v>3068</v>
      </c>
      <c r="GX120" s="76">
        <v>25930</v>
      </c>
      <c r="GY120" s="76">
        <v>53544</v>
      </c>
      <c r="GZ120" s="76">
        <v>1157</v>
      </c>
      <c r="HA120" s="76">
        <v>6417</v>
      </c>
      <c r="HB120" s="76">
        <v>5568</v>
      </c>
      <c r="HC120" s="76">
        <v>66686</v>
      </c>
      <c r="HD120" s="76">
        <v>0</v>
      </c>
      <c r="HE120" s="76">
        <v>0</v>
      </c>
      <c r="HF120" s="76">
        <v>0</v>
      </c>
      <c r="HG120" s="76">
        <v>22794</v>
      </c>
      <c r="HH120" s="76">
        <v>58</v>
      </c>
      <c r="HI120" s="76">
        <v>197</v>
      </c>
      <c r="HJ120" s="76">
        <v>188</v>
      </c>
      <c r="HK120" s="76">
        <v>184</v>
      </c>
      <c r="HL120" s="76">
        <v>-2530</v>
      </c>
      <c r="HM120" s="76">
        <v>20891</v>
      </c>
      <c r="HN120" s="76">
        <v>2453</v>
      </c>
      <c r="HO120" s="76">
        <v>15809</v>
      </c>
      <c r="HP120" s="76">
        <v>1599</v>
      </c>
      <c r="HQ120" s="76">
        <v>406</v>
      </c>
      <c r="HR120" s="76">
        <v>-290</v>
      </c>
      <c r="HS120" s="76">
        <v>-236</v>
      </c>
      <c r="HT120" s="76">
        <v>19476</v>
      </c>
      <c r="HU120" s="76">
        <v>0</v>
      </c>
      <c r="HV120" s="76">
        <v>-9</v>
      </c>
      <c r="HW120" s="76">
        <v>-76</v>
      </c>
      <c r="HX120" s="76">
        <v>1018</v>
      </c>
    </row>
    <row r="121" spans="1:232" x14ac:dyDescent="0.2">
      <c r="A121" s="74" t="s">
        <v>525</v>
      </c>
      <c r="B121" s="74" t="s">
        <v>526</v>
      </c>
      <c r="C121" s="75" t="s">
        <v>200</v>
      </c>
      <c r="D121" s="75">
        <v>12</v>
      </c>
      <c r="E121" s="76">
        <v>23372</v>
      </c>
      <c r="F121" s="76">
        <v>0</v>
      </c>
      <c r="G121" s="76">
        <v>-15245</v>
      </c>
      <c r="H121" s="76">
        <v>8127</v>
      </c>
      <c r="I121" s="76">
        <v>456</v>
      </c>
      <c r="J121" s="76">
        <v>0</v>
      </c>
      <c r="K121" s="76">
        <v>0</v>
      </c>
      <c r="L121" s="76">
        <v>0</v>
      </c>
      <c r="M121" s="76">
        <v>56</v>
      </c>
      <c r="N121" s="76">
        <v>-4138</v>
      </c>
      <c r="O121" s="76">
        <v>0</v>
      </c>
      <c r="P121" s="76">
        <v>0</v>
      </c>
      <c r="Q121" s="76">
        <v>0</v>
      </c>
      <c r="R121" s="76">
        <v>0</v>
      </c>
      <c r="S121" s="76">
        <v>4501</v>
      </c>
      <c r="T121" s="76">
        <v>0</v>
      </c>
      <c r="U121" s="76">
        <v>4501</v>
      </c>
      <c r="V121" s="76">
        <v>0</v>
      </c>
      <c r="W121" s="76">
        <v>0</v>
      </c>
      <c r="X121" s="76">
        <v>0</v>
      </c>
      <c r="Y121" s="76">
        <v>0</v>
      </c>
      <c r="Z121" s="76">
        <v>4501</v>
      </c>
      <c r="AA121" s="76">
        <v>20788</v>
      </c>
      <c r="AB121" s="76">
        <v>1052</v>
      </c>
      <c r="AC121" s="76">
        <v>21840</v>
      </c>
      <c r="AD121" s="76">
        <v>1015</v>
      </c>
      <c r="AE121" s="76">
        <v>13</v>
      </c>
      <c r="AF121" s="76">
        <v>0</v>
      </c>
      <c r="AG121" s="76">
        <v>288</v>
      </c>
      <c r="AH121" s="76">
        <v>23156</v>
      </c>
      <c r="AI121" s="76">
        <v>3241</v>
      </c>
      <c r="AJ121" s="76">
        <v>1248</v>
      </c>
      <c r="AK121" s="76">
        <v>4380</v>
      </c>
      <c r="AL121" s="76">
        <v>1102</v>
      </c>
      <c r="AM121" s="76">
        <v>127</v>
      </c>
      <c r="AN121" s="76">
        <v>200</v>
      </c>
      <c r="AO121" s="76">
        <v>4287</v>
      </c>
      <c r="AP121" s="76">
        <v>0</v>
      </c>
      <c r="AQ121" s="76">
        <v>170</v>
      </c>
      <c r="AR121" s="76">
        <v>14755</v>
      </c>
      <c r="AS121" s="76">
        <v>8401</v>
      </c>
      <c r="AT121" s="76">
        <v>103</v>
      </c>
      <c r="AU121" s="76">
        <v>188564</v>
      </c>
      <c r="AV121" s="76">
        <v>0</v>
      </c>
      <c r="AW121" s="76">
        <v>2574</v>
      </c>
      <c r="AX121" s="76">
        <v>0</v>
      </c>
      <c r="AY121" s="76">
        <v>0</v>
      </c>
      <c r="AZ121" s="76">
        <v>0</v>
      </c>
      <c r="BA121" s="76">
        <v>10</v>
      </c>
      <c r="BB121" s="76">
        <v>0</v>
      </c>
      <c r="BC121" s="76">
        <v>0</v>
      </c>
      <c r="BD121" s="76">
        <v>0</v>
      </c>
      <c r="BE121" s="76">
        <v>191148</v>
      </c>
      <c r="BF121" s="76">
        <v>102</v>
      </c>
      <c r="BG121" s="76">
        <v>905</v>
      </c>
      <c r="BH121" s="76">
        <v>6656</v>
      </c>
      <c r="BI121" s="76">
        <v>0</v>
      </c>
      <c r="BJ121" s="76">
        <v>749</v>
      </c>
      <c r="BK121" s="76">
        <v>8412</v>
      </c>
      <c r="BL121" s="76">
        <v>2325</v>
      </c>
      <c r="BM121" s="76">
        <v>0</v>
      </c>
      <c r="BN121" s="76">
        <v>1056</v>
      </c>
      <c r="BO121" s="76">
        <v>4436</v>
      </c>
      <c r="BP121" s="76">
        <v>7817</v>
      </c>
      <c r="BQ121" s="76">
        <v>595</v>
      </c>
      <c r="BR121" s="76">
        <v>191743</v>
      </c>
      <c r="BS121" s="76">
        <v>79099</v>
      </c>
      <c r="BT121" s="76">
        <v>0</v>
      </c>
      <c r="BU121" s="76">
        <v>0</v>
      </c>
      <c r="BV121" s="76">
        <v>89998</v>
      </c>
      <c r="BW121" s="76">
        <v>0</v>
      </c>
      <c r="BX121" s="76">
        <v>0</v>
      </c>
      <c r="BY121" s="76">
        <v>3008</v>
      </c>
      <c r="BZ121" s="76">
        <v>172105</v>
      </c>
      <c r="CA121" s="76">
        <v>0</v>
      </c>
      <c r="CB121" s="76">
        <v>0</v>
      </c>
      <c r="CC121" s="76">
        <v>19638</v>
      </c>
      <c r="CD121" s="76">
        <v>19503</v>
      </c>
      <c r="CE121" s="76">
        <v>0</v>
      </c>
      <c r="CF121" s="76">
        <v>0</v>
      </c>
      <c r="CG121" s="76">
        <v>0</v>
      </c>
      <c r="CH121" s="76">
        <v>135</v>
      </c>
      <c r="CI121" s="76">
        <v>19638</v>
      </c>
      <c r="CJ121" s="76">
        <v>0</v>
      </c>
      <c r="CK121" s="76">
        <v>0</v>
      </c>
      <c r="CL121" s="76">
        <v>0</v>
      </c>
      <c r="CM121" s="76">
        <v>0</v>
      </c>
      <c r="CN121" s="76">
        <v>0</v>
      </c>
      <c r="CO121" s="76">
        <v>0</v>
      </c>
      <c r="CP121" s="76">
        <v>0</v>
      </c>
      <c r="CQ121" s="76">
        <v>0</v>
      </c>
      <c r="CR121" s="76">
        <v>0</v>
      </c>
      <c r="CS121" s="76">
        <v>0</v>
      </c>
      <c r="CT121" s="76">
        <v>0</v>
      </c>
      <c r="CU121" s="76">
        <v>0</v>
      </c>
      <c r="CV121" s="76">
        <v>0</v>
      </c>
      <c r="CW121" s="76">
        <v>0</v>
      </c>
      <c r="CX121" s="76">
        <v>0</v>
      </c>
      <c r="CY121" s="76">
        <v>0</v>
      </c>
      <c r="CZ121" s="76">
        <v>131</v>
      </c>
      <c r="DA121" s="76">
        <v>0</v>
      </c>
      <c r="DB121" s="76">
        <v>378</v>
      </c>
      <c r="DC121" s="76">
        <v>-247</v>
      </c>
      <c r="DD121" s="76">
        <v>131</v>
      </c>
      <c r="DE121" s="76">
        <v>0</v>
      </c>
      <c r="DF121" s="76">
        <v>378</v>
      </c>
      <c r="DG121" s="76">
        <v>-247</v>
      </c>
      <c r="DH121" s="76">
        <v>0</v>
      </c>
      <c r="DI121" s="76">
        <v>0</v>
      </c>
      <c r="DJ121" s="76">
        <v>0</v>
      </c>
      <c r="DK121" s="76">
        <v>0</v>
      </c>
      <c r="DL121" s="76">
        <v>0</v>
      </c>
      <c r="DM121" s="76">
        <v>0</v>
      </c>
      <c r="DN121" s="76">
        <v>0</v>
      </c>
      <c r="DO121" s="76">
        <v>0</v>
      </c>
      <c r="DP121" s="76">
        <v>0</v>
      </c>
      <c r="DQ121" s="76">
        <v>0</v>
      </c>
      <c r="DR121" s="76">
        <v>0</v>
      </c>
      <c r="DS121" s="76">
        <v>0</v>
      </c>
      <c r="DT121" s="76">
        <v>0</v>
      </c>
      <c r="DU121" s="76">
        <v>0</v>
      </c>
      <c r="DV121" s="76">
        <v>0</v>
      </c>
      <c r="DW121" s="76">
        <v>0</v>
      </c>
      <c r="DX121" s="76">
        <v>0</v>
      </c>
      <c r="DY121" s="76">
        <v>0</v>
      </c>
      <c r="DZ121" s="76">
        <v>0</v>
      </c>
      <c r="EA121" s="76">
        <v>0</v>
      </c>
      <c r="EB121" s="76">
        <v>85</v>
      </c>
      <c r="EC121" s="76">
        <v>0</v>
      </c>
      <c r="ED121" s="76">
        <v>112</v>
      </c>
      <c r="EE121" s="76">
        <v>-27</v>
      </c>
      <c r="EF121" s="76">
        <v>85</v>
      </c>
      <c r="EG121" s="76">
        <v>0</v>
      </c>
      <c r="EH121" s="76">
        <v>112</v>
      </c>
      <c r="EI121" s="76">
        <v>-27</v>
      </c>
      <c r="EJ121" s="76">
        <v>216</v>
      </c>
      <c r="EK121" s="76">
        <v>0</v>
      </c>
      <c r="EL121" s="76">
        <v>490</v>
      </c>
      <c r="EM121" s="76">
        <v>-274</v>
      </c>
      <c r="EN121" s="76">
        <v>945</v>
      </c>
      <c r="EO121" s="76">
        <v>303</v>
      </c>
      <c r="EP121" s="76">
        <v>120</v>
      </c>
      <c r="EQ121" s="76">
        <v>288</v>
      </c>
      <c r="ER121" s="76">
        <v>228800</v>
      </c>
      <c r="ES121" s="76">
        <v>0</v>
      </c>
      <c r="ET121" s="76">
        <v>228800</v>
      </c>
      <c r="EU121" s="76">
        <v>4192</v>
      </c>
      <c r="EV121" s="76">
        <v>-418</v>
      </c>
      <c r="EW121" s="76">
        <v>0</v>
      </c>
      <c r="EX121" s="76">
        <v>0</v>
      </c>
      <c r="EY121" s="76">
        <v>-948</v>
      </c>
      <c r="EZ121" s="76">
        <v>231626</v>
      </c>
      <c r="FA121" s="76">
        <v>39674</v>
      </c>
      <c r="FB121" s="76">
        <v>4185</v>
      </c>
      <c r="FC121" s="76">
        <v>0</v>
      </c>
      <c r="FD121" s="76">
        <v>0</v>
      </c>
      <c r="FE121" s="76">
        <v>-65</v>
      </c>
      <c r="FF121" s="76">
        <v>0</v>
      </c>
      <c r="FG121" s="76">
        <v>-732</v>
      </c>
      <c r="FH121" s="76">
        <v>43062</v>
      </c>
      <c r="FI121" s="76">
        <v>188564</v>
      </c>
      <c r="FJ121" s="76">
        <v>189126</v>
      </c>
      <c r="FK121" s="76">
        <v>74</v>
      </c>
      <c r="FL121" s="76">
        <v>116</v>
      </c>
      <c r="FM121" s="76">
        <v>-42</v>
      </c>
      <c r="FN121" s="76">
        <v>345</v>
      </c>
      <c r="FO121" s="76">
        <v>257</v>
      </c>
      <c r="FP121" s="76">
        <v>88</v>
      </c>
      <c r="FQ121" s="76">
        <v>0</v>
      </c>
      <c r="FR121" s="76">
        <v>0</v>
      </c>
      <c r="FS121" s="76">
        <v>0</v>
      </c>
      <c r="FT121" s="76">
        <v>758</v>
      </c>
      <c r="FU121" s="76">
        <v>228</v>
      </c>
      <c r="FV121" s="76">
        <v>530</v>
      </c>
      <c r="FW121" s="76">
        <v>0</v>
      </c>
      <c r="FX121" s="76">
        <v>0</v>
      </c>
      <c r="FY121" s="76">
        <v>0</v>
      </c>
      <c r="FZ121" s="76">
        <v>43</v>
      </c>
      <c r="GA121" s="76">
        <v>163</v>
      </c>
      <c r="GB121" s="76">
        <v>-120</v>
      </c>
      <c r="GC121" s="76">
        <v>1220</v>
      </c>
      <c r="GD121" s="76">
        <v>764</v>
      </c>
      <c r="GE121" s="76">
        <v>456</v>
      </c>
      <c r="GF121" s="76">
        <v>0</v>
      </c>
      <c r="GG121" s="76">
        <v>0</v>
      </c>
      <c r="GH121" s="76">
        <v>0</v>
      </c>
      <c r="GI121" s="76">
        <v>0</v>
      </c>
      <c r="GJ121" s="76">
        <v>0</v>
      </c>
      <c r="GK121" s="76">
        <v>749</v>
      </c>
      <c r="GL121" s="76">
        <v>749</v>
      </c>
      <c r="GM121" s="76">
        <v>1418</v>
      </c>
      <c r="GN121" s="76">
        <v>762</v>
      </c>
      <c r="GO121" s="76">
        <v>0</v>
      </c>
      <c r="GP121" s="76">
        <v>0</v>
      </c>
      <c r="GQ121" s="76">
        <v>0</v>
      </c>
      <c r="GR121" s="76">
        <v>1596</v>
      </c>
      <c r="GS121" s="76">
        <v>0</v>
      </c>
      <c r="GT121" s="76">
        <v>0</v>
      </c>
      <c r="GU121" s="76">
        <v>390</v>
      </c>
      <c r="GV121" s="76">
        <v>0</v>
      </c>
      <c r="GW121" s="76">
        <v>270</v>
      </c>
      <c r="GX121" s="76">
        <v>4436</v>
      </c>
      <c r="GY121" s="76">
        <v>0</v>
      </c>
      <c r="GZ121" s="76">
        <v>0</v>
      </c>
      <c r="HA121" s="76">
        <v>2533</v>
      </c>
      <c r="HB121" s="76">
        <v>475</v>
      </c>
      <c r="HC121" s="76">
        <v>3008</v>
      </c>
      <c r="HD121" s="76">
        <v>0</v>
      </c>
      <c r="HE121" s="76">
        <v>0</v>
      </c>
      <c r="HF121" s="76">
        <v>0</v>
      </c>
      <c r="HG121" s="76">
        <v>3790</v>
      </c>
      <c r="HH121" s="76">
        <v>293</v>
      </c>
      <c r="HI121" s="76">
        <v>61</v>
      </c>
      <c r="HJ121" s="76">
        <v>2</v>
      </c>
      <c r="HK121" s="76">
        <v>0</v>
      </c>
      <c r="HL121" s="76">
        <v>-8</v>
      </c>
      <c r="HM121" s="76">
        <v>4138</v>
      </c>
      <c r="HN121" s="76">
        <v>2619</v>
      </c>
      <c r="HO121" s="76">
        <v>4734</v>
      </c>
      <c r="HP121" s="76">
        <v>0</v>
      </c>
      <c r="HQ121" s="76">
        <v>0</v>
      </c>
      <c r="HR121" s="76">
        <v>-14</v>
      </c>
      <c r="HS121" s="76">
        <v>-9</v>
      </c>
      <c r="HT121" s="76">
        <v>4918</v>
      </c>
      <c r="HU121" s="76">
        <v>0</v>
      </c>
      <c r="HV121" s="76">
        <v>0</v>
      </c>
      <c r="HW121" s="76">
        <v>0</v>
      </c>
      <c r="HX121" s="76">
        <v>0</v>
      </c>
    </row>
    <row r="122" spans="1:232" x14ac:dyDescent="0.2">
      <c r="A122" s="74" t="s">
        <v>528</v>
      </c>
      <c r="B122" s="74" t="s">
        <v>529</v>
      </c>
      <c r="C122" s="75" t="s">
        <v>200</v>
      </c>
      <c r="D122" s="75">
        <v>12</v>
      </c>
      <c r="E122" s="76">
        <v>9620</v>
      </c>
      <c r="F122" s="76">
        <v>-171</v>
      </c>
      <c r="G122" s="76">
        <v>-6719</v>
      </c>
      <c r="H122" s="76">
        <v>2730</v>
      </c>
      <c r="I122" s="76">
        <v>480</v>
      </c>
      <c r="J122" s="76">
        <v>0</v>
      </c>
      <c r="K122" s="76">
        <v>1367</v>
      </c>
      <c r="L122" s="76">
        <v>0</v>
      </c>
      <c r="M122" s="76">
        <v>27</v>
      </c>
      <c r="N122" s="76">
        <v>-3078</v>
      </c>
      <c r="O122" s="76">
        <v>0</v>
      </c>
      <c r="P122" s="76">
        <v>0</v>
      </c>
      <c r="Q122" s="76">
        <v>0</v>
      </c>
      <c r="R122" s="76">
        <v>0</v>
      </c>
      <c r="S122" s="76">
        <v>1526</v>
      </c>
      <c r="T122" s="76">
        <v>0</v>
      </c>
      <c r="U122" s="76">
        <v>1526</v>
      </c>
      <c r="V122" s="76">
        <v>0</v>
      </c>
      <c r="W122" s="76">
        <v>0</v>
      </c>
      <c r="X122" s="76">
        <v>0</v>
      </c>
      <c r="Y122" s="76">
        <v>0</v>
      </c>
      <c r="Z122" s="76">
        <v>1526</v>
      </c>
      <c r="AA122" s="76">
        <v>7976</v>
      </c>
      <c r="AB122" s="76">
        <v>935</v>
      </c>
      <c r="AC122" s="76">
        <v>8911</v>
      </c>
      <c r="AD122" s="76">
        <v>199</v>
      </c>
      <c r="AE122" s="76">
        <v>0</v>
      </c>
      <c r="AF122" s="76">
        <v>0</v>
      </c>
      <c r="AG122" s="76">
        <v>0</v>
      </c>
      <c r="AH122" s="76">
        <v>9110</v>
      </c>
      <c r="AI122" s="76">
        <v>1663</v>
      </c>
      <c r="AJ122" s="76">
        <v>977</v>
      </c>
      <c r="AK122" s="76">
        <v>756</v>
      </c>
      <c r="AL122" s="76">
        <v>898</v>
      </c>
      <c r="AM122" s="76">
        <v>483</v>
      </c>
      <c r="AN122" s="76">
        <v>33</v>
      </c>
      <c r="AO122" s="76">
        <v>1257</v>
      </c>
      <c r="AP122" s="76">
        <v>0</v>
      </c>
      <c r="AQ122" s="76">
        <v>119</v>
      </c>
      <c r="AR122" s="76">
        <v>6186</v>
      </c>
      <c r="AS122" s="76">
        <v>2924</v>
      </c>
      <c r="AT122" s="76">
        <v>165</v>
      </c>
      <c r="AU122" s="76">
        <v>95542</v>
      </c>
      <c r="AV122" s="76">
        <v>0</v>
      </c>
      <c r="AW122" s="76">
        <v>2745</v>
      </c>
      <c r="AX122" s="76">
        <v>0</v>
      </c>
      <c r="AY122" s="76">
        <v>0</v>
      </c>
      <c r="AZ122" s="76">
        <v>0</v>
      </c>
      <c r="BA122" s="76">
        <v>0</v>
      </c>
      <c r="BB122" s="76">
        <v>0</v>
      </c>
      <c r="BC122" s="76">
        <v>0</v>
      </c>
      <c r="BD122" s="76">
        <v>0</v>
      </c>
      <c r="BE122" s="76">
        <v>98287</v>
      </c>
      <c r="BF122" s="76">
        <v>1115</v>
      </c>
      <c r="BG122" s="76">
        <v>531</v>
      </c>
      <c r="BH122" s="76">
        <v>3010</v>
      </c>
      <c r="BI122" s="76">
        <v>14311</v>
      </c>
      <c r="BJ122" s="76">
        <v>0</v>
      </c>
      <c r="BK122" s="76">
        <v>18967</v>
      </c>
      <c r="BL122" s="76">
        <v>38</v>
      </c>
      <c r="BM122" s="76">
        <v>0</v>
      </c>
      <c r="BN122" s="76">
        <v>199</v>
      </c>
      <c r="BO122" s="76">
        <v>3414</v>
      </c>
      <c r="BP122" s="76">
        <v>3651</v>
      </c>
      <c r="BQ122" s="76">
        <v>15316</v>
      </c>
      <c r="BR122" s="76">
        <v>113603</v>
      </c>
      <c r="BS122" s="76">
        <v>71673</v>
      </c>
      <c r="BT122" s="76">
        <v>0</v>
      </c>
      <c r="BU122" s="76">
        <v>0</v>
      </c>
      <c r="BV122" s="76">
        <v>21162</v>
      </c>
      <c r="BW122" s="76">
        <v>0</v>
      </c>
      <c r="BX122" s="76">
        <v>0</v>
      </c>
      <c r="BY122" s="76">
        <v>156</v>
      </c>
      <c r="BZ122" s="76">
        <v>92991</v>
      </c>
      <c r="CA122" s="76">
        <v>534</v>
      </c>
      <c r="CB122" s="76">
        <v>0</v>
      </c>
      <c r="CC122" s="76">
        <v>20078</v>
      </c>
      <c r="CD122" s="76">
        <v>20078</v>
      </c>
      <c r="CE122" s="76">
        <v>0</v>
      </c>
      <c r="CF122" s="76">
        <v>0</v>
      </c>
      <c r="CG122" s="76">
        <v>0</v>
      </c>
      <c r="CH122" s="76">
        <v>0</v>
      </c>
      <c r="CI122" s="76">
        <v>20078</v>
      </c>
      <c r="CJ122" s="76">
        <v>279</v>
      </c>
      <c r="CK122" s="76">
        <v>171</v>
      </c>
      <c r="CL122" s="76">
        <v>0</v>
      </c>
      <c r="CM122" s="76">
        <v>108</v>
      </c>
      <c r="CN122" s="76">
        <v>117</v>
      </c>
      <c r="CO122" s="76">
        <v>0</v>
      </c>
      <c r="CP122" s="76">
        <v>135</v>
      </c>
      <c r="CQ122" s="76">
        <v>-18</v>
      </c>
      <c r="CR122" s="76">
        <v>0</v>
      </c>
      <c r="CS122" s="76">
        <v>0</v>
      </c>
      <c r="CT122" s="76">
        <v>278</v>
      </c>
      <c r="CU122" s="76">
        <v>-278</v>
      </c>
      <c r="CV122" s="76">
        <v>0</v>
      </c>
      <c r="CW122" s="76">
        <v>0</v>
      </c>
      <c r="CX122" s="76">
        <v>0</v>
      </c>
      <c r="CY122" s="76">
        <v>0</v>
      </c>
      <c r="CZ122" s="76">
        <v>114</v>
      </c>
      <c r="DA122" s="76">
        <v>0</v>
      </c>
      <c r="DB122" s="76">
        <v>120</v>
      </c>
      <c r="DC122" s="76">
        <v>-6</v>
      </c>
      <c r="DD122" s="76">
        <v>510</v>
      </c>
      <c r="DE122" s="76">
        <v>171</v>
      </c>
      <c r="DF122" s="76">
        <v>533</v>
      </c>
      <c r="DG122" s="76">
        <v>-194</v>
      </c>
      <c r="DH122" s="76">
        <v>0</v>
      </c>
      <c r="DI122" s="76">
        <v>0</v>
      </c>
      <c r="DJ122" s="76">
        <v>0</v>
      </c>
      <c r="DK122" s="76">
        <v>0</v>
      </c>
      <c r="DL122" s="76">
        <v>0</v>
      </c>
      <c r="DM122" s="76">
        <v>0</v>
      </c>
      <c r="DN122" s="76">
        <v>0</v>
      </c>
      <c r="DO122" s="76">
        <v>0</v>
      </c>
      <c r="DP122" s="76">
        <v>0</v>
      </c>
      <c r="DQ122" s="76">
        <v>0</v>
      </c>
      <c r="DR122" s="76">
        <v>0</v>
      </c>
      <c r="DS122" s="76">
        <v>0</v>
      </c>
      <c r="DT122" s="76">
        <v>0</v>
      </c>
      <c r="DU122" s="76">
        <v>0</v>
      </c>
      <c r="DV122" s="76">
        <v>0</v>
      </c>
      <c r="DW122" s="76">
        <v>0</v>
      </c>
      <c r="DX122" s="76">
        <v>0</v>
      </c>
      <c r="DY122" s="76">
        <v>0</v>
      </c>
      <c r="DZ122" s="76">
        <v>0</v>
      </c>
      <c r="EA122" s="76">
        <v>0</v>
      </c>
      <c r="EB122" s="76">
        <v>0</v>
      </c>
      <c r="EC122" s="76">
        <v>0</v>
      </c>
      <c r="ED122" s="76">
        <v>0</v>
      </c>
      <c r="EE122" s="76">
        <v>0</v>
      </c>
      <c r="EF122" s="76">
        <v>0</v>
      </c>
      <c r="EG122" s="76">
        <v>0</v>
      </c>
      <c r="EH122" s="76">
        <v>0</v>
      </c>
      <c r="EI122" s="76">
        <v>0</v>
      </c>
      <c r="EJ122" s="76">
        <v>510</v>
      </c>
      <c r="EK122" s="76">
        <v>171</v>
      </c>
      <c r="EL122" s="76">
        <v>533</v>
      </c>
      <c r="EM122" s="76">
        <v>-194</v>
      </c>
      <c r="EN122" s="76">
        <v>304</v>
      </c>
      <c r="EO122" s="76">
        <v>89</v>
      </c>
      <c r="EP122" s="76">
        <v>117</v>
      </c>
      <c r="EQ122" s="76">
        <v>89</v>
      </c>
      <c r="ER122" s="76">
        <v>101445</v>
      </c>
      <c r="ES122" s="76">
        <v>0</v>
      </c>
      <c r="ET122" s="76">
        <v>101445</v>
      </c>
      <c r="EU122" s="76">
        <v>4764</v>
      </c>
      <c r="EV122" s="76">
        <v>-877</v>
      </c>
      <c r="EW122" s="76">
        <v>0</v>
      </c>
      <c r="EX122" s="76">
        <v>0</v>
      </c>
      <c r="EY122" s="76">
        <v>1320</v>
      </c>
      <c r="EZ122" s="76">
        <v>106652</v>
      </c>
      <c r="FA122" s="76">
        <v>9917</v>
      </c>
      <c r="FB122" s="76">
        <v>1257</v>
      </c>
      <c r="FC122" s="76">
        <v>0</v>
      </c>
      <c r="FD122" s="76">
        <v>0</v>
      </c>
      <c r="FE122" s="76">
        <v>-64</v>
      </c>
      <c r="FF122" s="76">
        <v>0</v>
      </c>
      <c r="FG122" s="76">
        <v>0</v>
      </c>
      <c r="FH122" s="76">
        <v>11110</v>
      </c>
      <c r="FI122" s="76">
        <v>95542</v>
      </c>
      <c r="FJ122" s="76">
        <v>91528</v>
      </c>
      <c r="FK122" s="76">
        <v>1301</v>
      </c>
      <c r="FL122" s="76">
        <v>679</v>
      </c>
      <c r="FM122" s="76">
        <v>622</v>
      </c>
      <c r="FN122" s="76">
        <v>0</v>
      </c>
      <c r="FO122" s="76">
        <v>0</v>
      </c>
      <c r="FP122" s="76">
        <v>0</v>
      </c>
      <c r="FQ122" s="76">
        <v>0</v>
      </c>
      <c r="FR122" s="76">
        <v>0</v>
      </c>
      <c r="FS122" s="76">
        <v>0</v>
      </c>
      <c r="FT122" s="76">
        <v>0</v>
      </c>
      <c r="FU122" s="76">
        <v>142</v>
      </c>
      <c r="FV122" s="76">
        <v>-142</v>
      </c>
      <c r="FW122" s="76">
        <v>0</v>
      </c>
      <c r="FX122" s="76">
        <v>0</v>
      </c>
      <c r="FY122" s="76">
        <v>0</v>
      </c>
      <c r="FZ122" s="76">
        <v>0</v>
      </c>
      <c r="GA122" s="76">
        <v>0</v>
      </c>
      <c r="GB122" s="76">
        <v>0</v>
      </c>
      <c r="GC122" s="76">
        <v>1301</v>
      </c>
      <c r="GD122" s="76">
        <v>821</v>
      </c>
      <c r="GE122" s="76">
        <v>480</v>
      </c>
      <c r="GF122" s="76">
        <v>0</v>
      </c>
      <c r="GG122" s="76">
        <v>0</v>
      </c>
      <c r="GH122" s="76">
        <v>0</v>
      </c>
      <c r="GI122" s="76">
        <v>0</v>
      </c>
      <c r="GJ122" s="76">
        <v>0</v>
      </c>
      <c r="GK122" s="76">
        <v>0</v>
      </c>
      <c r="GL122" s="76">
        <v>0</v>
      </c>
      <c r="GM122" s="76">
        <v>1637</v>
      </c>
      <c r="GN122" s="76">
        <v>280</v>
      </c>
      <c r="GO122" s="76">
        <v>0</v>
      </c>
      <c r="GP122" s="76">
        <v>243</v>
      </c>
      <c r="GQ122" s="76">
        <v>0</v>
      </c>
      <c r="GR122" s="76">
        <v>890</v>
      </c>
      <c r="GS122" s="76">
        <v>0</v>
      </c>
      <c r="GT122" s="76">
        <v>0</v>
      </c>
      <c r="GU122" s="76">
        <v>84</v>
      </c>
      <c r="GV122" s="76">
        <v>0</v>
      </c>
      <c r="GW122" s="76">
        <v>280</v>
      </c>
      <c r="GX122" s="76">
        <v>3414</v>
      </c>
      <c r="GY122" s="76">
        <v>156</v>
      </c>
      <c r="GZ122" s="76">
        <v>0</v>
      </c>
      <c r="HA122" s="76">
        <v>0</v>
      </c>
      <c r="HB122" s="76">
        <v>0</v>
      </c>
      <c r="HC122" s="76">
        <v>156</v>
      </c>
      <c r="HD122" s="76">
        <v>0</v>
      </c>
      <c r="HE122" s="76">
        <v>0</v>
      </c>
      <c r="HF122" s="76">
        <v>0</v>
      </c>
      <c r="HG122" s="76">
        <v>2938</v>
      </c>
      <c r="HH122" s="76">
        <v>186</v>
      </c>
      <c r="HI122" s="76">
        <v>13</v>
      </c>
      <c r="HJ122" s="76">
        <v>0</v>
      </c>
      <c r="HK122" s="76">
        <v>0</v>
      </c>
      <c r="HL122" s="76">
        <v>-59</v>
      </c>
      <c r="HM122" s="76">
        <v>3078</v>
      </c>
      <c r="HN122" s="76">
        <v>839</v>
      </c>
      <c r="HO122" s="76">
        <v>1398</v>
      </c>
      <c r="HP122" s="76">
        <v>83</v>
      </c>
      <c r="HQ122" s="76">
        <v>0</v>
      </c>
      <c r="HR122" s="76">
        <v>-5</v>
      </c>
      <c r="HS122" s="76">
        <v>-17</v>
      </c>
      <c r="HT122" s="76">
        <v>1442</v>
      </c>
      <c r="HU122" s="76">
        <v>0</v>
      </c>
      <c r="HV122" s="76">
        <v>0</v>
      </c>
      <c r="HW122" s="76">
        <v>0</v>
      </c>
      <c r="HX122" s="76">
        <v>0</v>
      </c>
    </row>
    <row r="123" spans="1:232" x14ac:dyDescent="0.2">
      <c r="A123" s="74" t="s">
        <v>116</v>
      </c>
      <c r="B123" s="74" t="s">
        <v>115</v>
      </c>
      <c r="C123" s="75" t="s">
        <v>200</v>
      </c>
      <c r="D123" s="75">
        <v>12</v>
      </c>
      <c r="E123" s="76">
        <v>30293</v>
      </c>
      <c r="F123" s="76">
        <v>-1880</v>
      </c>
      <c r="G123" s="76">
        <v>-19944</v>
      </c>
      <c r="H123" s="76">
        <v>8469</v>
      </c>
      <c r="I123" s="76">
        <v>383</v>
      </c>
      <c r="J123" s="76">
        <v>0</v>
      </c>
      <c r="K123" s="76">
        <v>0</v>
      </c>
      <c r="L123" s="76">
        <v>0</v>
      </c>
      <c r="M123" s="76">
        <v>18</v>
      </c>
      <c r="N123" s="76">
        <v>-2763</v>
      </c>
      <c r="O123" s="76">
        <v>0</v>
      </c>
      <c r="P123" s="76">
        <v>0</v>
      </c>
      <c r="Q123" s="76">
        <v>0</v>
      </c>
      <c r="R123" s="76">
        <v>0</v>
      </c>
      <c r="S123" s="76">
        <v>6107</v>
      </c>
      <c r="T123" s="76">
        <v>6</v>
      </c>
      <c r="U123" s="76">
        <v>6113</v>
      </c>
      <c r="V123" s="76">
        <v>0</v>
      </c>
      <c r="W123" s="76">
        <v>0</v>
      </c>
      <c r="X123" s="76">
        <v>0</v>
      </c>
      <c r="Y123" s="76">
        <v>0</v>
      </c>
      <c r="Z123" s="76">
        <v>6113</v>
      </c>
      <c r="AA123" s="76">
        <v>24293</v>
      </c>
      <c r="AB123" s="76">
        <v>2468</v>
      </c>
      <c r="AC123" s="76">
        <v>26761</v>
      </c>
      <c r="AD123" s="76">
        <v>1134</v>
      </c>
      <c r="AE123" s="76">
        <v>0</v>
      </c>
      <c r="AF123" s="76">
        <v>154</v>
      </c>
      <c r="AG123" s="76">
        <v>0</v>
      </c>
      <c r="AH123" s="76">
        <v>28049</v>
      </c>
      <c r="AI123" s="76">
        <v>4615</v>
      </c>
      <c r="AJ123" s="76">
        <v>3061</v>
      </c>
      <c r="AK123" s="76">
        <v>3675</v>
      </c>
      <c r="AL123" s="76">
        <v>816</v>
      </c>
      <c r="AM123" s="76">
        <v>2355</v>
      </c>
      <c r="AN123" s="76">
        <v>293</v>
      </c>
      <c r="AO123" s="76">
        <v>4350</v>
      </c>
      <c r="AP123" s="76">
        <v>0</v>
      </c>
      <c r="AQ123" s="76">
        <v>33</v>
      </c>
      <c r="AR123" s="76">
        <v>19198</v>
      </c>
      <c r="AS123" s="76">
        <v>8851</v>
      </c>
      <c r="AT123" s="76">
        <v>376</v>
      </c>
      <c r="AU123" s="76">
        <v>209642</v>
      </c>
      <c r="AV123" s="76">
        <v>0</v>
      </c>
      <c r="AW123" s="76">
        <v>3167</v>
      </c>
      <c r="AX123" s="76">
        <v>333</v>
      </c>
      <c r="AY123" s="76">
        <v>0</v>
      </c>
      <c r="AZ123" s="76">
        <v>0</v>
      </c>
      <c r="BA123" s="76">
        <v>0</v>
      </c>
      <c r="BB123" s="76">
        <v>0</v>
      </c>
      <c r="BC123" s="76">
        <v>0</v>
      </c>
      <c r="BD123" s="76">
        <v>0</v>
      </c>
      <c r="BE123" s="76">
        <v>213142</v>
      </c>
      <c r="BF123" s="76">
        <v>1439</v>
      </c>
      <c r="BG123" s="76">
        <v>1102</v>
      </c>
      <c r="BH123" s="76">
        <v>920</v>
      </c>
      <c r="BI123" s="76">
        <v>12822</v>
      </c>
      <c r="BJ123" s="76">
        <v>540</v>
      </c>
      <c r="BK123" s="76">
        <v>16823</v>
      </c>
      <c r="BL123" s="76">
        <v>659</v>
      </c>
      <c r="BM123" s="76">
        <v>0</v>
      </c>
      <c r="BN123" s="76">
        <v>1143</v>
      </c>
      <c r="BO123" s="76">
        <v>5465</v>
      </c>
      <c r="BP123" s="76">
        <v>7267</v>
      </c>
      <c r="BQ123" s="76">
        <v>9556</v>
      </c>
      <c r="BR123" s="76">
        <v>222698</v>
      </c>
      <c r="BS123" s="76">
        <v>73026</v>
      </c>
      <c r="BT123" s="76">
        <v>0</v>
      </c>
      <c r="BU123" s="76">
        <v>0</v>
      </c>
      <c r="BV123" s="76">
        <v>87664</v>
      </c>
      <c r="BW123" s="76">
        <v>0</v>
      </c>
      <c r="BX123" s="76">
        <v>0</v>
      </c>
      <c r="BY123" s="76">
        <v>4426</v>
      </c>
      <c r="BZ123" s="76">
        <v>165116</v>
      </c>
      <c r="CA123" s="76">
        <v>0</v>
      </c>
      <c r="CB123" s="76">
        <v>0</v>
      </c>
      <c r="CC123" s="76">
        <v>57582</v>
      </c>
      <c r="CD123" s="76">
        <v>57582</v>
      </c>
      <c r="CE123" s="76">
        <v>0</v>
      </c>
      <c r="CF123" s="76">
        <v>0</v>
      </c>
      <c r="CG123" s="76">
        <v>0</v>
      </c>
      <c r="CH123" s="76">
        <v>0</v>
      </c>
      <c r="CI123" s="76">
        <v>57582</v>
      </c>
      <c r="CJ123" s="76">
        <v>1889</v>
      </c>
      <c r="CK123" s="76">
        <v>1880</v>
      </c>
      <c r="CL123" s="76">
        <v>0</v>
      </c>
      <c r="CM123" s="76">
        <v>9</v>
      </c>
      <c r="CN123" s="76">
        <v>0</v>
      </c>
      <c r="CO123" s="76">
        <v>0</v>
      </c>
      <c r="CP123" s="76">
        <v>0</v>
      </c>
      <c r="CQ123" s="76">
        <v>0</v>
      </c>
      <c r="CR123" s="76">
        <v>0</v>
      </c>
      <c r="CS123" s="76">
        <v>0</v>
      </c>
      <c r="CT123" s="76">
        <v>508</v>
      </c>
      <c r="CU123" s="76">
        <v>-508</v>
      </c>
      <c r="CV123" s="76">
        <v>0</v>
      </c>
      <c r="CW123" s="76">
        <v>0</v>
      </c>
      <c r="CX123" s="76">
        <v>0</v>
      </c>
      <c r="CY123" s="76">
        <v>0</v>
      </c>
      <c r="CZ123" s="76">
        <v>262</v>
      </c>
      <c r="DA123" s="76">
        <v>0</v>
      </c>
      <c r="DB123" s="76">
        <v>79</v>
      </c>
      <c r="DC123" s="76">
        <v>183</v>
      </c>
      <c r="DD123" s="76">
        <v>2151</v>
      </c>
      <c r="DE123" s="76">
        <v>1880</v>
      </c>
      <c r="DF123" s="76">
        <v>587</v>
      </c>
      <c r="DG123" s="76">
        <v>-316</v>
      </c>
      <c r="DH123" s="76">
        <v>0</v>
      </c>
      <c r="DI123" s="76">
        <v>0</v>
      </c>
      <c r="DJ123" s="76">
        <v>0</v>
      </c>
      <c r="DK123" s="76">
        <v>0</v>
      </c>
      <c r="DL123" s="76">
        <v>0</v>
      </c>
      <c r="DM123" s="76">
        <v>0</v>
      </c>
      <c r="DN123" s="76">
        <v>0</v>
      </c>
      <c r="DO123" s="76">
        <v>0</v>
      </c>
      <c r="DP123" s="76">
        <v>0</v>
      </c>
      <c r="DQ123" s="76">
        <v>0</v>
      </c>
      <c r="DR123" s="76">
        <v>0</v>
      </c>
      <c r="DS123" s="76">
        <v>0</v>
      </c>
      <c r="DT123" s="76">
        <v>0</v>
      </c>
      <c r="DU123" s="76">
        <v>0</v>
      </c>
      <c r="DV123" s="76">
        <v>0</v>
      </c>
      <c r="DW123" s="76">
        <v>0</v>
      </c>
      <c r="DX123" s="76">
        <v>0</v>
      </c>
      <c r="DY123" s="76">
        <v>0</v>
      </c>
      <c r="DZ123" s="76">
        <v>0</v>
      </c>
      <c r="EA123" s="76">
        <v>0</v>
      </c>
      <c r="EB123" s="76">
        <v>93</v>
      </c>
      <c r="EC123" s="76">
        <v>0</v>
      </c>
      <c r="ED123" s="76">
        <v>159</v>
      </c>
      <c r="EE123" s="76">
        <v>-66</v>
      </c>
      <c r="EF123" s="76">
        <v>93</v>
      </c>
      <c r="EG123" s="76">
        <v>0</v>
      </c>
      <c r="EH123" s="76">
        <v>159</v>
      </c>
      <c r="EI123" s="76">
        <v>-66</v>
      </c>
      <c r="EJ123" s="76">
        <v>2244</v>
      </c>
      <c r="EK123" s="76">
        <v>1880</v>
      </c>
      <c r="EL123" s="76">
        <v>746</v>
      </c>
      <c r="EM123" s="76">
        <v>-382</v>
      </c>
      <c r="EN123" s="76">
        <v>1709</v>
      </c>
      <c r="EO123" s="76">
        <v>0</v>
      </c>
      <c r="EP123" s="76">
        <v>607</v>
      </c>
      <c r="EQ123" s="76">
        <v>0</v>
      </c>
      <c r="ER123" s="76">
        <v>252128</v>
      </c>
      <c r="ES123" s="76">
        <v>0</v>
      </c>
      <c r="ET123" s="76">
        <v>252128</v>
      </c>
      <c r="EU123" s="76">
        <v>8408</v>
      </c>
      <c r="EV123" s="76">
        <v>-1456</v>
      </c>
      <c r="EW123" s="76">
        <v>0</v>
      </c>
      <c r="EX123" s="76">
        <v>0</v>
      </c>
      <c r="EY123" s="76">
        <v>0</v>
      </c>
      <c r="EZ123" s="76">
        <v>259080</v>
      </c>
      <c r="FA123" s="76">
        <v>45983</v>
      </c>
      <c r="FB123" s="76">
        <v>4350</v>
      </c>
      <c r="FC123" s="76">
        <v>0</v>
      </c>
      <c r="FD123" s="76">
        <v>0</v>
      </c>
      <c r="FE123" s="76">
        <v>-895</v>
      </c>
      <c r="FF123" s="76">
        <v>0</v>
      </c>
      <c r="FG123" s="76">
        <v>0</v>
      </c>
      <c r="FH123" s="76">
        <v>49438</v>
      </c>
      <c r="FI123" s="76">
        <v>209642</v>
      </c>
      <c r="FJ123" s="76">
        <v>206145</v>
      </c>
      <c r="FK123" s="76">
        <v>405</v>
      </c>
      <c r="FL123" s="76">
        <v>312</v>
      </c>
      <c r="FM123" s="76">
        <v>93</v>
      </c>
      <c r="FN123" s="76">
        <v>30</v>
      </c>
      <c r="FO123" s="76">
        <v>27</v>
      </c>
      <c r="FP123" s="76">
        <v>3</v>
      </c>
      <c r="FQ123" s="76">
        <v>260</v>
      </c>
      <c r="FR123" s="76">
        <v>260</v>
      </c>
      <c r="FS123" s="76">
        <v>0</v>
      </c>
      <c r="FT123" s="76">
        <v>462</v>
      </c>
      <c r="FU123" s="76">
        <v>179</v>
      </c>
      <c r="FV123" s="76">
        <v>283</v>
      </c>
      <c r="FW123" s="76">
        <v>0</v>
      </c>
      <c r="FX123" s="76">
        <v>0</v>
      </c>
      <c r="FY123" s="76">
        <v>0</v>
      </c>
      <c r="FZ123" s="76">
        <v>4</v>
      </c>
      <c r="GA123" s="76">
        <v>0</v>
      </c>
      <c r="GB123" s="76">
        <v>4</v>
      </c>
      <c r="GC123" s="76">
        <v>1161</v>
      </c>
      <c r="GD123" s="76">
        <v>778</v>
      </c>
      <c r="GE123" s="76">
        <v>383</v>
      </c>
      <c r="GF123" s="76">
        <v>0</v>
      </c>
      <c r="GG123" s="76">
        <v>0</v>
      </c>
      <c r="GH123" s="76">
        <v>0</v>
      </c>
      <c r="GI123" s="76">
        <v>0</v>
      </c>
      <c r="GJ123" s="76">
        <v>0</v>
      </c>
      <c r="GK123" s="76">
        <v>540</v>
      </c>
      <c r="GL123" s="76">
        <v>540</v>
      </c>
      <c r="GM123" s="76">
        <v>493</v>
      </c>
      <c r="GN123" s="76">
        <v>982</v>
      </c>
      <c r="GO123" s="76">
        <v>0</v>
      </c>
      <c r="GP123" s="76">
        <v>380</v>
      </c>
      <c r="GQ123" s="76">
        <v>9</v>
      </c>
      <c r="GR123" s="76">
        <v>3000</v>
      </c>
      <c r="GS123" s="76">
        <v>0</v>
      </c>
      <c r="GT123" s="76">
        <v>0</v>
      </c>
      <c r="GU123" s="76">
        <v>499</v>
      </c>
      <c r="GV123" s="76">
        <v>0</v>
      </c>
      <c r="GW123" s="76">
        <v>102</v>
      </c>
      <c r="GX123" s="76">
        <v>5465</v>
      </c>
      <c r="GY123" s="76">
        <v>453</v>
      </c>
      <c r="GZ123" s="76">
        <v>181</v>
      </c>
      <c r="HA123" s="76">
        <v>3311</v>
      </c>
      <c r="HB123" s="76">
        <v>481</v>
      </c>
      <c r="HC123" s="76">
        <v>4426</v>
      </c>
      <c r="HD123" s="76">
        <v>0</v>
      </c>
      <c r="HE123" s="76">
        <v>0</v>
      </c>
      <c r="HF123" s="76">
        <v>0</v>
      </c>
      <c r="HG123" s="76">
        <v>2721</v>
      </c>
      <c r="HH123" s="76">
        <v>122</v>
      </c>
      <c r="HI123" s="76">
        <v>80</v>
      </c>
      <c r="HJ123" s="76">
        <v>0</v>
      </c>
      <c r="HK123" s="76">
        <v>0</v>
      </c>
      <c r="HL123" s="76">
        <v>-160</v>
      </c>
      <c r="HM123" s="76">
        <v>2763</v>
      </c>
      <c r="HN123" s="76">
        <v>2751</v>
      </c>
      <c r="HO123" s="76">
        <v>4920</v>
      </c>
      <c r="HP123" s="76">
        <v>0</v>
      </c>
      <c r="HQ123" s="76">
        <v>80</v>
      </c>
      <c r="HR123" s="76">
        <v>-17</v>
      </c>
      <c r="HS123" s="76">
        <v>-16</v>
      </c>
      <c r="HT123" s="76">
        <v>5322</v>
      </c>
      <c r="HU123" s="76">
        <v>0</v>
      </c>
      <c r="HV123" s="76">
        <v>0</v>
      </c>
      <c r="HW123" s="76">
        <v>6</v>
      </c>
      <c r="HX123" s="76">
        <v>137</v>
      </c>
    </row>
    <row r="124" spans="1:232" x14ac:dyDescent="0.2">
      <c r="A124" s="74" t="s">
        <v>530</v>
      </c>
      <c r="B124" s="74" t="s">
        <v>531</v>
      </c>
      <c r="C124" s="75" t="s">
        <v>200</v>
      </c>
      <c r="D124" s="75">
        <v>12</v>
      </c>
      <c r="E124" s="76">
        <v>6255</v>
      </c>
      <c r="F124" s="76">
        <v>0</v>
      </c>
      <c r="G124" s="76">
        <v>-4291</v>
      </c>
      <c r="H124" s="76">
        <v>1964</v>
      </c>
      <c r="I124" s="76">
        <v>67</v>
      </c>
      <c r="J124" s="76">
        <v>0</v>
      </c>
      <c r="K124" s="76">
        <v>0</v>
      </c>
      <c r="L124" s="76">
        <v>0</v>
      </c>
      <c r="M124" s="76">
        <v>3</v>
      </c>
      <c r="N124" s="76">
        <v>-915</v>
      </c>
      <c r="O124" s="76">
        <v>0</v>
      </c>
      <c r="P124" s="76">
        <v>0</v>
      </c>
      <c r="Q124" s="76">
        <v>0</v>
      </c>
      <c r="R124" s="76">
        <v>0</v>
      </c>
      <c r="S124" s="76">
        <v>1119</v>
      </c>
      <c r="T124" s="76">
        <v>0</v>
      </c>
      <c r="U124" s="76">
        <v>1119</v>
      </c>
      <c r="V124" s="76">
        <v>0</v>
      </c>
      <c r="W124" s="76">
        <v>0</v>
      </c>
      <c r="X124" s="76">
        <v>0</v>
      </c>
      <c r="Y124" s="76">
        <v>0</v>
      </c>
      <c r="Z124" s="76">
        <v>1119</v>
      </c>
      <c r="AA124" s="76">
        <v>5046</v>
      </c>
      <c r="AB124" s="76">
        <v>815</v>
      </c>
      <c r="AC124" s="76">
        <v>5861</v>
      </c>
      <c r="AD124" s="76">
        <v>326</v>
      </c>
      <c r="AE124" s="76">
        <v>0</v>
      </c>
      <c r="AF124" s="76">
        <v>0</v>
      </c>
      <c r="AG124" s="76">
        <v>0</v>
      </c>
      <c r="AH124" s="76">
        <v>6187</v>
      </c>
      <c r="AI124" s="76">
        <v>1190</v>
      </c>
      <c r="AJ124" s="76">
        <v>852</v>
      </c>
      <c r="AK124" s="76">
        <v>647</v>
      </c>
      <c r="AL124" s="76">
        <v>570</v>
      </c>
      <c r="AM124" s="76">
        <v>0</v>
      </c>
      <c r="AN124" s="76">
        <v>14</v>
      </c>
      <c r="AO124" s="76">
        <v>620</v>
      </c>
      <c r="AP124" s="76">
        <v>0</v>
      </c>
      <c r="AQ124" s="76">
        <v>191</v>
      </c>
      <c r="AR124" s="76">
        <v>4084</v>
      </c>
      <c r="AS124" s="76">
        <v>2103</v>
      </c>
      <c r="AT124" s="76">
        <v>14</v>
      </c>
      <c r="AU124" s="76">
        <v>66317</v>
      </c>
      <c r="AV124" s="76">
        <v>0</v>
      </c>
      <c r="AW124" s="76">
        <v>1226</v>
      </c>
      <c r="AX124" s="76">
        <v>0</v>
      </c>
      <c r="AY124" s="76">
        <v>0</v>
      </c>
      <c r="AZ124" s="76">
        <v>0</v>
      </c>
      <c r="BA124" s="76">
        <v>0</v>
      </c>
      <c r="BB124" s="76">
        <v>0</v>
      </c>
      <c r="BC124" s="76">
        <v>0</v>
      </c>
      <c r="BD124" s="76">
        <v>0</v>
      </c>
      <c r="BE124" s="76">
        <v>67543</v>
      </c>
      <c r="BF124" s="76">
        <v>0</v>
      </c>
      <c r="BG124" s="76">
        <v>419</v>
      </c>
      <c r="BH124" s="76">
        <v>3338</v>
      </c>
      <c r="BI124" s="76">
        <v>0</v>
      </c>
      <c r="BJ124" s="76">
        <v>19</v>
      </c>
      <c r="BK124" s="76">
        <v>3776</v>
      </c>
      <c r="BL124" s="76">
        <v>610</v>
      </c>
      <c r="BM124" s="76">
        <v>0</v>
      </c>
      <c r="BN124" s="76">
        <v>331</v>
      </c>
      <c r="BO124" s="76">
        <v>658</v>
      </c>
      <c r="BP124" s="76">
        <v>1599</v>
      </c>
      <c r="BQ124" s="76">
        <v>2177</v>
      </c>
      <c r="BR124" s="76">
        <v>69720</v>
      </c>
      <c r="BS124" s="76">
        <v>26316</v>
      </c>
      <c r="BT124" s="76">
        <v>0</v>
      </c>
      <c r="BU124" s="76">
        <v>0</v>
      </c>
      <c r="BV124" s="76">
        <v>30345</v>
      </c>
      <c r="BW124" s="76">
        <v>0</v>
      </c>
      <c r="BX124" s="76">
        <v>0</v>
      </c>
      <c r="BY124" s="76">
        <v>341</v>
      </c>
      <c r="BZ124" s="76">
        <v>57002</v>
      </c>
      <c r="CA124" s="76">
        <v>707</v>
      </c>
      <c r="CB124" s="76">
        <v>0</v>
      </c>
      <c r="CC124" s="76">
        <v>12011</v>
      </c>
      <c r="CD124" s="76">
        <v>12011</v>
      </c>
      <c r="CE124" s="76">
        <v>0</v>
      </c>
      <c r="CF124" s="76">
        <v>0</v>
      </c>
      <c r="CG124" s="76">
        <v>0</v>
      </c>
      <c r="CH124" s="76">
        <v>0</v>
      </c>
      <c r="CI124" s="76">
        <v>12011</v>
      </c>
      <c r="CJ124" s="76">
        <v>0</v>
      </c>
      <c r="CK124" s="76">
        <v>0</v>
      </c>
      <c r="CL124" s="76">
        <v>0</v>
      </c>
      <c r="CM124" s="76">
        <v>0</v>
      </c>
      <c r="CN124" s="76">
        <v>0</v>
      </c>
      <c r="CO124" s="76">
        <v>0</v>
      </c>
      <c r="CP124" s="76">
        <v>0</v>
      </c>
      <c r="CQ124" s="76">
        <v>0</v>
      </c>
      <c r="CR124" s="76">
        <v>0</v>
      </c>
      <c r="CS124" s="76">
        <v>0</v>
      </c>
      <c r="CT124" s="76">
        <v>0</v>
      </c>
      <c r="CU124" s="76">
        <v>0</v>
      </c>
      <c r="CV124" s="76">
        <v>0</v>
      </c>
      <c r="CW124" s="76">
        <v>0</v>
      </c>
      <c r="CX124" s="76">
        <v>0</v>
      </c>
      <c r="CY124" s="76">
        <v>0</v>
      </c>
      <c r="CZ124" s="76">
        <v>0</v>
      </c>
      <c r="DA124" s="76">
        <v>0</v>
      </c>
      <c r="DB124" s="76">
        <v>207</v>
      </c>
      <c r="DC124" s="76">
        <v>-207</v>
      </c>
      <c r="DD124" s="76">
        <v>0</v>
      </c>
      <c r="DE124" s="76">
        <v>0</v>
      </c>
      <c r="DF124" s="76">
        <v>207</v>
      </c>
      <c r="DG124" s="76">
        <v>-207</v>
      </c>
      <c r="DH124" s="76">
        <v>0</v>
      </c>
      <c r="DI124" s="76">
        <v>0</v>
      </c>
      <c r="DJ124" s="76">
        <v>0</v>
      </c>
      <c r="DK124" s="76">
        <v>0</v>
      </c>
      <c r="DL124" s="76">
        <v>0</v>
      </c>
      <c r="DM124" s="76">
        <v>0</v>
      </c>
      <c r="DN124" s="76">
        <v>0</v>
      </c>
      <c r="DO124" s="76">
        <v>0</v>
      </c>
      <c r="DP124" s="76">
        <v>0</v>
      </c>
      <c r="DQ124" s="76">
        <v>0</v>
      </c>
      <c r="DR124" s="76">
        <v>0</v>
      </c>
      <c r="DS124" s="76">
        <v>0</v>
      </c>
      <c r="DT124" s="76">
        <v>14</v>
      </c>
      <c r="DU124" s="76">
        <v>0</v>
      </c>
      <c r="DV124" s="76">
        <v>0</v>
      </c>
      <c r="DW124" s="76">
        <v>14</v>
      </c>
      <c r="DX124" s="76">
        <v>0</v>
      </c>
      <c r="DY124" s="76">
        <v>0</v>
      </c>
      <c r="DZ124" s="76">
        <v>0</v>
      </c>
      <c r="EA124" s="76">
        <v>0</v>
      </c>
      <c r="EB124" s="76">
        <v>55</v>
      </c>
      <c r="EC124" s="76">
        <v>0</v>
      </c>
      <c r="ED124" s="76">
        <v>0</v>
      </c>
      <c r="EE124" s="76">
        <v>55</v>
      </c>
      <c r="EF124" s="76">
        <v>69</v>
      </c>
      <c r="EG124" s="76">
        <v>0</v>
      </c>
      <c r="EH124" s="76">
        <v>0</v>
      </c>
      <c r="EI124" s="76">
        <v>69</v>
      </c>
      <c r="EJ124" s="76">
        <v>69</v>
      </c>
      <c r="EK124" s="76">
        <v>0</v>
      </c>
      <c r="EL124" s="76">
        <v>207</v>
      </c>
      <c r="EM124" s="76">
        <v>-138</v>
      </c>
      <c r="EN124" s="76">
        <v>243</v>
      </c>
      <c r="EO124" s="76">
        <v>34</v>
      </c>
      <c r="EP124" s="76">
        <v>77</v>
      </c>
      <c r="EQ124" s="76">
        <v>34</v>
      </c>
      <c r="ER124" s="76">
        <v>68934</v>
      </c>
      <c r="ES124" s="76">
        <v>0</v>
      </c>
      <c r="ET124" s="76">
        <v>68934</v>
      </c>
      <c r="EU124" s="76">
        <v>1660</v>
      </c>
      <c r="EV124" s="76">
        <v>-130</v>
      </c>
      <c r="EW124" s="76">
        <v>0</v>
      </c>
      <c r="EX124" s="76">
        <v>0</v>
      </c>
      <c r="EY124" s="76">
        <v>0</v>
      </c>
      <c r="EZ124" s="76">
        <v>70464</v>
      </c>
      <c r="FA124" s="76">
        <v>3540</v>
      </c>
      <c r="FB124" s="76">
        <v>613</v>
      </c>
      <c r="FC124" s="76">
        <v>0</v>
      </c>
      <c r="FD124" s="76">
        <v>0</v>
      </c>
      <c r="FE124" s="76">
        <v>-6</v>
      </c>
      <c r="FF124" s="76">
        <v>0</v>
      </c>
      <c r="FG124" s="76">
        <v>0</v>
      </c>
      <c r="FH124" s="76">
        <v>4147</v>
      </c>
      <c r="FI124" s="76">
        <v>66317</v>
      </c>
      <c r="FJ124" s="76">
        <v>65394</v>
      </c>
      <c r="FK124" s="76">
        <v>0</v>
      </c>
      <c r="FL124" s="76">
        <v>0</v>
      </c>
      <c r="FM124" s="76">
        <v>0</v>
      </c>
      <c r="FN124" s="76">
        <v>0</v>
      </c>
      <c r="FO124" s="76">
        <v>0</v>
      </c>
      <c r="FP124" s="76">
        <v>0</v>
      </c>
      <c r="FQ124" s="76">
        <v>0</v>
      </c>
      <c r="FR124" s="76">
        <v>0</v>
      </c>
      <c r="FS124" s="76">
        <v>0</v>
      </c>
      <c r="FT124" s="76">
        <v>169</v>
      </c>
      <c r="FU124" s="76">
        <v>129</v>
      </c>
      <c r="FV124" s="76">
        <v>40</v>
      </c>
      <c r="FW124" s="76">
        <v>190</v>
      </c>
      <c r="FX124" s="76">
        <v>163</v>
      </c>
      <c r="FY124" s="76">
        <v>27</v>
      </c>
      <c r="FZ124" s="76">
        <v>0</v>
      </c>
      <c r="GA124" s="76">
        <v>0</v>
      </c>
      <c r="GB124" s="76">
        <v>0</v>
      </c>
      <c r="GC124" s="76">
        <v>359</v>
      </c>
      <c r="GD124" s="76">
        <v>292</v>
      </c>
      <c r="GE124" s="76">
        <v>67</v>
      </c>
      <c r="GF124" s="76">
        <v>0</v>
      </c>
      <c r="GG124" s="76">
        <v>0</v>
      </c>
      <c r="GH124" s="76">
        <v>0</v>
      </c>
      <c r="GI124" s="76">
        <v>0</v>
      </c>
      <c r="GJ124" s="76">
        <v>0</v>
      </c>
      <c r="GK124" s="76">
        <v>19</v>
      </c>
      <c r="GL124" s="76">
        <v>19</v>
      </c>
      <c r="GM124" s="76">
        <v>349</v>
      </c>
      <c r="GN124" s="76">
        <v>186</v>
      </c>
      <c r="GO124" s="76">
        <v>0</v>
      </c>
      <c r="GP124" s="76">
        <v>0</v>
      </c>
      <c r="GQ124" s="76">
        <v>0</v>
      </c>
      <c r="GR124" s="76">
        <v>32</v>
      </c>
      <c r="GS124" s="76">
        <v>63</v>
      </c>
      <c r="GT124" s="76">
        <v>0</v>
      </c>
      <c r="GU124" s="76">
        <v>0</v>
      </c>
      <c r="GV124" s="76">
        <v>0</v>
      </c>
      <c r="GW124" s="76">
        <v>28</v>
      </c>
      <c r="GX124" s="76">
        <v>658</v>
      </c>
      <c r="GY124" s="76">
        <v>0</v>
      </c>
      <c r="GZ124" s="76">
        <v>0</v>
      </c>
      <c r="HA124" s="76">
        <v>0</v>
      </c>
      <c r="HB124" s="76">
        <v>341</v>
      </c>
      <c r="HC124" s="76">
        <v>341</v>
      </c>
      <c r="HD124" s="76">
        <v>0</v>
      </c>
      <c r="HE124" s="76">
        <v>0</v>
      </c>
      <c r="HF124" s="76">
        <v>0</v>
      </c>
      <c r="HG124" s="76">
        <v>914</v>
      </c>
      <c r="HH124" s="76">
        <v>0</v>
      </c>
      <c r="HI124" s="76">
        <v>0</v>
      </c>
      <c r="HJ124" s="76">
        <v>0</v>
      </c>
      <c r="HK124" s="76">
        <v>0</v>
      </c>
      <c r="HL124" s="76">
        <v>0</v>
      </c>
      <c r="HM124" s="76">
        <v>914</v>
      </c>
      <c r="HN124" s="76">
        <v>422</v>
      </c>
      <c r="HO124" s="76">
        <v>665</v>
      </c>
      <c r="HP124" s="76">
        <v>0</v>
      </c>
      <c r="HQ124" s="76">
        <v>8</v>
      </c>
      <c r="HR124" s="76">
        <v>-8</v>
      </c>
      <c r="HS124" s="76">
        <v>0</v>
      </c>
      <c r="HT124" s="76">
        <v>1083</v>
      </c>
      <c r="HU124" s="76">
        <v>0</v>
      </c>
      <c r="HV124" s="76">
        <v>0</v>
      </c>
      <c r="HW124" s="76">
        <v>0</v>
      </c>
      <c r="HX124" s="76">
        <v>0</v>
      </c>
    </row>
    <row r="125" spans="1:232" x14ac:dyDescent="0.2">
      <c r="A125" s="74" t="s">
        <v>534</v>
      </c>
      <c r="B125" s="74" t="s">
        <v>533</v>
      </c>
      <c r="C125" s="75" t="s">
        <v>200</v>
      </c>
      <c r="D125" s="75">
        <v>12</v>
      </c>
      <c r="E125" s="76">
        <v>223484</v>
      </c>
      <c r="F125" s="76">
        <v>-38460</v>
      </c>
      <c r="G125" s="76">
        <v>-115570</v>
      </c>
      <c r="H125" s="76">
        <v>69454</v>
      </c>
      <c r="I125" s="76">
        <v>7325</v>
      </c>
      <c r="J125" s="76">
        <v>0</v>
      </c>
      <c r="K125" s="76">
        <v>0</v>
      </c>
      <c r="L125" s="76">
        <v>0</v>
      </c>
      <c r="M125" s="76">
        <v>422</v>
      </c>
      <c r="N125" s="76">
        <v>-26218</v>
      </c>
      <c r="O125" s="76">
        <v>1347</v>
      </c>
      <c r="P125" s="76">
        <v>8720</v>
      </c>
      <c r="Q125" s="76">
        <v>0</v>
      </c>
      <c r="R125" s="76">
        <v>0</v>
      </c>
      <c r="S125" s="76">
        <v>61050</v>
      </c>
      <c r="T125" s="76">
        <v>-9228</v>
      </c>
      <c r="U125" s="76">
        <v>51822</v>
      </c>
      <c r="V125" s="76">
        <v>0</v>
      </c>
      <c r="W125" s="76">
        <v>-658</v>
      </c>
      <c r="X125" s="76">
        <v>0</v>
      </c>
      <c r="Y125" s="76">
        <v>0</v>
      </c>
      <c r="Z125" s="76">
        <v>51164</v>
      </c>
      <c r="AA125" s="76">
        <v>124133</v>
      </c>
      <c r="AB125" s="76">
        <v>12700</v>
      </c>
      <c r="AC125" s="76">
        <v>136833</v>
      </c>
      <c r="AD125" s="76">
        <v>9611</v>
      </c>
      <c r="AE125" s="76">
        <v>0</v>
      </c>
      <c r="AF125" s="76">
        <v>0</v>
      </c>
      <c r="AG125" s="76">
        <v>53</v>
      </c>
      <c r="AH125" s="76">
        <v>146497</v>
      </c>
      <c r="AI125" s="76">
        <v>33961</v>
      </c>
      <c r="AJ125" s="76">
        <v>13935</v>
      </c>
      <c r="AK125" s="76">
        <v>15481</v>
      </c>
      <c r="AL125" s="76">
        <v>0</v>
      </c>
      <c r="AM125" s="76">
        <v>8558</v>
      </c>
      <c r="AN125" s="76">
        <v>1072</v>
      </c>
      <c r="AO125" s="76">
        <v>18236</v>
      </c>
      <c r="AP125" s="76">
        <v>-275</v>
      </c>
      <c r="AQ125" s="76">
        <v>18223</v>
      </c>
      <c r="AR125" s="76">
        <v>109191</v>
      </c>
      <c r="AS125" s="76">
        <v>37306</v>
      </c>
      <c r="AT125" s="76">
        <v>2725</v>
      </c>
      <c r="AU125" s="76">
        <v>1540248</v>
      </c>
      <c r="AV125" s="76">
        <v>0</v>
      </c>
      <c r="AW125" s="76">
        <v>24746</v>
      </c>
      <c r="AX125" s="76">
        <v>1542</v>
      </c>
      <c r="AY125" s="76">
        <v>6624</v>
      </c>
      <c r="AZ125" s="76">
        <v>29274</v>
      </c>
      <c r="BA125" s="76">
        <v>0</v>
      </c>
      <c r="BB125" s="76">
        <v>0</v>
      </c>
      <c r="BC125" s="76">
        <v>0</v>
      </c>
      <c r="BD125" s="76">
        <v>7556</v>
      </c>
      <c r="BE125" s="76">
        <v>1609990</v>
      </c>
      <c r="BF125" s="76">
        <v>39330</v>
      </c>
      <c r="BG125" s="76">
        <v>17109</v>
      </c>
      <c r="BH125" s="76">
        <v>76752</v>
      </c>
      <c r="BI125" s="76">
        <v>0</v>
      </c>
      <c r="BJ125" s="76">
        <v>8795</v>
      </c>
      <c r="BK125" s="76">
        <v>141986</v>
      </c>
      <c r="BL125" s="76">
        <v>5151</v>
      </c>
      <c r="BM125" s="76">
        <v>686</v>
      </c>
      <c r="BN125" s="76">
        <v>0</v>
      </c>
      <c r="BO125" s="76">
        <v>57708</v>
      </c>
      <c r="BP125" s="76">
        <v>63545</v>
      </c>
      <c r="BQ125" s="76">
        <v>78441</v>
      </c>
      <c r="BR125" s="76">
        <v>1688431</v>
      </c>
      <c r="BS125" s="76">
        <v>756724</v>
      </c>
      <c r="BT125" s="76">
        <v>0</v>
      </c>
      <c r="BU125" s="76">
        <v>0</v>
      </c>
      <c r="BV125" s="76">
        <v>568082</v>
      </c>
      <c r="BW125" s="76">
        <v>0</v>
      </c>
      <c r="BX125" s="76">
        <v>0</v>
      </c>
      <c r="BY125" s="76">
        <v>24083</v>
      </c>
      <c r="BZ125" s="76">
        <v>1348889</v>
      </c>
      <c r="CA125" s="76">
        <v>784</v>
      </c>
      <c r="CB125" s="76">
        <v>11012</v>
      </c>
      <c r="CC125" s="76">
        <v>327746</v>
      </c>
      <c r="CD125" s="76">
        <v>327746</v>
      </c>
      <c r="CE125" s="76">
        <v>0</v>
      </c>
      <c r="CF125" s="76">
        <v>0</v>
      </c>
      <c r="CG125" s="76">
        <v>0</v>
      </c>
      <c r="CH125" s="76">
        <v>0</v>
      </c>
      <c r="CI125" s="76">
        <v>327746</v>
      </c>
      <c r="CJ125" s="76">
        <v>31711</v>
      </c>
      <c r="CK125" s="76">
        <v>18682</v>
      </c>
      <c r="CL125" s="76">
        <v>769</v>
      </c>
      <c r="CM125" s="76">
        <v>12260</v>
      </c>
      <c r="CN125" s="76">
        <v>236</v>
      </c>
      <c r="CO125" s="76">
        <v>0</v>
      </c>
      <c r="CP125" s="76">
        <v>236</v>
      </c>
      <c r="CQ125" s="76">
        <v>0</v>
      </c>
      <c r="CR125" s="76">
        <v>0</v>
      </c>
      <c r="CS125" s="76">
        <v>0</v>
      </c>
      <c r="CT125" s="76">
        <v>987</v>
      </c>
      <c r="CU125" s="76">
        <v>-987</v>
      </c>
      <c r="CV125" s="76">
        <v>0</v>
      </c>
      <c r="CW125" s="76">
        <v>0</v>
      </c>
      <c r="CX125" s="76">
        <v>714</v>
      </c>
      <c r="CY125" s="76">
        <v>-714</v>
      </c>
      <c r="CZ125" s="76">
        <v>1415</v>
      </c>
      <c r="DA125" s="76">
        <v>0</v>
      </c>
      <c r="DB125" s="76">
        <v>0</v>
      </c>
      <c r="DC125" s="76">
        <v>1415</v>
      </c>
      <c r="DD125" s="76">
        <v>33362</v>
      </c>
      <c r="DE125" s="76">
        <v>18682</v>
      </c>
      <c r="DF125" s="76">
        <v>2706</v>
      </c>
      <c r="DG125" s="76">
        <v>11974</v>
      </c>
      <c r="DH125" s="76">
        <v>39165</v>
      </c>
      <c r="DI125" s="76">
        <v>19778</v>
      </c>
      <c r="DJ125" s="76">
        <v>1404</v>
      </c>
      <c r="DK125" s="76">
        <v>17983</v>
      </c>
      <c r="DL125" s="76">
        <v>1734</v>
      </c>
      <c r="DM125" s="76">
        <v>0</v>
      </c>
      <c r="DN125" s="76">
        <v>121</v>
      </c>
      <c r="DO125" s="76">
        <v>1613</v>
      </c>
      <c r="DP125" s="76">
        <v>0</v>
      </c>
      <c r="DQ125" s="76">
        <v>0</v>
      </c>
      <c r="DR125" s="76">
        <v>0</v>
      </c>
      <c r="DS125" s="76">
        <v>0</v>
      </c>
      <c r="DT125" s="76">
        <v>0</v>
      </c>
      <c r="DU125" s="76">
        <v>0</v>
      </c>
      <c r="DV125" s="76">
        <v>0</v>
      </c>
      <c r="DW125" s="76">
        <v>0</v>
      </c>
      <c r="DX125" s="76">
        <v>0</v>
      </c>
      <c r="DY125" s="76">
        <v>0</v>
      </c>
      <c r="DZ125" s="76">
        <v>0</v>
      </c>
      <c r="EA125" s="76">
        <v>0</v>
      </c>
      <c r="EB125" s="76">
        <v>2726</v>
      </c>
      <c r="EC125" s="76">
        <v>0</v>
      </c>
      <c r="ED125" s="76">
        <v>2148</v>
      </c>
      <c r="EE125" s="76">
        <v>578</v>
      </c>
      <c r="EF125" s="76">
        <v>43625</v>
      </c>
      <c r="EG125" s="76">
        <v>19778</v>
      </c>
      <c r="EH125" s="76">
        <v>3673</v>
      </c>
      <c r="EI125" s="76">
        <v>20174</v>
      </c>
      <c r="EJ125" s="76">
        <v>76987</v>
      </c>
      <c r="EK125" s="76">
        <v>38460</v>
      </c>
      <c r="EL125" s="76">
        <v>6379</v>
      </c>
      <c r="EM125" s="76">
        <v>32148</v>
      </c>
      <c r="EN125" s="76">
        <v>7027</v>
      </c>
      <c r="EO125" s="76">
        <v>4160</v>
      </c>
      <c r="EP125" s="76">
        <v>1388</v>
      </c>
      <c r="EQ125" s="76">
        <v>4020</v>
      </c>
      <c r="ER125" s="76">
        <v>1550847</v>
      </c>
      <c r="ES125" s="76">
        <v>0</v>
      </c>
      <c r="ET125" s="76">
        <v>1550847</v>
      </c>
      <c r="EU125" s="76">
        <v>131171</v>
      </c>
      <c r="EV125" s="76">
        <v>-14155</v>
      </c>
      <c r="EW125" s="76">
        <v>0</v>
      </c>
      <c r="EX125" s="76">
        <v>0</v>
      </c>
      <c r="EY125" s="76">
        <v>21677</v>
      </c>
      <c r="EZ125" s="76">
        <v>1689540</v>
      </c>
      <c r="FA125" s="76">
        <v>133825</v>
      </c>
      <c r="FB125" s="76">
        <v>18018</v>
      </c>
      <c r="FC125" s="76">
        <v>542</v>
      </c>
      <c r="FD125" s="76">
        <v>0</v>
      </c>
      <c r="FE125" s="76">
        <v>-968</v>
      </c>
      <c r="FF125" s="76">
        <v>0</v>
      </c>
      <c r="FG125" s="76">
        <v>-2125</v>
      </c>
      <c r="FH125" s="76">
        <v>149292</v>
      </c>
      <c r="FI125" s="76">
        <v>1540248</v>
      </c>
      <c r="FJ125" s="76">
        <v>1417022</v>
      </c>
      <c r="FK125" s="76">
        <v>12425</v>
      </c>
      <c r="FL125" s="76">
        <v>5834</v>
      </c>
      <c r="FM125" s="76">
        <v>6591</v>
      </c>
      <c r="FN125" s="76">
        <v>4127</v>
      </c>
      <c r="FO125" s="76">
        <v>3593</v>
      </c>
      <c r="FP125" s="76">
        <v>534</v>
      </c>
      <c r="FQ125" s="76">
        <v>514</v>
      </c>
      <c r="FR125" s="76">
        <v>314</v>
      </c>
      <c r="FS125" s="76">
        <v>200</v>
      </c>
      <c r="FT125" s="76">
        <v>0</v>
      </c>
      <c r="FU125" s="76">
        <v>0</v>
      </c>
      <c r="FV125" s="76">
        <v>0</v>
      </c>
      <c r="FW125" s="76">
        <v>0</v>
      </c>
      <c r="FX125" s="76">
        <v>0</v>
      </c>
      <c r="FY125" s="76">
        <v>0</v>
      </c>
      <c r="FZ125" s="76">
        <v>0</v>
      </c>
      <c r="GA125" s="76">
        <v>0</v>
      </c>
      <c r="GB125" s="76">
        <v>0</v>
      </c>
      <c r="GC125" s="76">
        <v>17066</v>
      </c>
      <c r="GD125" s="76">
        <v>9741</v>
      </c>
      <c r="GE125" s="76">
        <v>7325</v>
      </c>
      <c r="GF125" s="76">
        <v>0</v>
      </c>
      <c r="GG125" s="76">
        <v>0</v>
      </c>
      <c r="GH125" s="76">
        <v>0</v>
      </c>
      <c r="GI125" s="76">
        <v>6062</v>
      </c>
      <c r="GJ125" s="76">
        <v>0</v>
      </c>
      <c r="GK125" s="76">
        <v>2733</v>
      </c>
      <c r="GL125" s="76">
        <v>8795</v>
      </c>
      <c r="GM125" s="76">
        <v>2759</v>
      </c>
      <c r="GN125" s="76">
        <v>7426</v>
      </c>
      <c r="GO125" s="76">
        <v>0</v>
      </c>
      <c r="GP125" s="76">
        <v>0</v>
      </c>
      <c r="GQ125" s="76">
        <v>0</v>
      </c>
      <c r="GR125" s="76">
        <v>41420</v>
      </c>
      <c r="GS125" s="76">
        <v>0</v>
      </c>
      <c r="GT125" s="76">
        <v>0</v>
      </c>
      <c r="GU125" s="76">
        <v>1601</v>
      </c>
      <c r="GV125" s="76">
        <v>0</v>
      </c>
      <c r="GW125" s="76">
        <v>4502</v>
      </c>
      <c r="GX125" s="76">
        <v>57708</v>
      </c>
      <c r="GY125" s="76">
        <v>12830</v>
      </c>
      <c r="GZ125" s="76">
        <v>484</v>
      </c>
      <c r="HA125" s="76">
        <v>10196</v>
      </c>
      <c r="HB125" s="76">
        <v>573</v>
      </c>
      <c r="HC125" s="76">
        <v>24083</v>
      </c>
      <c r="HD125" s="76">
        <v>7045</v>
      </c>
      <c r="HE125" s="76">
        <v>3967</v>
      </c>
      <c r="HF125" s="76">
        <v>11012</v>
      </c>
      <c r="HG125" s="76">
        <v>29571</v>
      </c>
      <c r="HH125" s="76">
        <v>479</v>
      </c>
      <c r="HI125" s="76">
        <v>245</v>
      </c>
      <c r="HJ125" s="76">
        <v>0</v>
      </c>
      <c r="HK125" s="76">
        <v>614</v>
      </c>
      <c r="HL125" s="76">
        <v>-4691</v>
      </c>
      <c r="HM125" s="76">
        <v>26218</v>
      </c>
      <c r="HN125" s="76">
        <v>16240</v>
      </c>
      <c r="HO125" s="76">
        <v>19242</v>
      </c>
      <c r="HP125" s="76">
        <v>542</v>
      </c>
      <c r="HQ125" s="76">
        <v>471</v>
      </c>
      <c r="HR125" s="76">
        <v>-315</v>
      </c>
      <c r="HS125" s="76">
        <v>-243</v>
      </c>
      <c r="HT125" s="76">
        <v>18609</v>
      </c>
      <c r="HU125" s="76">
        <v>46</v>
      </c>
      <c r="HV125" s="76">
        <v>0</v>
      </c>
      <c r="HW125" s="76">
        <v>188</v>
      </c>
      <c r="HX125" s="76">
        <v>692</v>
      </c>
    </row>
    <row r="126" spans="1:232" x14ac:dyDescent="0.2">
      <c r="A126" s="74" t="s">
        <v>537</v>
      </c>
      <c r="B126" s="74" t="s">
        <v>538</v>
      </c>
      <c r="C126" s="75" t="s">
        <v>200</v>
      </c>
      <c r="D126" s="75">
        <v>12</v>
      </c>
      <c r="E126" s="76">
        <v>102654</v>
      </c>
      <c r="F126" s="76">
        <v>0</v>
      </c>
      <c r="G126" s="76">
        <v>-72251</v>
      </c>
      <c r="H126" s="76">
        <v>30403</v>
      </c>
      <c r="I126" s="76">
        <v>798</v>
      </c>
      <c r="J126" s="76">
        <v>0</v>
      </c>
      <c r="K126" s="76">
        <v>0</v>
      </c>
      <c r="L126" s="76">
        <v>0</v>
      </c>
      <c r="M126" s="76">
        <v>135</v>
      </c>
      <c r="N126" s="76">
        <v>-21385</v>
      </c>
      <c r="O126" s="76">
        <v>0</v>
      </c>
      <c r="P126" s="76">
        <v>0</v>
      </c>
      <c r="Q126" s="76">
        <v>0</v>
      </c>
      <c r="R126" s="76">
        <v>0</v>
      </c>
      <c r="S126" s="76">
        <v>9951</v>
      </c>
      <c r="T126" s="76">
        <v>-70</v>
      </c>
      <c r="U126" s="76">
        <v>9881</v>
      </c>
      <c r="V126" s="76">
        <v>0</v>
      </c>
      <c r="W126" s="76">
        <v>-10207</v>
      </c>
      <c r="X126" s="76">
        <v>0</v>
      </c>
      <c r="Y126" s="76">
        <v>0</v>
      </c>
      <c r="Z126" s="76">
        <v>-326</v>
      </c>
      <c r="AA126" s="76">
        <v>83728</v>
      </c>
      <c r="AB126" s="76">
        <v>5265</v>
      </c>
      <c r="AC126" s="76">
        <v>88993</v>
      </c>
      <c r="AD126" s="76">
        <v>98</v>
      </c>
      <c r="AE126" s="76">
        <v>0</v>
      </c>
      <c r="AF126" s="76">
        <v>0</v>
      </c>
      <c r="AG126" s="76">
        <v>0</v>
      </c>
      <c r="AH126" s="76">
        <v>89091</v>
      </c>
      <c r="AI126" s="76">
        <v>17712</v>
      </c>
      <c r="AJ126" s="76">
        <v>4866</v>
      </c>
      <c r="AK126" s="76">
        <v>12535</v>
      </c>
      <c r="AL126" s="76">
        <v>2843</v>
      </c>
      <c r="AM126" s="76">
        <v>5637</v>
      </c>
      <c r="AN126" s="76">
        <v>950</v>
      </c>
      <c r="AO126" s="76">
        <v>14252</v>
      </c>
      <c r="AP126" s="76">
        <v>0</v>
      </c>
      <c r="AQ126" s="76">
        <v>180</v>
      </c>
      <c r="AR126" s="76">
        <v>58975</v>
      </c>
      <c r="AS126" s="76">
        <v>30116</v>
      </c>
      <c r="AT126" s="76">
        <v>1241</v>
      </c>
      <c r="AU126" s="76">
        <v>552350</v>
      </c>
      <c r="AV126" s="76">
        <v>0</v>
      </c>
      <c r="AW126" s="76">
        <v>14837</v>
      </c>
      <c r="AX126" s="76">
        <v>0</v>
      </c>
      <c r="AY126" s="76">
        <v>0</v>
      </c>
      <c r="AZ126" s="76">
        <v>0</v>
      </c>
      <c r="BA126" s="76">
        <v>0</v>
      </c>
      <c r="BB126" s="76">
        <v>0</v>
      </c>
      <c r="BC126" s="76">
        <v>0</v>
      </c>
      <c r="BD126" s="76">
        <v>0</v>
      </c>
      <c r="BE126" s="76">
        <v>567187</v>
      </c>
      <c r="BF126" s="76">
        <v>472</v>
      </c>
      <c r="BG126" s="76">
        <v>12470</v>
      </c>
      <c r="BH126" s="76">
        <v>42388</v>
      </c>
      <c r="BI126" s="76">
        <v>0</v>
      </c>
      <c r="BJ126" s="76">
        <v>8095</v>
      </c>
      <c r="BK126" s="76">
        <v>63425</v>
      </c>
      <c r="BL126" s="76">
        <v>11045</v>
      </c>
      <c r="BM126" s="76">
        <v>0</v>
      </c>
      <c r="BN126" s="76">
        <v>98</v>
      </c>
      <c r="BO126" s="76">
        <v>22501</v>
      </c>
      <c r="BP126" s="76">
        <v>33644</v>
      </c>
      <c r="BQ126" s="76">
        <v>29781</v>
      </c>
      <c r="BR126" s="76">
        <v>596968</v>
      </c>
      <c r="BS126" s="76">
        <v>358744</v>
      </c>
      <c r="BT126" s="76">
        <v>0</v>
      </c>
      <c r="BU126" s="76">
        <v>0</v>
      </c>
      <c r="BV126" s="76">
        <v>9496</v>
      </c>
      <c r="BW126" s="76">
        <v>0</v>
      </c>
      <c r="BX126" s="76">
        <v>0</v>
      </c>
      <c r="BY126" s="76">
        <v>2400</v>
      </c>
      <c r="BZ126" s="76">
        <v>370640</v>
      </c>
      <c r="CA126" s="76">
        <v>44000</v>
      </c>
      <c r="CB126" s="76">
        <v>8815</v>
      </c>
      <c r="CC126" s="76">
        <v>173513</v>
      </c>
      <c r="CD126" s="76">
        <v>215601</v>
      </c>
      <c r="CE126" s="76">
        <v>0</v>
      </c>
      <c r="CF126" s="76">
        <v>183</v>
      </c>
      <c r="CG126" s="76">
        <v>0</v>
      </c>
      <c r="CH126" s="76">
        <v>-42271</v>
      </c>
      <c r="CI126" s="76">
        <v>173513</v>
      </c>
      <c r="CJ126" s="76">
        <v>0</v>
      </c>
      <c r="CK126" s="76">
        <v>0</v>
      </c>
      <c r="CL126" s="76">
        <v>0</v>
      </c>
      <c r="CM126" s="76">
        <v>0</v>
      </c>
      <c r="CN126" s="76">
        <v>0</v>
      </c>
      <c r="CO126" s="76">
        <v>0</v>
      </c>
      <c r="CP126" s="76">
        <v>0</v>
      </c>
      <c r="CQ126" s="76">
        <v>0</v>
      </c>
      <c r="CR126" s="76">
        <v>0</v>
      </c>
      <c r="CS126" s="76">
        <v>0</v>
      </c>
      <c r="CT126" s="76">
        <v>0</v>
      </c>
      <c r="CU126" s="76">
        <v>0</v>
      </c>
      <c r="CV126" s="76">
        <v>0</v>
      </c>
      <c r="CW126" s="76">
        <v>0</v>
      </c>
      <c r="CX126" s="76">
        <v>0</v>
      </c>
      <c r="CY126" s="76">
        <v>0</v>
      </c>
      <c r="CZ126" s="76">
        <v>6509</v>
      </c>
      <c r="DA126" s="76">
        <v>0</v>
      </c>
      <c r="DB126" s="76">
        <v>6300</v>
      </c>
      <c r="DC126" s="76">
        <v>209</v>
      </c>
      <c r="DD126" s="76">
        <v>6509</v>
      </c>
      <c r="DE126" s="76">
        <v>0</v>
      </c>
      <c r="DF126" s="76">
        <v>6300</v>
      </c>
      <c r="DG126" s="76">
        <v>209</v>
      </c>
      <c r="DH126" s="76">
        <v>0</v>
      </c>
      <c r="DI126" s="76">
        <v>0</v>
      </c>
      <c r="DJ126" s="76">
        <v>0</v>
      </c>
      <c r="DK126" s="76">
        <v>0</v>
      </c>
      <c r="DL126" s="76">
        <v>0</v>
      </c>
      <c r="DM126" s="76">
        <v>0</v>
      </c>
      <c r="DN126" s="76">
        <v>0</v>
      </c>
      <c r="DO126" s="76">
        <v>0</v>
      </c>
      <c r="DP126" s="76">
        <v>0</v>
      </c>
      <c r="DQ126" s="76">
        <v>0</v>
      </c>
      <c r="DR126" s="76">
        <v>0</v>
      </c>
      <c r="DS126" s="76">
        <v>0</v>
      </c>
      <c r="DT126" s="76">
        <v>0</v>
      </c>
      <c r="DU126" s="76">
        <v>0</v>
      </c>
      <c r="DV126" s="76">
        <v>0</v>
      </c>
      <c r="DW126" s="76">
        <v>0</v>
      </c>
      <c r="DX126" s="76">
        <v>0</v>
      </c>
      <c r="DY126" s="76">
        <v>0</v>
      </c>
      <c r="DZ126" s="76">
        <v>0</v>
      </c>
      <c r="EA126" s="76">
        <v>0</v>
      </c>
      <c r="EB126" s="76">
        <v>7054</v>
      </c>
      <c r="EC126" s="76">
        <v>0</v>
      </c>
      <c r="ED126" s="76">
        <v>6976</v>
      </c>
      <c r="EE126" s="76">
        <v>78</v>
      </c>
      <c r="EF126" s="76">
        <v>7054</v>
      </c>
      <c r="EG126" s="76">
        <v>0</v>
      </c>
      <c r="EH126" s="76">
        <v>6976</v>
      </c>
      <c r="EI126" s="76">
        <v>78</v>
      </c>
      <c r="EJ126" s="76">
        <v>13563</v>
      </c>
      <c r="EK126" s="76">
        <v>0</v>
      </c>
      <c r="EL126" s="76">
        <v>13276</v>
      </c>
      <c r="EM126" s="76">
        <v>287</v>
      </c>
      <c r="EN126" s="76">
        <v>4234</v>
      </c>
      <c r="EO126" s="76">
        <v>2954</v>
      </c>
      <c r="EP126" s="76">
        <v>740</v>
      </c>
      <c r="EQ126" s="76">
        <v>2268</v>
      </c>
      <c r="ER126" s="76">
        <v>565622</v>
      </c>
      <c r="ES126" s="76">
        <v>0</v>
      </c>
      <c r="ET126" s="76">
        <v>565622</v>
      </c>
      <c r="EU126" s="76">
        <v>25832</v>
      </c>
      <c r="EV126" s="76">
        <v>-5566</v>
      </c>
      <c r="EW126" s="76">
        <v>0</v>
      </c>
      <c r="EX126" s="76">
        <v>0</v>
      </c>
      <c r="EY126" s="76">
        <v>0</v>
      </c>
      <c r="EZ126" s="76">
        <v>585888</v>
      </c>
      <c r="FA126" s="76">
        <v>22729</v>
      </c>
      <c r="FB126" s="76">
        <v>14044</v>
      </c>
      <c r="FC126" s="76">
        <v>0</v>
      </c>
      <c r="FD126" s="76">
        <v>0</v>
      </c>
      <c r="FE126" s="76">
        <v>-3235</v>
      </c>
      <c r="FF126" s="76">
        <v>0</v>
      </c>
      <c r="FG126" s="76">
        <v>0</v>
      </c>
      <c r="FH126" s="76">
        <v>33538</v>
      </c>
      <c r="FI126" s="76">
        <v>552350</v>
      </c>
      <c r="FJ126" s="76">
        <v>542893</v>
      </c>
      <c r="FK126" s="76">
        <v>0</v>
      </c>
      <c r="FL126" s="76">
        <v>0</v>
      </c>
      <c r="FM126" s="76">
        <v>0</v>
      </c>
      <c r="FN126" s="76">
        <v>3358</v>
      </c>
      <c r="FO126" s="76">
        <v>2385</v>
      </c>
      <c r="FP126" s="76">
        <v>973</v>
      </c>
      <c r="FQ126" s="76">
        <v>1512</v>
      </c>
      <c r="FR126" s="76">
        <v>1687</v>
      </c>
      <c r="FS126" s="76">
        <v>-175</v>
      </c>
      <c r="FT126" s="76">
        <v>0</v>
      </c>
      <c r="FU126" s="76">
        <v>0</v>
      </c>
      <c r="FV126" s="76">
        <v>0</v>
      </c>
      <c r="FW126" s="76">
        <v>0</v>
      </c>
      <c r="FX126" s="76">
        <v>0</v>
      </c>
      <c r="FY126" s="76">
        <v>0</v>
      </c>
      <c r="FZ126" s="76">
        <v>0</v>
      </c>
      <c r="GA126" s="76">
        <v>0</v>
      </c>
      <c r="GB126" s="76">
        <v>0</v>
      </c>
      <c r="GC126" s="76">
        <v>4870</v>
      </c>
      <c r="GD126" s="76">
        <v>4072</v>
      </c>
      <c r="GE126" s="76">
        <v>798</v>
      </c>
      <c r="GF126" s="76">
        <v>0</v>
      </c>
      <c r="GG126" s="76">
        <v>0</v>
      </c>
      <c r="GH126" s="76">
        <v>1153</v>
      </c>
      <c r="GI126" s="76">
        <v>6230</v>
      </c>
      <c r="GJ126" s="76">
        <v>0</v>
      </c>
      <c r="GK126" s="76">
        <v>712</v>
      </c>
      <c r="GL126" s="76">
        <v>8095</v>
      </c>
      <c r="GM126" s="76">
        <v>5016</v>
      </c>
      <c r="GN126" s="76">
        <v>1584</v>
      </c>
      <c r="GO126" s="76">
        <v>0</v>
      </c>
      <c r="GP126" s="76">
        <v>0</v>
      </c>
      <c r="GQ126" s="76">
        <v>0</v>
      </c>
      <c r="GR126" s="76">
        <v>12727</v>
      </c>
      <c r="GS126" s="76">
        <v>0</v>
      </c>
      <c r="GT126" s="76">
        <v>0</v>
      </c>
      <c r="GU126" s="76">
        <v>0</v>
      </c>
      <c r="GV126" s="76">
        <v>0</v>
      </c>
      <c r="GW126" s="76">
        <v>3174</v>
      </c>
      <c r="GX126" s="76">
        <v>22501</v>
      </c>
      <c r="GY126" s="76">
        <v>0</v>
      </c>
      <c r="GZ126" s="76">
        <v>2291</v>
      </c>
      <c r="HA126" s="76">
        <v>0</v>
      </c>
      <c r="HB126" s="76">
        <v>109</v>
      </c>
      <c r="HC126" s="76">
        <v>2400</v>
      </c>
      <c r="HD126" s="76">
        <v>8649</v>
      </c>
      <c r="HE126" s="76">
        <v>166</v>
      </c>
      <c r="HF126" s="76">
        <v>8815</v>
      </c>
      <c r="HG126" s="76">
        <v>20689</v>
      </c>
      <c r="HH126" s="76">
        <v>0</v>
      </c>
      <c r="HI126" s="76">
        <v>1143</v>
      </c>
      <c r="HJ126" s="76">
        <v>0</v>
      </c>
      <c r="HK126" s="76">
        <v>69</v>
      </c>
      <c r="HL126" s="76">
        <v>-516</v>
      </c>
      <c r="HM126" s="76">
        <v>21385</v>
      </c>
      <c r="HN126" s="76">
        <v>10565</v>
      </c>
      <c r="HO126" s="76">
        <v>14432</v>
      </c>
      <c r="HP126" s="76">
        <v>0</v>
      </c>
      <c r="HQ126" s="76">
        <v>2</v>
      </c>
      <c r="HR126" s="76">
        <v>-108</v>
      </c>
      <c r="HS126" s="76">
        <v>111</v>
      </c>
      <c r="HT126" s="76">
        <v>19784</v>
      </c>
      <c r="HU126" s="76">
        <v>0</v>
      </c>
      <c r="HV126" s="76">
        <v>0</v>
      </c>
      <c r="HW126" s="76">
        <v>23</v>
      </c>
      <c r="HX126" s="76">
        <v>207</v>
      </c>
    </row>
    <row r="127" spans="1:232" x14ac:dyDescent="0.2">
      <c r="A127" s="74" t="s">
        <v>119</v>
      </c>
      <c r="B127" s="74" t="s">
        <v>118</v>
      </c>
      <c r="C127" s="75" t="s">
        <v>200</v>
      </c>
      <c r="D127" s="75">
        <v>12</v>
      </c>
      <c r="E127" s="76">
        <v>92740</v>
      </c>
      <c r="F127" s="76">
        <v>-2451</v>
      </c>
      <c r="G127" s="76">
        <v>-46387</v>
      </c>
      <c r="H127" s="76">
        <v>43902</v>
      </c>
      <c r="I127" s="76">
        <v>6468</v>
      </c>
      <c r="J127" s="76">
        <v>0</v>
      </c>
      <c r="K127" s="76">
        <v>0</v>
      </c>
      <c r="L127" s="76">
        <v>0</v>
      </c>
      <c r="M127" s="76">
        <v>199</v>
      </c>
      <c r="N127" s="76">
        <v>-15031</v>
      </c>
      <c r="O127" s="76">
        <v>83</v>
      </c>
      <c r="P127" s="76">
        <v>0</v>
      </c>
      <c r="Q127" s="76">
        <v>0</v>
      </c>
      <c r="R127" s="76">
        <v>0</v>
      </c>
      <c r="S127" s="76">
        <v>35621</v>
      </c>
      <c r="T127" s="76">
        <v>-74</v>
      </c>
      <c r="U127" s="76">
        <v>35547</v>
      </c>
      <c r="V127" s="76">
        <v>0</v>
      </c>
      <c r="W127" s="76">
        <v>0</v>
      </c>
      <c r="X127" s="76">
        <v>-360</v>
      </c>
      <c r="Y127" s="76">
        <v>0</v>
      </c>
      <c r="Z127" s="76">
        <v>35187</v>
      </c>
      <c r="AA127" s="76">
        <v>46161</v>
      </c>
      <c r="AB127" s="76">
        <v>9108</v>
      </c>
      <c r="AC127" s="76">
        <v>55269</v>
      </c>
      <c r="AD127" s="76">
        <v>3809</v>
      </c>
      <c r="AE127" s="76">
        <v>0</v>
      </c>
      <c r="AF127" s="76">
        <v>0</v>
      </c>
      <c r="AG127" s="76">
        <v>651</v>
      </c>
      <c r="AH127" s="76">
        <v>59729</v>
      </c>
      <c r="AI127" s="76">
        <v>7930</v>
      </c>
      <c r="AJ127" s="76">
        <v>10349</v>
      </c>
      <c r="AK127" s="76">
        <v>4185</v>
      </c>
      <c r="AL127" s="76">
        <v>3386</v>
      </c>
      <c r="AM127" s="76">
        <v>60</v>
      </c>
      <c r="AN127" s="76">
        <v>105</v>
      </c>
      <c r="AO127" s="76">
        <v>6861</v>
      </c>
      <c r="AP127" s="76">
        <v>0</v>
      </c>
      <c r="AQ127" s="76">
        <v>0</v>
      </c>
      <c r="AR127" s="76">
        <v>32876</v>
      </c>
      <c r="AS127" s="76">
        <v>26853</v>
      </c>
      <c r="AT127" s="76">
        <v>939</v>
      </c>
      <c r="AU127" s="76">
        <v>959765</v>
      </c>
      <c r="AV127" s="76">
        <v>0</v>
      </c>
      <c r="AW127" s="76">
        <v>9354</v>
      </c>
      <c r="AX127" s="76">
        <v>0</v>
      </c>
      <c r="AY127" s="76">
        <v>0</v>
      </c>
      <c r="AZ127" s="76">
        <v>1700</v>
      </c>
      <c r="BA127" s="76">
        <v>0</v>
      </c>
      <c r="BB127" s="76">
        <v>0</v>
      </c>
      <c r="BC127" s="76">
        <v>0</v>
      </c>
      <c r="BD127" s="76">
        <v>0</v>
      </c>
      <c r="BE127" s="76">
        <v>970819</v>
      </c>
      <c r="BF127" s="76">
        <v>14246</v>
      </c>
      <c r="BG127" s="76">
        <v>1555</v>
      </c>
      <c r="BH127" s="76">
        <v>37275</v>
      </c>
      <c r="BI127" s="76">
        <v>5000</v>
      </c>
      <c r="BJ127" s="76">
        <v>5624</v>
      </c>
      <c r="BK127" s="76">
        <v>63700</v>
      </c>
      <c r="BL127" s="76">
        <v>836</v>
      </c>
      <c r="BM127" s="76">
        <v>0</v>
      </c>
      <c r="BN127" s="76">
        <v>3686</v>
      </c>
      <c r="BO127" s="76">
        <v>25365</v>
      </c>
      <c r="BP127" s="76">
        <v>29887</v>
      </c>
      <c r="BQ127" s="76">
        <v>33813</v>
      </c>
      <c r="BR127" s="76">
        <v>1004632</v>
      </c>
      <c r="BS127" s="76">
        <v>461547</v>
      </c>
      <c r="BT127" s="76">
        <v>0</v>
      </c>
      <c r="BU127" s="76">
        <v>0</v>
      </c>
      <c r="BV127" s="76">
        <v>416515</v>
      </c>
      <c r="BW127" s="76">
        <v>0</v>
      </c>
      <c r="BX127" s="76">
        <v>0</v>
      </c>
      <c r="BY127" s="76">
        <v>7657</v>
      </c>
      <c r="BZ127" s="76">
        <v>885719</v>
      </c>
      <c r="CA127" s="76">
        <v>0</v>
      </c>
      <c r="CB127" s="76">
        <v>25</v>
      </c>
      <c r="CC127" s="76">
        <v>118888</v>
      </c>
      <c r="CD127" s="76">
        <v>129648</v>
      </c>
      <c r="CE127" s="76">
        <v>0</v>
      </c>
      <c r="CF127" s="76">
        <v>113</v>
      </c>
      <c r="CG127" s="76">
        <v>-12625</v>
      </c>
      <c r="CH127" s="76">
        <v>1752</v>
      </c>
      <c r="CI127" s="76">
        <v>118888</v>
      </c>
      <c r="CJ127" s="76">
        <v>4758</v>
      </c>
      <c r="CK127" s="76">
        <v>2451</v>
      </c>
      <c r="CL127" s="76">
        <v>0</v>
      </c>
      <c r="CM127" s="76">
        <v>2307</v>
      </c>
      <c r="CN127" s="76">
        <v>12244</v>
      </c>
      <c r="CO127" s="76">
        <v>0</v>
      </c>
      <c r="CP127" s="76">
        <v>12001</v>
      </c>
      <c r="CQ127" s="76">
        <v>243</v>
      </c>
      <c r="CR127" s="76">
        <v>148</v>
      </c>
      <c r="CS127" s="76">
        <v>0</v>
      </c>
      <c r="CT127" s="76">
        <v>402</v>
      </c>
      <c r="CU127" s="76">
        <v>-254</v>
      </c>
      <c r="CV127" s="76">
        <v>222</v>
      </c>
      <c r="CW127" s="76">
        <v>0</v>
      </c>
      <c r="CX127" s="76">
        <v>242</v>
      </c>
      <c r="CY127" s="76">
        <v>-20</v>
      </c>
      <c r="CZ127" s="76">
        <v>1439</v>
      </c>
      <c r="DA127" s="76">
        <v>0</v>
      </c>
      <c r="DB127" s="76">
        <v>866</v>
      </c>
      <c r="DC127" s="76">
        <v>573</v>
      </c>
      <c r="DD127" s="76">
        <v>18811</v>
      </c>
      <c r="DE127" s="76">
        <v>2451</v>
      </c>
      <c r="DF127" s="76">
        <v>13511</v>
      </c>
      <c r="DG127" s="76">
        <v>2849</v>
      </c>
      <c r="DH127" s="76">
        <v>0</v>
      </c>
      <c r="DI127" s="76">
        <v>0</v>
      </c>
      <c r="DJ127" s="76">
        <v>0</v>
      </c>
      <c r="DK127" s="76">
        <v>0</v>
      </c>
      <c r="DL127" s="76">
        <v>0</v>
      </c>
      <c r="DM127" s="76">
        <v>0</v>
      </c>
      <c r="DN127" s="76">
        <v>0</v>
      </c>
      <c r="DO127" s="76">
        <v>0</v>
      </c>
      <c r="DP127" s="76">
        <v>0</v>
      </c>
      <c r="DQ127" s="76">
        <v>0</v>
      </c>
      <c r="DR127" s="76">
        <v>0</v>
      </c>
      <c r="DS127" s="76">
        <v>0</v>
      </c>
      <c r="DT127" s="76">
        <v>0</v>
      </c>
      <c r="DU127" s="76">
        <v>0</v>
      </c>
      <c r="DV127" s="76">
        <v>0</v>
      </c>
      <c r="DW127" s="76">
        <v>0</v>
      </c>
      <c r="DX127" s="76">
        <v>0</v>
      </c>
      <c r="DY127" s="76">
        <v>0</v>
      </c>
      <c r="DZ127" s="76">
        <v>0</v>
      </c>
      <c r="EA127" s="76">
        <v>0</v>
      </c>
      <c r="EB127" s="76">
        <v>14200</v>
      </c>
      <c r="EC127" s="76">
        <v>0</v>
      </c>
      <c r="ED127" s="76">
        <v>0</v>
      </c>
      <c r="EE127" s="76">
        <v>14200</v>
      </c>
      <c r="EF127" s="76">
        <v>14200</v>
      </c>
      <c r="EG127" s="76">
        <v>0</v>
      </c>
      <c r="EH127" s="76">
        <v>0</v>
      </c>
      <c r="EI127" s="76">
        <v>14200</v>
      </c>
      <c r="EJ127" s="76">
        <v>33011</v>
      </c>
      <c r="EK127" s="76">
        <v>2451</v>
      </c>
      <c r="EL127" s="76">
        <v>13511</v>
      </c>
      <c r="EM127" s="76">
        <v>17049</v>
      </c>
      <c r="EN127" s="76">
        <v>1859</v>
      </c>
      <c r="EO127" s="76">
        <v>584</v>
      </c>
      <c r="EP127" s="76">
        <v>304</v>
      </c>
      <c r="EQ127" s="76">
        <v>584</v>
      </c>
      <c r="ER127" s="76">
        <v>998352</v>
      </c>
      <c r="ES127" s="76">
        <v>0</v>
      </c>
      <c r="ET127" s="76">
        <v>998352</v>
      </c>
      <c r="EU127" s="76">
        <v>64395</v>
      </c>
      <c r="EV127" s="76">
        <v>-9065</v>
      </c>
      <c r="EW127" s="76">
        <v>0</v>
      </c>
      <c r="EX127" s="76">
        <v>0</v>
      </c>
      <c r="EY127" s="76">
        <v>-13745</v>
      </c>
      <c r="EZ127" s="76">
        <v>1039937</v>
      </c>
      <c r="FA127" s="76">
        <v>73971</v>
      </c>
      <c r="FB127" s="76">
        <v>6600</v>
      </c>
      <c r="FC127" s="76">
        <v>0</v>
      </c>
      <c r="FD127" s="76">
        <v>0</v>
      </c>
      <c r="FE127" s="76">
        <v>-399</v>
      </c>
      <c r="FF127" s="76">
        <v>0</v>
      </c>
      <c r="FG127" s="76">
        <v>0</v>
      </c>
      <c r="FH127" s="76">
        <v>80172</v>
      </c>
      <c r="FI127" s="76">
        <v>959765</v>
      </c>
      <c r="FJ127" s="76">
        <v>924381</v>
      </c>
      <c r="FK127" s="76">
        <v>14773</v>
      </c>
      <c r="FL127" s="76">
        <v>8357</v>
      </c>
      <c r="FM127" s="76">
        <v>6416</v>
      </c>
      <c r="FN127" s="76">
        <v>0</v>
      </c>
      <c r="FO127" s="76">
        <v>0</v>
      </c>
      <c r="FP127" s="76">
        <v>0</v>
      </c>
      <c r="FQ127" s="76">
        <v>0</v>
      </c>
      <c r="FR127" s="76">
        <v>0</v>
      </c>
      <c r="FS127" s="76">
        <v>0</v>
      </c>
      <c r="FT127" s="76">
        <v>0</v>
      </c>
      <c r="FU127" s="76">
        <v>0</v>
      </c>
      <c r="FV127" s="76">
        <v>0</v>
      </c>
      <c r="FW127" s="76">
        <v>0</v>
      </c>
      <c r="FX127" s="76">
        <v>0</v>
      </c>
      <c r="FY127" s="76">
        <v>0</v>
      </c>
      <c r="FZ127" s="76">
        <v>16</v>
      </c>
      <c r="GA127" s="76">
        <v>-36</v>
      </c>
      <c r="GB127" s="76">
        <v>52</v>
      </c>
      <c r="GC127" s="76">
        <v>14789</v>
      </c>
      <c r="GD127" s="76">
        <v>8321</v>
      </c>
      <c r="GE127" s="76">
        <v>6468</v>
      </c>
      <c r="GF127" s="76">
        <v>1266</v>
      </c>
      <c r="GG127" s="76">
        <v>0</v>
      </c>
      <c r="GH127" s="76">
        <v>0</v>
      </c>
      <c r="GI127" s="76">
        <v>0</v>
      </c>
      <c r="GJ127" s="76">
        <v>0</v>
      </c>
      <c r="GK127" s="76">
        <v>4358</v>
      </c>
      <c r="GL127" s="76">
        <v>5624</v>
      </c>
      <c r="GM127" s="76">
        <v>4427</v>
      </c>
      <c r="GN127" s="76">
        <v>1453</v>
      </c>
      <c r="GO127" s="76">
        <v>0</v>
      </c>
      <c r="GP127" s="76">
        <v>3206</v>
      </c>
      <c r="GQ127" s="76">
        <v>593</v>
      </c>
      <c r="GR127" s="76">
        <v>8545</v>
      </c>
      <c r="GS127" s="76">
        <v>0</v>
      </c>
      <c r="GT127" s="76">
        <v>0</v>
      </c>
      <c r="GU127" s="76">
        <v>0</v>
      </c>
      <c r="GV127" s="76">
        <v>0</v>
      </c>
      <c r="GW127" s="76">
        <v>7141</v>
      </c>
      <c r="GX127" s="76">
        <v>25365</v>
      </c>
      <c r="GY127" s="76">
        <v>6043</v>
      </c>
      <c r="GZ127" s="76">
        <v>76</v>
      </c>
      <c r="HA127" s="76">
        <v>585</v>
      </c>
      <c r="HB127" s="76">
        <v>953</v>
      </c>
      <c r="HC127" s="76">
        <v>7657</v>
      </c>
      <c r="HD127" s="76">
        <v>0</v>
      </c>
      <c r="HE127" s="76">
        <v>25</v>
      </c>
      <c r="HF127" s="76">
        <v>25</v>
      </c>
      <c r="HG127" s="76">
        <v>15031</v>
      </c>
      <c r="HH127" s="76">
        <v>0</v>
      </c>
      <c r="HI127" s="76">
        <v>0</v>
      </c>
      <c r="HJ127" s="76">
        <v>0</v>
      </c>
      <c r="HK127" s="76">
        <v>0</v>
      </c>
      <c r="HL127" s="76">
        <v>0</v>
      </c>
      <c r="HM127" s="76">
        <v>15031</v>
      </c>
      <c r="HN127" s="76">
        <v>5510</v>
      </c>
      <c r="HO127" s="76">
        <v>7686</v>
      </c>
      <c r="HP127" s="76">
        <v>0</v>
      </c>
      <c r="HQ127" s="76">
        <v>0</v>
      </c>
      <c r="HR127" s="76">
        <v>0</v>
      </c>
      <c r="HS127" s="76">
        <v>12</v>
      </c>
      <c r="HT127" s="76">
        <v>7678</v>
      </c>
      <c r="HU127" s="76">
        <v>0</v>
      </c>
      <c r="HV127" s="76">
        <v>0</v>
      </c>
      <c r="HW127" s="76">
        <v>0</v>
      </c>
      <c r="HX127" s="76">
        <v>68</v>
      </c>
    </row>
    <row r="128" spans="1:232" x14ac:dyDescent="0.2">
      <c r="A128" s="74" t="s">
        <v>546</v>
      </c>
      <c r="B128" s="74" t="s">
        <v>547</v>
      </c>
      <c r="C128" s="75" t="s">
        <v>200</v>
      </c>
      <c r="D128" s="75">
        <v>12</v>
      </c>
      <c r="E128" s="76">
        <v>17027</v>
      </c>
      <c r="F128" s="76">
        <v>0</v>
      </c>
      <c r="G128" s="76">
        <v>-12166</v>
      </c>
      <c r="H128" s="76">
        <v>4861</v>
      </c>
      <c r="I128" s="76">
        <v>278</v>
      </c>
      <c r="J128" s="76">
        <v>0</v>
      </c>
      <c r="K128" s="76">
        <v>0</v>
      </c>
      <c r="L128" s="76">
        <v>9</v>
      </c>
      <c r="M128" s="76">
        <v>65</v>
      </c>
      <c r="N128" s="76">
        <v>-3090</v>
      </c>
      <c r="O128" s="76">
        <v>0</v>
      </c>
      <c r="P128" s="76">
        <v>0</v>
      </c>
      <c r="Q128" s="76">
        <v>-61</v>
      </c>
      <c r="R128" s="76">
        <v>0</v>
      </c>
      <c r="S128" s="76">
        <v>2062</v>
      </c>
      <c r="T128" s="76">
        <v>-7</v>
      </c>
      <c r="U128" s="76">
        <v>2055</v>
      </c>
      <c r="V128" s="76">
        <v>0</v>
      </c>
      <c r="W128" s="76">
        <v>-1124</v>
      </c>
      <c r="X128" s="76">
        <v>0</v>
      </c>
      <c r="Y128" s="76">
        <v>0</v>
      </c>
      <c r="Z128" s="76">
        <v>931</v>
      </c>
      <c r="AA128" s="76">
        <v>14108</v>
      </c>
      <c r="AB128" s="76">
        <v>515</v>
      </c>
      <c r="AC128" s="76">
        <v>14623</v>
      </c>
      <c r="AD128" s="76">
        <v>464</v>
      </c>
      <c r="AE128" s="76">
        <v>0</v>
      </c>
      <c r="AF128" s="76">
        <v>0</v>
      </c>
      <c r="AG128" s="76">
        <v>0</v>
      </c>
      <c r="AH128" s="76">
        <v>15087</v>
      </c>
      <c r="AI128" s="76">
        <v>1546</v>
      </c>
      <c r="AJ128" s="76">
        <v>671</v>
      </c>
      <c r="AK128" s="76">
        <v>2211</v>
      </c>
      <c r="AL128" s="76">
        <v>1170</v>
      </c>
      <c r="AM128" s="76">
        <v>1846</v>
      </c>
      <c r="AN128" s="76">
        <v>49</v>
      </c>
      <c r="AO128" s="76">
        <v>3037</v>
      </c>
      <c r="AP128" s="76">
        <v>0</v>
      </c>
      <c r="AQ128" s="76">
        <v>56</v>
      </c>
      <c r="AR128" s="76">
        <v>10586</v>
      </c>
      <c r="AS128" s="76">
        <v>4501</v>
      </c>
      <c r="AT128" s="76">
        <v>97</v>
      </c>
      <c r="AU128" s="76">
        <v>147933</v>
      </c>
      <c r="AV128" s="76">
        <v>0</v>
      </c>
      <c r="AW128" s="76">
        <v>1903</v>
      </c>
      <c r="AX128" s="76">
        <v>127</v>
      </c>
      <c r="AY128" s="76">
        <v>0</v>
      </c>
      <c r="AZ128" s="76">
        <v>2292</v>
      </c>
      <c r="BA128" s="76">
        <v>0</v>
      </c>
      <c r="BB128" s="76">
        <v>108</v>
      </c>
      <c r="BC128" s="76">
        <v>0</v>
      </c>
      <c r="BD128" s="76">
        <v>317</v>
      </c>
      <c r="BE128" s="76">
        <v>152680</v>
      </c>
      <c r="BF128" s="76">
        <v>4632</v>
      </c>
      <c r="BG128" s="76">
        <v>478</v>
      </c>
      <c r="BH128" s="76">
        <v>10656</v>
      </c>
      <c r="BI128" s="76">
        <v>0</v>
      </c>
      <c r="BJ128" s="76">
        <v>0</v>
      </c>
      <c r="BK128" s="76">
        <v>15766</v>
      </c>
      <c r="BL128" s="76">
        <v>0</v>
      </c>
      <c r="BM128" s="76">
        <v>0</v>
      </c>
      <c r="BN128" s="76">
        <v>0</v>
      </c>
      <c r="BO128" s="76">
        <v>3576</v>
      </c>
      <c r="BP128" s="76">
        <v>3576</v>
      </c>
      <c r="BQ128" s="76">
        <v>12190</v>
      </c>
      <c r="BR128" s="76">
        <v>164870</v>
      </c>
      <c r="BS128" s="76">
        <v>92507</v>
      </c>
      <c r="BT128" s="76">
        <v>0</v>
      </c>
      <c r="BU128" s="76">
        <v>0</v>
      </c>
      <c r="BV128" s="76">
        <v>12550</v>
      </c>
      <c r="BW128" s="76">
        <v>0</v>
      </c>
      <c r="BX128" s="76">
        <v>0</v>
      </c>
      <c r="BY128" s="76">
        <v>0</v>
      </c>
      <c r="BZ128" s="76">
        <v>105057</v>
      </c>
      <c r="CA128" s="76">
        <v>4598</v>
      </c>
      <c r="CB128" s="76">
        <v>0</v>
      </c>
      <c r="CC128" s="76">
        <v>55215</v>
      </c>
      <c r="CD128" s="76">
        <v>10904</v>
      </c>
      <c r="CE128" s="76">
        <v>44238</v>
      </c>
      <c r="CF128" s="76">
        <v>73</v>
      </c>
      <c r="CG128" s="76">
        <v>0</v>
      </c>
      <c r="CH128" s="76">
        <v>0</v>
      </c>
      <c r="CI128" s="76">
        <v>55215</v>
      </c>
      <c r="CJ128" s="76">
        <v>785</v>
      </c>
      <c r="CK128" s="76">
        <v>0</v>
      </c>
      <c r="CL128" s="76">
        <v>632</v>
      </c>
      <c r="CM128" s="76">
        <v>153</v>
      </c>
      <c r="CN128" s="76">
        <v>98</v>
      </c>
      <c r="CO128" s="76">
        <v>0</v>
      </c>
      <c r="CP128" s="76">
        <v>298</v>
      </c>
      <c r="CQ128" s="76">
        <v>-200</v>
      </c>
      <c r="CR128" s="76">
        <v>0</v>
      </c>
      <c r="CS128" s="76">
        <v>0</v>
      </c>
      <c r="CT128" s="76">
        <v>0</v>
      </c>
      <c r="CU128" s="76">
        <v>0</v>
      </c>
      <c r="CV128" s="76">
        <v>0</v>
      </c>
      <c r="CW128" s="76">
        <v>0</v>
      </c>
      <c r="CX128" s="76">
        <v>0</v>
      </c>
      <c r="CY128" s="76">
        <v>0</v>
      </c>
      <c r="CZ128" s="76">
        <v>0</v>
      </c>
      <c r="DA128" s="76">
        <v>0</v>
      </c>
      <c r="DB128" s="76">
        <v>0</v>
      </c>
      <c r="DC128" s="76">
        <v>0</v>
      </c>
      <c r="DD128" s="76">
        <v>883</v>
      </c>
      <c r="DE128" s="76">
        <v>0</v>
      </c>
      <c r="DF128" s="76">
        <v>930</v>
      </c>
      <c r="DG128" s="76">
        <v>-47</v>
      </c>
      <c r="DH128" s="76">
        <v>155</v>
      </c>
      <c r="DI128" s="76">
        <v>0</v>
      </c>
      <c r="DJ128" s="76">
        <v>106</v>
      </c>
      <c r="DK128" s="76">
        <v>49</v>
      </c>
      <c r="DL128" s="76">
        <v>0</v>
      </c>
      <c r="DM128" s="76">
        <v>0</v>
      </c>
      <c r="DN128" s="76">
        <v>0</v>
      </c>
      <c r="DO128" s="76">
        <v>0</v>
      </c>
      <c r="DP128" s="76">
        <v>0</v>
      </c>
      <c r="DQ128" s="76">
        <v>0</v>
      </c>
      <c r="DR128" s="76">
        <v>0</v>
      </c>
      <c r="DS128" s="76">
        <v>0</v>
      </c>
      <c r="DT128" s="76">
        <v>50</v>
      </c>
      <c r="DU128" s="76">
        <v>0</v>
      </c>
      <c r="DV128" s="76">
        <v>27</v>
      </c>
      <c r="DW128" s="76">
        <v>23</v>
      </c>
      <c r="DX128" s="76">
        <v>0</v>
      </c>
      <c r="DY128" s="76">
        <v>0</v>
      </c>
      <c r="DZ128" s="76">
        <v>0</v>
      </c>
      <c r="EA128" s="76">
        <v>0</v>
      </c>
      <c r="EB128" s="76">
        <v>852</v>
      </c>
      <c r="EC128" s="76">
        <v>0</v>
      </c>
      <c r="ED128" s="76">
        <v>517</v>
      </c>
      <c r="EE128" s="76">
        <v>335</v>
      </c>
      <c r="EF128" s="76">
        <v>1057</v>
      </c>
      <c r="EG128" s="76">
        <v>0</v>
      </c>
      <c r="EH128" s="76">
        <v>650</v>
      </c>
      <c r="EI128" s="76">
        <v>407</v>
      </c>
      <c r="EJ128" s="76">
        <v>1940</v>
      </c>
      <c r="EK128" s="76">
        <v>0</v>
      </c>
      <c r="EL128" s="76">
        <v>1580</v>
      </c>
      <c r="EM128" s="76">
        <v>360</v>
      </c>
      <c r="EN128" s="76">
        <v>70</v>
      </c>
      <c r="EO128" s="76">
        <v>72</v>
      </c>
      <c r="EP128" s="76">
        <v>48</v>
      </c>
      <c r="EQ128" s="76">
        <v>60</v>
      </c>
      <c r="ER128" s="76">
        <v>155176</v>
      </c>
      <c r="ES128" s="76">
        <v>0</v>
      </c>
      <c r="ET128" s="76">
        <v>155176</v>
      </c>
      <c r="EU128" s="76">
        <v>2650</v>
      </c>
      <c r="EV128" s="76">
        <v>-1026</v>
      </c>
      <c r="EW128" s="76">
        <v>0</v>
      </c>
      <c r="EX128" s="76">
        <v>0</v>
      </c>
      <c r="EY128" s="76">
        <v>1744</v>
      </c>
      <c r="EZ128" s="76">
        <v>158544</v>
      </c>
      <c r="FA128" s="76">
        <v>7563</v>
      </c>
      <c r="FB128" s="76">
        <v>3455</v>
      </c>
      <c r="FC128" s="76">
        <v>0</v>
      </c>
      <c r="FD128" s="76">
        <v>0</v>
      </c>
      <c r="FE128" s="76">
        <v>-407</v>
      </c>
      <c r="FF128" s="76">
        <v>0</v>
      </c>
      <c r="FG128" s="76">
        <v>0</v>
      </c>
      <c r="FH128" s="76">
        <v>10611</v>
      </c>
      <c r="FI128" s="76">
        <v>147933</v>
      </c>
      <c r="FJ128" s="76">
        <v>147613</v>
      </c>
      <c r="FK128" s="76">
        <v>0</v>
      </c>
      <c r="FL128" s="76">
        <v>0</v>
      </c>
      <c r="FM128" s="76">
        <v>0</v>
      </c>
      <c r="FN128" s="76">
        <v>644</v>
      </c>
      <c r="FO128" s="76">
        <v>747</v>
      </c>
      <c r="FP128" s="76">
        <v>-103</v>
      </c>
      <c r="FQ128" s="76">
        <v>0</v>
      </c>
      <c r="FR128" s="76">
        <v>0</v>
      </c>
      <c r="FS128" s="76">
        <v>0</v>
      </c>
      <c r="FT128" s="76">
        <v>0</v>
      </c>
      <c r="FU128" s="76">
        <v>0</v>
      </c>
      <c r="FV128" s="76">
        <v>0</v>
      </c>
      <c r="FW128" s="76">
        <v>0</v>
      </c>
      <c r="FX128" s="76">
        <v>0</v>
      </c>
      <c r="FY128" s="76">
        <v>0</v>
      </c>
      <c r="FZ128" s="76">
        <v>684</v>
      </c>
      <c r="GA128" s="76">
        <v>303</v>
      </c>
      <c r="GB128" s="76">
        <v>381</v>
      </c>
      <c r="GC128" s="76">
        <v>1328</v>
      </c>
      <c r="GD128" s="76">
        <v>1050</v>
      </c>
      <c r="GE128" s="76">
        <v>278</v>
      </c>
      <c r="GF128" s="76">
        <v>0</v>
      </c>
      <c r="GG128" s="76">
        <v>0</v>
      </c>
      <c r="GH128" s="76">
        <v>0</v>
      </c>
      <c r="GI128" s="76">
        <v>0</v>
      </c>
      <c r="GJ128" s="76">
        <v>0</v>
      </c>
      <c r="GK128" s="76">
        <v>0</v>
      </c>
      <c r="GL128" s="76">
        <v>0</v>
      </c>
      <c r="GM128" s="76">
        <v>266</v>
      </c>
      <c r="GN128" s="76">
        <v>315</v>
      </c>
      <c r="GO128" s="76">
        <v>0</v>
      </c>
      <c r="GP128" s="76">
        <v>0</v>
      </c>
      <c r="GQ128" s="76">
        <v>0</v>
      </c>
      <c r="GR128" s="76">
        <v>2236</v>
      </c>
      <c r="GS128" s="76">
        <v>0</v>
      </c>
      <c r="GT128" s="76">
        <v>0</v>
      </c>
      <c r="GU128" s="76">
        <v>0</v>
      </c>
      <c r="GV128" s="76">
        <v>0</v>
      </c>
      <c r="GW128" s="76">
        <v>759</v>
      </c>
      <c r="GX128" s="76">
        <v>3576</v>
      </c>
      <c r="GY128" s="76">
        <v>0</v>
      </c>
      <c r="GZ128" s="76">
        <v>0</v>
      </c>
      <c r="HA128" s="76">
        <v>0</v>
      </c>
      <c r="HB128" s="76">
        <v>0</v>
      </c>
      <c r="HC128" s="76">
        <v>0</v>
      </c>
      <c r="HD128" s="76">
        <v>0</v>
      </c>
      <c r="HE128" s="76">
        <v>0</v>
      </c>
      <c r="HF128" s="76">
        <v>0</v>
      </c>
      <c r="HG128" s="76">
        <v>2975</v>
      </c>
      <c r="HH128" s="76">
        <v>0</v>
      </c>
      <c r="HI128" s="76">
        <v>103</v>
      </c>
      <c r="HJ128" s="76">
        <v>0</v>
      </c>
      <c r="HK128" s="76">
        <v>15</v>
      </c>
      <c r="HL128" s="76">
        <v>-3</v>
      </c>
      <c r="HM128" s="76">
        <v>3090</v>
      </c>
      <c r="HN128" s="76">
        <v>2191</v>
      </c>
      <c r="HO128" s="76">
        <v>3596</v>
      </c>
      <c r="HP128" s="76">
        <v>0</v>
      </c>
      <c r="HQ128" s="76">
        <v>6</v>
      </c>
      <c r="HR128" s="76">
        <v>-17</v>
      </c>
      <c r="HS128" s="76">
        <v>0</v>
      </c>
      <c r="HT128" s="76">
        <v>3247</v>
      </c>
      <c r="HU128" s="76">
        <v>0</v>
      </c>
      <c r="HV128" s="76">
        <v>-2</v>
      </c>
      <c r="HW128" s="76">
        <v>1</v>
      </c>
      <c r="HX128" s="76">
        <v>102</v>
      </c>
    </row>
    <row r="129" spans="1:232" x14ac:dyDescent="0.2">
      <c r="A129" s="74" t="s">
        <v>549</v>
      </c>
      <c r="B129" s="74" t="s">
        <v>120</v>
      </c>
      <c r="C129" s="75" t="s">
        <v>200</v>
      </c>
      <c r="D129" s="75">
        <v>12</v>
      </c>
      <c r="E129" s="76">
        <v>70710</v>
      </c>
      <c r="F129" s="76">
        <v>-12368</v>
      </c>
      <c r="G129" s="76">
        <v>-34008</v>
      </c>
      <c r="H129" s="76">
        <v>24334</v>
      </c>
      <c r="I129" s="76">
        <v>16</v>
      </c>
      <c r="J129" s="76">
        <v>0</v>
      </c>
      <c r="K129" s="76">
        <v>0</v>
      </c>
      <c r="L129" s="76">
        <v>0</v>
      </c>
      <c r="M129" s="76">
        <v>1005</v>
      </c>
      <c r="N129" s="76">
        <v>-11191</v>
      </c>
      <c r="O129" s="76">
        <v>0</v>
      </c>
      <c r="P129" s="76">
        <v>-11</v>
      </c>
      <c r="Q129" s="76">
        <v>0</v>
      </c>
      <c r="R129" s="76">
        <v>0</v>
      </c>
      <c r="S129" s="76">
        <v>14153</v>
      </c>
      <c r="T129" s="76">
        <v>-218</v>
      </c>
      <c r="U129" s="76">
        <v>13935</v>
      </c>
      <c r="V129" s="76">
        <v>0</v>
      </c>
      <c r="W129" s="76">
        <v>762</v>
      </c>
      <c r="X129" s="76">
        <v>-1992</v>
      </c>
      <c r="Y129" s="76">
        <v>370</v>
      </c>
      <c r="Z129" s="76">
        <v>13075</v>
      </c>
      <c r="AA129" s="76">
        <v>46461</v>
      </c>
      <c r="AB129" s="76">
        <v>1453</v>
      </c>
      <c r="AC129" s="76">
        <v>47914</v>
      </c>
      <c r="AD129" s="76">
        <v>541</v>
      </c>
      <c r="AE129" s="76">
        <v>9</v>
      </c>
      <c r="AF129" s="76">
        <v>0</v>
      </c>
      <c r="AG129" s="76">
        <v>3650</v>
      </c>
      <c r="AH129" s="76">
        <v>52114</v>
      </c>
      <c r="AI129" s="76">
        <v>8800</v>
      </c>
      <c r="AJ129" s="76">
        <v>5367</v>
      </c>
      <c r="AK129" s="76">
        <v>2161</v>
      </c>
      <c r="AL129" s="76">
        <v>1348</v>
      </c>
      <c r="AM129" s="76">
        <v>289</v>
      </c>
      <c r="AN129" s="76">
        <v>96</v>
      </c>
      <c r="AO129" s="76">
        <v>8459</v>
      </c>
      <c r="AP129" s="76">
        <v>0</v>
      </c>
      <c r="AQ129" s="76">
        <v>5052</v>
      </c>
      <c r="AR129" s="76">
        <v>31572</v>
      </c>
      <c r="AS129" s="76">
        <v>20542</v>
      </c>
      <c r="AT129" s="76">
        <v>422</v>
      </c>
      <c r="AU129" s="76">
        <v>355666</v>
      </c>
      <c r="AV129" s="76">
        <v>0</v>
      </c>
      <c r="AW129" s="76">
        <v>4909</v>
      </c>
      <c r="AX129" s="76">
        <v>321</v>
      </c>
      <c r="AY129" s="76">
        <v>0</v>
      </c>
      <c r="AZ129" s="76">
        <v>1700</v>
      </c>
      <c r="BA129" s="76">
        <v>0</v>
      </c>
      <c r="BB129" s="76">
        <v>0</v>
      </c>
      <c r="BC129" s="76">
        <v>0</v>
      </c>
      <c r="BD129" s="76">
        <v>7505</v>
      </c>
      <c r="BE129" s="76">
        <v>370101</v>
      </c>
      <c r="BF129" s="76">
        <v>27752</v>
      </c>
      <c r="BG129" s="76">
        <v>927</v>
      </c>
      <c r="BH129" s="76">
        <v>44031</v>
      </c>
      <c r="BI129" s="76">
        <v>0</v>
      </c>
      <c r="BJ129" s="76">
        <v>1454</v>
      </c>
      <c r="BK129" s="76">
        <v>74164</v>
      </c>
      <c r="BL129" s="76">
        <v>0</v>
      </c>
      <c r="BM129" s="76">
        <v>0</v>
      </c>
      <c r="BN129" s="76">
        <v>550</v>
      </c>
      <c r="BO129" s="76">
        <v>15679</v>
      </c>
      <c r="BP129" s="76">
        <v>16229</v>
      </c>
      <c r="BQ129" s="76">
        <v>57935</v>
      </c>
      <c r="BR129" s="76">
        <v>428036</v>
      </c>
      <c r="BS129" s="76">
        <v>287137</v>
      </c>
      <c r="BT129" s="76">
        <v>0</v>
      </c>
      <c r="BU129" s="76">
        <v>0</v>
      </c>
      <c r="BV129" s="76">
        <v>45406</v>
      </c>
      <c r="BW129" s="76">
        <v>0</v>
      </c>
      <c r="BX129" s="76">
        <v>50894</v>
      </c>
      <c r="BY129" s="76">
        <v>2339</v>
      </c>
      <c r="BZ129" s="76">
        <v>385776</v>
      </c>
      <c r="CA129" s="76">
        <v>316</v>
      </c>
      <c r="CB129" s="76">
        <v>0</v>
      </c>
      <c r="CC129" s="76">
        <v>41944</v>
      </c>
      <c r="CD129" s="76">
        <v>75011</v>
      </c>
      <c r="CE129" s="76">
        <v>1861</v>
      </c>
      <c r="CF129" s="76">
        <v>0</v>
      </c>
      <c r="CG129" s="76">
        <v>-34928</v>
      </c>
      <c r="CH129" s="76">
        <v>0</v>
      </c>
      <c r="CI129" s="76">
        <v>41944</v>
      </c>
      <c r="CJ129" s="76">
        <v>2844</v>
      </c>
      <c r="CK129" s="76">
        <v>2030</v>
      </c>
      <c r="CL129" s="76">
        <v>189</v>
      </c>
      <c r="CM129" s="76">
        <v>625</v>
      </c>
      <c r="CN129" s="76">
        <v>1365</v>
      </c>
      <c r="CO129" s="76">
        <v>427</v>
      </c>
      <c r="CP129" s="76">
        <v>0</v>
      </c>
      <c r="CQ129" s="76">
        <v>938</v>
      </c>
      <c r="CR129" s="76">
        <v>0</v>
      </c>
      <c r="CS129" s="76">
        <v>0</v>
      </c>
      <c r="CT129" s="76">
        <v>0</v>
      </c>
      <c r="CU129" s="76">
        <v>0</v>
      </c>
      <c r="CV129" s="76">
        <v>0</v>
      </c>
      <c r="CW129" s="76">
        <v>0</v>
      </c>
      <c r="CX129" s="76">
        <v>0</v>
      </c>
      <c r="CY129" s="76">
        <v>0</v>
      </c>
      <c r="CZ129" s="76">
        <v>2371</v>
      </c>
      <c r="DA129" s="76">
        <v>96</v>
      </c>
      <c r="DB129" s="76">
        <v>151</v>
      </c>
      <c r="DC129" s="76">
        <v>2124</v>
      </c>
      <c r="DD129" s="76">
        <v>6580</v>
      </c>
      <c r="DE129" s="76">
        <v>2553</v>
      </c>
      <c r="DF129" s="76">
        <v>340</v>
      </c>
      <c r="DG129" s="76">
        <v>3687</v>
      </c>
      <c r="DH129" s="76">
        <v>11466</v>
      </c>
      <c r="DI129" s="76">
        <v>9786</v>
      </c>
      <c r="DJ129" s="76">
        <v>2096</v>
      </c>
      <c r="DK129" s="76">
        <v>-416</v>
      </c>
      <c r="DL129" s="76">
        <v>0</v>
      </c>
      <c r="DM129" s="76">
        <v>0</v>
      </c>
      <c r="DN129" s="76">
        <v>0</v>
      </c>
      <c r="DO129" s="76">
        <v>0</v>
      </c>
      <c r="DP129" s="76">
        <v>0</v>
      </c>
      <c r="DQ129" s="76">
        <v>0</v>
      </c>
      <c r="DR129" s="76">
        <v>0</v>
      </c>
      <c r="DS129" s="76">
        <v>0</v>
      </c>
      <c r="DT129" s="76">
        <v>0</v>
      </c>
      <c r="DU129" s="76">
        <v>0</v>
      </c>
      <c r="DV129" s="76">
        <v>0</v>
      </c>
      <c r="DW129" s="76">
        <v>0</v>
      </c>
      <c r="DX129" s="76">
        <v>0</v>
      </c>
      <c r="DY129" s="76">
        <v>0</v>
      </c>
      <c r="DZ129" s="76">
        <v>0</v>
      </c>
      <c r="EA129" s="76">
        <v>0</v>
      </c>
      <c r="EB129" s="76">
        <v>550</v>
      </c>
      <c r="EC129" s="76">
        <v>29</v>
      </c>
      <c r="ED129" s="76">
        <v>0</v>
      </c>
      <c r="EE129" s="76">
        <v>521</v>
      </c>
      <c r="EF129" s="76">
        <v>12016</v>
      </c>
      <c r="EG129" s="76">
        <v>9815</v>
      </c>
      <c r="EH129" s="76">
        <v>2096</v>
      </c>
      <c r="EI129" s="76">
        <v>105</v>
      </c>
      <c r="EJ129" s="76">
        <v>18596</v>
      </c>
      <c r="EK129" s="76">
        <v>12368</v>
      </c>
      <c r="EL129" s="76">
        <v>2436</v>
      </c>
      <c r="EM129" s="76">
        <v>3792</v>
      </c>
      <c r="EN129" s="76">
        <v>1405</v>
      </c>
      <c r="EO129" s="76">
        <v>261</v>
      </c>
      <c r="EP129" s="76">
        <v>590</v>
      </c>
      <c r="EQ129" s="76">
        <v>261</v>
      </c>
      <c r="ER129" s="76">
        <v>419213</v>
      </c>
      <c r="ES129" s="76">
        <v>0</v>
      </c>
      <c r="ET129" s="76">
        <v>419213</v>
      </c>
      <c r="EU129" s="76">
        <v>7972</v>
      </c>
      <c r="EV129" s="76">
        <v>-5505</v>
      </c>
      <c r="EW129" s="76">
        <v>0</v>
      </c>
      <c r="EX129" s="76">
        <v>0</v>
      </c>
      <c r="EY129" s="76">
        <v>240</v>
      </c>
      <c r="EZ129" s="76">
        <v>421920</v>
      </c>
      <c r="FA129" s="76">
        <v>58103</v>
      </c>
      <c r="FB129" s="76">
        <v>8452</v>
      </c>
      <c r="FC129" s="76">
        <v>0</v>
      </c>
      <c r="FD129" s="76">
        <v>0</v>
      </c>
      <c r="FE129" s="76">
        <v>-301</v>
      </c>
      <c r="FF129" s="76">
        <v>0</v>
      </c>
      <c r="FG129" s="76">
        <v>0</v>
      </c>
      <c r="FH129" s="76">
        <v>66254</v>
      </c>
      <c r="FI129" s="76">
        <v>355666</v>
      </c>
      <c r="FJ129" s="76">
        <v>361110</v>
      </c>
      <c r="FK129" s="76">
        <v>1015</v>
      </c>
      <c r="FL129" s="76">
        <v>692</v>
      </c>
      <c r="FM129" s="76">
        <v>323</v>
      </c>
      <c r="FN129" s="76">
        <v>2984</v>
      </c>
      <c r="FO129" s="76">
        <v>2833</v>
      </c>
      <c r="FP129" s="76">
        <v>151</v>
      </c>
      <c r="FQ129" s="76">
        <v>691</v>
      </c>
      <c r="FR129" s="76">
        <v>69</v>
      </c>
      <c r="FS129" s="76">
        <v>622</v>
      </c>
      <c r="FT129" s="76">
        <v>280</v>
      </c>
      <c r="FU129" s="76">
        <v>1234</v>
      </c>
      <c r="FV129" s="76">
        <v>-954</v>
      </c>
      <c r="FW129" s="76">
        <v>0</v>
      </c>
      <c r="FX129" s="76">
        <v>0</v>
      </c>
      <c r="FY129" s="76">
        <v>0</v>
      </c>
      <c r="FZ129" s="76">
        <v>25</v>
      </c>
      <c r="GA129" s="76">
        <v>151</v>
      </c>
      <c r="GB129" s="76">
        <v>-126</v>
      </c>
      <c r="GC129" s="76">
        <v>4995</v>
      </c>
      <c r="GD129" s="76">
        <v>4979</v>
      </c>
      <c r="GE129" s="76">
        <v>16</v>
      </c>
      <c r="GF129" s="76">
        <v>0</v>
      </c>
      <c r="GG129" s="76">
        <v>0</v>
      </c>
      <c r="GH129" s="76">
        <v>0</v>
      </c>
      <c r="GI129" s="76">
        <v>0</v>
      </c>
      <c r="GJ129" s="76">
        <v>0</v>
      </c>
      <c r="GK129" s="76">
        <v>1454</v>
      </c>
      <c r="GL129" s="76">
        <v>1454</v>
      </c>
      <c r="GM129" s="76">
        <v>1096</v>
      </c>
      <c r="GN129" s="76">
        <v>1280</v>
      </c>
      <c r="GO129" s="76">
        <v>0</v>
      </c>
      <c r="GP129" s="76">
        <v>0</v>
      </c>
      <c r="GQ129" s="76">
        <v>8002</v>
      </c>
      <c r="GR129" s="76">
        <v>4922</v>
      </c>
      <c r="GS129" s="76">
        <v>0</v>
      </c>
      <c r="GT129" s="76">
        <v>0</v>
      </c>
      <c r="GU129" s="76">
        <v>0</v>
      </c>
      <c r="GV129" s="76">
        <v>0</v>
      </c>
      <c r="GW129" s="76">
        <v>379</v>
      </c>
      <c r="GX129" s="76">
        <v>15679</v>
      </c>
      <c r="GY129" s="76">
        <v>455</v>
      </c>
      <c r="GZ129" s="76">
        <v>0</v>
      </c>
      <c r="HA129" s="76">
        <v>0</v>
      </c>
      <c r="HB129" s="76">
        <v>1884</v>
      </c>
      <c r="HC129" s="76">
        <v>2339</v>
      </c>
      <c r="HD129" s="76">
        <v>0</v>
      </c>
      <c r="HE129" s="76">
        <v>0</v>
      </c>
      <c r="HF129" s="76">
        <v>0</v>
      </c>
      <c r="HG129" s="76">
        <v>11323</v>
      </c>
      <c r="HH129" s="76">
        <v>0</v>
      </c>
      <c r="HI129" s="76">
        <v>466</v>
      </c>
      <c r="HJ129" s="76">
        <v>0</v>
      </c>
      <c r="HK129" s="76">
        <v>0</v>
      </c>
      <c r="HL129" s="76">
        <v>-598</v>
      </c>
      <c r="HM129" s="76">
        <v>11191</v>
      </c>
      <c r="HN129" s="76">
        <v>2090</v>
      </c>
      <c r="HO129" s="76">
        <v>9238</v>
      </c>
      <c r="HP129" s="76">
        <v>1131</v>
      </c>
      <c r="HQ129" s="76">
        <v>59</v>
      </c>
      <c r="HR129" s="76">
        <v>-15</v>
      </c>
      <c r="HS129" s="76">
        <v>-66</v>
      </c>
      <c r="HT129" s="76">
        <v>9043</v>
      </c>
      <c r="HU129" s="76">
        <v>0</v>
      </c>
      <c r="HV129" s="76">
        <v>0</v>
      </c>
      <c r="HW129" s="76">
        <v>0</v>
      </c>
      <c r="HX129" s="76">
        <v>2918</v>
      </c>
    </row>
    <row r="130" spans="1:232" x14ac:dyDescent="0.2">
      <c r="A130" s="74" t="s">
        <v>550</v>
      </c>
      <c r="B130" s="74" t="s">
        <v>551</v>
      </c>
      <c r="C130" s="75" t="s">
        <v>200</v>
      </c>
      <c r="D130" s="75">
        <v>12</v>
      </c>
      <c r="E130" s="76">
        <v>19530</v>
      </c>
      <c r="F130" s="76">
        <v>0</v>
      </c>
      <c r="G130" s="76">
        <v>-12741</v>
      </c>
      <c r="H130" s="76">
        <v>6789</v>
      </c>
      <c r="I130" s="76">
        <v>90</v>
      </c>
      <c r="J130" s="76">
        <v>0</v>
      </c>
      <c r="K130" s="76">
        <v>4285</v>
      </c>
      <c r="L130" s="76">
        <v>0</v>
      </c>
      <c r="M130" s="76">
        <v>9</v>
      </c>
      <c r="N130" s="76">
        <v>-2826</v>
      </c>
      <c r="O130" s="76">
        <v>0</v>
      </c>
      <c r="P130" s="76">
        <v>0</v>
      </c>
      <c r="Q130" s="76">
        <v>0</v>
      </c>
      <c r="R130" s="76">
        <v>0</v>
      </c>
      <c r="S130" s="76">
        <v>8347</v>
      </c>
      <c r="T130" s="76">
        <v>0</v>
      </c>
      <c r="U130" s="76">
        <v>8347</v>
      </c>
      <c r="V130" s="76">
        <v>0</v>
      </c>
      <c r="W130" s="76">
        <v>-48</v>
      </c>
      <c r="X130" s="76">
        <v>0</v>
      </c>
      <c r="Y130" s="76">
        <v>0</v>
      </c>
      <c r="Z130" s="76">
        <v>8299</v>
      </c>
      <c r="AA130" s="76">
        <v>15209</v>
      </c>
      <c r="AB130" s="76">
        <v>2051</v>
      </c>
      <c r="AC130" s="76">
        <v>17260</v>
      </c>
      <c r="AD130" s="76">
        <v>883</v>
      </c>
      <c r="AE130" s="76">
        <v>0</v>
      </c>
      <c r="AF130" s="76">
        <v>0</v>
      </c>
      <c r="AG130" s="76">
        <v>908</v>
      </c>
      <c r="AH130" s="76">
        <v>19051</v>
      </c>
      <c r="AI130" s="76">
        <v>1654</v>
      </c>
      <c r="AJ130" s="76">
        <v>1711</v>
      </c>
      <c r="AK130" s="76">
        <v>1685</v>
      </c>
      <c r="AL130" s="76">
        <v>1684</v>
      </c>
      <c r="AM130" s="76">
        <v>296</v>
      </c>
      <c r="AN130" s="76">
        <v>170</v>
      </c>
      <c r="AO130" s="76">
        <v>2330</v>
      </c>
      <c r="AP130" s="76">
        <v>-4</v>
      </c>
      <c r="AQ130" s="76">
        <v>353</v>
      </c>
      <c r="AR130" s="76">
        <v>9879</v>
      </c>
      <c r="AS130" s="76">
        <v>9172</v>
      </c>
      <c r="AT130" s="76">
        <v>371</v>
      </c>
      <c r="AU130" s="76">
        <v>183051</v>
      </c>
      <c r="AV130" s="76">
        <v>0</v>
      </c>
      <c r="AW130" s="76">
        <v>1608</v>
      </c>
      <c r="AX130" s="76">
        <v>291</v>
      </c>
      <c r="AY130" s="76">
        <v>0</v>
      </c>
      <c r="AZ130" s="76">
        <v>0</v>
      </c>
      <c r="BA130" s="76">
        <v>0</v>
      </c>
      <c r="BB130" s="76">
        <v>0</v>
      </c>
      <c r="BC130" s="76">
        <v>0</v>
      </c>
      <c r="BD130" s="76">
        <v>0</v>
      </c>
      <c r="BE130" s="76">
        <v>184950</v>
      </c>
      <c r="BF130" s="76">
        <v>0</v>
      </c>
      <c r="BG130" s="76">
        <v>3061</v>
      </c>
      <c r="BH130" s="76">
        <v>3413</v>
      </c>
      <c r="BI130" s="76">
        <v>0</v>
      </c>
      <c r="BJ130" s="76">
        <v>0</v>
      </c>
      <c r="BK130" s="76">
        <v>6474</v>
      </c>
      <c r="BL130" s="76">
        <v>1055</v>
      </c>
      <c r="BM130" s="76">
        <v>0</v>
      </c>
      <c r="BN130" s="76">
        <v>946</v>
      </c>
      <c r="BO130" s="76">
        <v>3885</v>
      </c>
      <c r="BP130" s="76">
        <v>5886</v>
      </c>
      <c r="BQ130" s="76">
        <v>588</v>
      </c>
      <c r="BR130" s="76">
        <v>185538</v>
      </c>
      <c r="BS130" s="76">
        <v>79309</v>
      </c>
      <c r="BT130" s="76">
        <v>0</v>
      </c>
      <c r="BU130" s="76">
        <v>0</v>
      </c>
      <c r="BV130" s="76">
        <v>75736</v>
      </c>
      <c r="BW130" s="76">
        <v>0</v>
      </c>
      <c r="BX130" s="76">
        <v>0</v>
      </c>
      <c r="BY130" s="76">
        <v>2293</v>
      </c>
      <c r="BZ130" s="76">
        <v>157338</v>
      </c>
      <c r="CA130" s="76">
        <v>12</v>
      </c>
      <c r="CB130" s="76">
        <v>1036</v>
      </c>
      <c r="CC130" s="76">
        <v>27152</v>
      </c>
      <c r="CD130" s="76">
        <v>27198</v>
      </c>
      <c r="CE130" s="76">
        <v>0</v>
      </c>
      <c r="CF130" s="76">
        <v>252</v>
      </c>
      <c r="CG130" s="76">
        <v>0</v>
      </c>
      <c r="CH130" s="76">
        <v>-298</v>
      </c>
      <c r="CI130" s="76">
        <v>27152</v>
      </c>
      <c r="CJ130" s="76">
        <v>0</v>
      </c>
      <c r="CK130" s="76">
        <v>0</v>
      </c>
      <c r="CL130" s="76">
        <v>0</v>
      </c>
      <c r="CM130" s="76">
        <v>0</v>
      </c>
      <c r="CN130" s="76">
        <v>43</v>
      </c>
      <c r="CO130" s="76">
        <v>0</v>
      </c>
      <c r="CP130" s="76">
        <v>0</v>
      </c>
      <c r="CQ130" s="76">
        <v>43</v>
      </c>
      <c r="CR130" s="76">
        <v>0</v>
      </c>
      <c r="CS130" s="76">
        <v>0</v>
      </c>
      <c r="CT130" s="76">
        <v>0</v>
      </c>
      <c r="CU130" s="76">
        <v>0</v>
      </c>
      <c r="CV130" s="76">
        <v>0</v>
      </c>
      <c r="CW130" s="76">
        <v>0</v>
      </c>
      <c r="CX130" s="76">
        <v>0</v>
      </c>
      <c r="CY130" s="76">
        <v>0</v>
      </c>
      <c r="CZ130" s="76">
        <v>333</v>
      </c>
      <c r="DA130" s="76">
        <v>0</v>
      </c>
      <c r="DB130" s="76">
        <v>912</v>
      </c>
      <c r="DC130" s="76">
        <v>-579</v>
      </c>
      <c r="DD130" s="76">
        <v>376</v>
      </c>
      <c r="DE130" s="76">
        <v>0</v>
      </c>
      <c r="DF130" s="76">
        <v>912</v>
      </c>
      <c r="DG130" s="76">
        <v>-536</v>
      </c>
      <c r="DH130" s="76">
        <v>0</v>
      </c>
      <c r="DI130" s="76">
        <v>0</v>
      </c>
      <c r="DJ130" s="76">
        <v>0</v>
      </c>
      <c r="DK130" s="76">
        <v>0</v>
      </c>
      <c r="DL130" s="76">
        <v>0</v>
      </c>
      <c r="DM130" s="76">
        <v>0</v>
      </c>
      <c r="DN130" s="76">
        <v>0</v>
      </c>
      <c r="DO130" s="76">
        <v>0</v>
      </c>
      <c r="DP130" s="76">
        <v>0</v>
      </c>
      <c r="DQ130" s="76">
        <v>0</v>
      </c>
      <c r="DR130" s="76">
        <v>0</v>
      </c>
      <c r="DS130" s="76">
        <v>0</v>
      </c>
      <c r="DT130" s="76">
        <v>0</v>
      </c>
      <c r="DU130" s="76">
        <v>0</v>
      </c>
      <c r="DV130" s="76">
        <v>0</v>
      </c>
      <c r="DW130" s="76">
        <v>0</v>
      </c>
      <c r="DX130" s="76">
        <v>0</v>
      </c>
      <c r="DY130" s="76">
        <v>0</v>
      </c>
      <c r="DZ130" s="76">
        <v>0</v>
      </c>
      <c r="EA130" s="76">
        <v>0</v>
      </c>
      <c r="EB130" s="76">
        <v>103</v>
      </c>
      <c r="EC130" s="76">
        <v>0</v>
      </c>
      <c r="ED130" s="76">
        <v>1950</v>
      </c>
      <c r="EE130" s="76">
        <v>-1847</v>
      </c>
      <c r="EF130" s="76">
        <v>103</v>
      </c>
      <c r="EG130" s="76">
        <v>0</v>
      </c>
      <c r="EH130" s="76">
        <v>1950</v>
      </c>
      <c r="EI130" s="76">
        <v>-1847</v>
      </c>
      <c r="EJ130" s="76">
        <v>479</v>
      </c>
      <c r="EK130" s="76">
        <v>0</v>
      </c>
      <c r="EL130" s="76">
        <v>2862</v>
      </c>
      <c r="EM130" s="76">
        <v>-2383</v>
      </c>
      <c r="EN130" s="76">
        <v>1021</v>
      </c>
      <c r="EO130" s="76">
        <v>376</v>
      </c>
      <c r="EP130" s="76">
        <v>76</v>
      </c>
      <c r="EQ130" s="76">
        <v>353</v>
      </c>
      <c r="ER130" s="76">
        <v>188988</v>
      </c>
      <c r="ES130" s="76">
        <v>0</v>
      </c>
      <c r="ET130" s="76">
        <v>188988</v>
      </c>
      <c r="EU130" s="76">
        <v>5171</v>
      </c>
      <c r="EV130" s="76">
        <v>-391</v>
      </c>
      <c r="EW130" s="76">
        <v>0</v>
      </c>
      <c r="EX130" s="76">
        <v>0</v>
      </c>
      <c r="EY130" s="76">
        <v>8520</v>
      </c>
      <c r="EZ130" s="76">
        <v>202288</v>
      </c>
      <c r="FA130" s="76">
        <v>17250</v>
      </c>
      <c r="FB130" s="76">
        <v>2288</v>
      </c>
      <c r="FC130" s="76">
        <v>-171</v>
      </c>
      <c r="FD130" s="76">
        <v>0</v>
      </c>
      <c r="FE130" s="76">
        <v>-130</v>
      </c>
      <c r="FF130" s="76">
        <v>0</v>
      </c>
      <c r="FG130" s="76">
        <v>0</v>
      </c>
      <c r="FH130" s="76">
        <v>19237</v>
      </c>
      <c r="FI130" s="76">
        <v>183051</v>
      </c>
      <c r="FJ130" s="76">
        <v>171738</v>
      </c>
      <c r="FK130" s="76">
        <v>0</v>
      </c>
      <c r="FL130" s="76">
        <v>0</v>
      </c>
      <c r="FM130" s="76">
        <v>0</v>
      </c>
      <c r="FN130" s="76">
        <v>419</v>
      </c>
      <c r="FO130" s="76">
        <v>339</v>
      </c>
      <c r="FP130" s="76">
        <v>80</v>
      </c>
      <c r="FQ130" s="76">
        <v>0</v>
      </c>
      <c r="FR130" s="76">
        <v>0</v>
      </c>
      <c r="FS130" s="76">
        <v>0</v>
      </c>
      <c r="FT130" s="76">
        <v>10</v>
      </c>
      <c r="FU130" s="76">
        <v>0</v>
      </c>
      <c r="FV130" s="76">
        <v>10</v>
      </c>
      <c r="FW130" s="76">
        <v>0</v>
      </c>
      <c r="FX130" s="76">
        <v>0</v>
      </c>
      <c r="FY130" s="76">
        <v>0</v>
      </c>
      <c r="FZ130" s="76">
        <v>0</v>
      </c>
      <c r="GA130" s="76">
        <v>0</v>
      </c>
      <c r="GB130" s="76">
        <v>0</v>
      </c>
      <c r="GC130" s="76">
        <v>429</v>
      </c>
      <c r="GD130" s="76">
        <v>339</v>
      </c>
      <c r="GE130" s="76">
        <v>90</v>
      </c>
      <c r="GF130" s="76">
        <v>0</v>
      </c>
      <c r="GG130" s="76">
        <v>0</v>
      </c>
      <c r="GH130" s="76">
        <v>0</v>
      </c>
      <c r="GI130" s="76">
        <v>0</v>
      </c>
      <c r="GJ130" s="76">
        <v>0</v>
      </c>
      <c r="GK130" s="76">
        <v>0</v>
      </c>
      <c r="GL130" s="76">
        <v>0</v>
      </c>
      <c r="GM130" s="76">
        <v>24</v>
      </c>
      <c r="GN130" s="76">
        <v>386</v>
      </c>
      <c r="GO130" s="76">
        <v>0</v>
      </c>
      <c r="GP130" s="76">
        <v>0</v>
      </c>
      <c r="GQ130" s="76">
        <v>0</v>
      </c>
      <c r="GR130" s="76">
        <v>2715</v>
      </c>
      <c r="GS130" s="76">
        <v>0</v>
      </c>
      <c r="GT130" s="76">
        <v>0</v>
      </c>
      <c r="GU130" s="76">
        <v>299</v>
      </c>
      <c r="GV130" s="76">
        <v>0</v>
      </c>
      <c r="GW130" s="76">
        <v>461</v>
      </c>
      <c r="GX130" s="76">
        <v>3885</v>
      </c>
      <c r="GY130" s="76">
        <v>255</v>
      </c>
      <c r="GZ130" s="76">
        <v>109</v>
      </c>
      <c r="HA130" s="76">
        <v>1929</v>
      </c>
      <c r="HB130" s="76">
        <v>0</v>
      </c>
      <c r="HC130" s="76">
        <v>2293</v>
      </c>
      <c r="HD130" s="76">
        <v>1036</v>
      </c>
      <c r="HE130" s="76">
        <v>0</v>
      </c>
      <c r="HF130" s="76">
        <v>1036</v>
      </c>
      <c r="HG130" s="76">
        <v>2810</v>
      </c>
      <c r="HH130" s="76">
        <v>16</v>
      </c>
      <c r="HI130" s="76">
        <v>46</v>
      </c>
      <c r="HJ130" s="76">
        <v>3</v>
      </c>
      <c r="HK130" s="76">
        <v>-2</v>
      </c>
      <c r="HL130" s="76">
        <v>-47</v>
      </c>
      <c r="HM130" s="76">
        <v>2826</v>
      </c>
      <c r="HN130" s="76">
        <v>1701</v>
      </c>
      <c r="HO130" s="76">
        <v>2450</v>
      </c>
      <c r="HP130" s="76">
        <v>-171</v>
      </c>
      <c r="HQ130" s="76">
        <v>61</v>
      </c>
      <c r="HR130" s="76">
        <v>-17</v>
      </c>
      <c r="HS130" s="76">
        <v>236</v>
      </c>
      <c r="HT130" s="76">
        <v>3491</v>
      </c>
      <c r="HU130" s="76">
        <v>0</v>
      </c>
      <c r="HV130" s="76">
        <v>0</v>
      </c>
      <c r="HW130" s="76">
        <v>0</v>
      </c>
      <c r="HX130" s="76">
        <v>0</v>
      </c>
    </row>
    <row r="131" spans="1:232" x14ac:dyDescent="0.2">
      <c r="A131" s="74" t="s">
        <v>125</v>
      </c>
      <c r="B131" s="74" t="s">
        <v>124</v>
      </c>
      <c r="C131" s="75" t="s">
        <v>200</v>
      </c>
      <c r="D131" s="75">
        <v>12</v>
      </c>
      <c r="E131" s="76">
        <v>411700</v>
      </c>
      <c r="F131" s="76">
        <v>-87700</v>
      </c>
      <c r="G131" s="76">
        <v>-178400</v>
      </c>
      <c r="H131" s="76">
        <v>145600</v>
      </c>
      <c r="I131" s="76">
        <v>32100</v>
      </c>
      <c r="J131" s="76">
        <v>0</v>
      </c>
      <c r="K131" s="76">
        <v>0</v>
      </c>
      <c r="L131" s="76">
        <v>100</v>
      </c>
      <c r="M131" s="76">
        <v>1300</v>
      </c>
      <c r="N131" s="76">
        <v>-45700</v>
      </c>
      <c r="O131" s="76">
        <v>0</v>
      </c>
      <c r="P131" s="76">
        <v>8800</v>
      </c>
      <c r="Q131" s="76">
        <v>0</v>
      </c>
      <c r="R131" s="76">
        <v>0</v>
      </c>
      <c r="S131" s="76">
        <v>142200</v>
      </c>
      <c r="T131" s="76">
        <v>0</v>
      </c>
      <c r="U131" s="76">
        <v>142200</v>
      </c>
      <c r="V131" s="76">
        <v>0</v>
      </c>
      <c r="W131" s="76">
        <v>0</v>
      </c>
      <c r="X131" s="76">
        <v>0</v>
      </c>
      <c r="Y131" s="76">
        <v>0</v>
      </c>
      <c r="Z131" s="76">
        <v>142200</v>
      </c>
      <c r="AA131" s="76">
        <v>198700</v>
      </c>
      <c r="AB131" s="76">
        <v>21000</v>
      </c>
      <c r="AC131" s="76">
        <v>219700</v>
      </c>
      <c r="AD131" s="76">
        <v>2100</v>
      </c>
      <c r="AE131" s="76">
        <v>0</v>
      </c>
      <c r="AF131" s="76">
        <v>800</v>
      </c>
      <c r="AG131" s="76">
        <v>0</v>
      </c>
      <c r="AH131" s="76">
        <v>222600</v>
      </c>
      <c r="AI131" s="76">
        <v>28800</v>
      </c>
      <c r="AJ131" s="76">
        <v>20200</v>
      </c>
      <c r="AK131" s="76">
        <v>24200</v>
      </c>
      <c r="AL131" s="76">
        <v>9200</v>
      </c>
      <c r="AM131" s="76">
        <v>11600</v>
      </c>
      <c r="AN131" s="76">
        <v>400</v>
      </c>
      <c r="AO131" s="76">
        <v>25600</v>
      </c>
      <c r="AP131" s="76">
        <v>0</v>
      </c>
      <c r="AQ131" s="76">
        <v>22800</v>
      </c>
      <c r="AR131" s="76">
        <v>142800</v>
      </c>
      <c r="AS131" s="76">
        <v>79800</v>
      </c>
      <c r="AT131" s="76">
        <v>1900</v>
      </c>
      <c r="AU131" s="76">
        <v>3149700</v>
      </c>
      <c r="AV131" s="76">
        <v>0</v>
      </c>
      <c r="AW131" s="76">
        <v>32300</v>
      </c>
      <c r="AX131" s="76">
        <v>0</v>
      </c>
      <c r="AY131" s="76">
        <v>30600</v>
      </c>
      <c r="AZ131" s="76">
        <v>430000</v>
      </c>
      <c r="BA131" s="76">
        <v>16700</v>
      </c>
      <c r="BB131" s="76">
        <v>0</v>
      </c>
      <c r="BC131" s="76">
        <v>0</v>
      </c>
      <c r="BD131" s="76">
        <v>0</v>
      </c>
      <c r="BE131" s="76">
        <v>3659300</v>
      </c>
      <c r="BF131" s="76">
        <v>333200</v>
      </c>
      <c r="BG131" s="76">
        <v>42600</v>
      </c>
      <c r="BH131" s="76">
        <v>55700</v>
      </c>
      <c r="BI131" s="76">
        <v>700</v>
      </c>
      <c r="BJ131" s="76">
        <v>0</v>
      </c>
      <c r="BK131" s="76">
        <v>432200</v>
      </c>
      <c r="BL131" s="76">
        <v>6200</v>
      </c>
      <c r="BM131" s="76">
        <v>0</v>
      </c>
      <c r="BN131" s="76">
        <v>1100</v>
      </c>
      <c r="BO131" s="76">
        <v>116600</v>
      </c>
      <c r="BP131" s="76">
        <v>123900</v>
      </c>
      <c r="BQ131" s="76">
        <v>308300</v>
      </c>
      <c r="BR131" s="76">
        <v>3967600</v>
      </c>
      <c r="BS131" s="76">
        <v>1330100</v>
      </c>
      <c r="BT131" s="76">
        <v>0</v>
      </c>
      <c r="BU131" s="76">
        <v>0</v>
      </c>
      <c r="BV131" s="76">
        <v>149200</v>
      </c>
      <c r="BW131" s="76">
        <v>30600</v>
      </c>
      <c r="BX131" s="76">
        <v>67800</v>
      </c>
      <c r="BY131" s="76">
        <v>122700</v>
      </c>
      <c r="BZ131" s="76">
        <v>1700400</v>
      </c>
      <c r="CA131" s="76">
        <v>900</v>
      </c>
      <c r="CB131" s="76">
        <v>12500</v>
      </c>
      <c r="CC131" s="76">
        <v>2253800</v>
      </c>
      <c r="CD131" s="76">
        <v>1552200</v>
      </c>
      <c r="CE131" s="76">
        <v>714800</v>
      </c>
      <c r="CF131" s="76">
        <v>0</v>
      </c>
      <c r="CG131" s="76">
        <v>-13400</v>
      </c>
      <c r="CH131" s="76">
        <v>200</v>
      </c>
      <c r="CI131" s="76">
        <v>2253800</v>
      </c>
      <c r="CJ131" s="76">
        <v>69400</v>
      </c>
      <c r="CK131" s="76">
        <v>36700</v>
      </c>
      <c r="CL131" s="76">
        <v>0</v>
      </c>
      <c r="CM131" s="76">
        <v>32700</v>
      </c>
      <c r="CN131" s="76">
        <v>7200</v>
      </c>
      <c r="CO131" s="76">
        <v>0</v>
      </c>
      <c r="CP131" s="76">
        <v>8100</v>
      </c>
      <c r="CQ131" s="76">
        <v>-900</v>
      </c>
      <c r="CR131" s="76">
        <v>0</v>
      </c>
      <c r="CS131" s="76">
        <v>0</v>
      </c>
      <c r="CT131" s="76">
        <v>2700</v>
      </c>
      <c r="CU131" s="76">
        <v>-2700</v>
      </c>
      <c r="CV131" s="76">
        <v>300</v>
      </c>
      <c r="CW131" s="76">
        <v>0</v>
      </c>
      <c r="CX131" s="76">
        <v>400</v>
      </c>
      <c r="CY131" s="76">
        <v>-100</v>
      </c>
      <c r="CZ131" s="76">
        <v>6700</v>
      </c>
      <c r="DA131" s="76">
        <v>0</v>
      </c>
      <c r="DB131" s="76">
        <v>4300</v>
      </c>
      <c r="DC131" s="76">
        <v>2400</v>
      </c>
      <c r="DD131" s="76">
        <v>83600</v>
      </c>
      <c r="DE131" s="76">
        <v>36700</v>
      </c>
      <c r="DF131" s="76">
        <v>15500</v>
      </c>
      <c r="DG131" s="76">
        <v>31400</v>
      </c>
      <c r="DH131" s="76">
        <v>72000</v>
      </c>
      <c r="DI131" s="76">
        <v>51000</v>
      </c>
      <c r="DJ131" s="76">
        <v>0</v>
      </c>
      <c r="DK131" s="76">
        <v>21000</v>
      </c>
      <c r="DL131" s="76">
        <v>5800</v>
      </c>
      <c r="DM131" s="76">
        <v>0</v>
      </c>
      <c r="DN131" s="76">
        <v>2300</v>
      </c>
      <c r="DO131" s="76">
        <v>3500</v>
      </c>
      <c r="DP131" s="76">
        <v>0</v>
      </c>
      <c r="DQ131" s="76">
        <v>0</v>
      </c>
      <c r="DR131" s="76">
        <v>0</v>
      </c>
      <c r="DS131" s="76">
        <v>0</v>
      </c>
      <c r="DT131" s="76">
        <v>11600</v>
      </c>
      <c r="DU131" s="76">
        <v>0</v>
      </c>
      <c r="DV131" s="76">
        <v>5200</v>
      </c>
      <c r="DW131" s="76">
        <v>6400</v>
      </c>
      <c r="DX131" s="76">
        <v>0</v>
      </c>
      <c r="DY131" s="76">
        <v>0</v>
      </c>
      <c r="DZ131" s="76">
        <v>0</v>
      </c>
      <c r="EA131" s="76">
        <v>0</v>
      </c>
      <c r="EB131" s="76">
        <v>16100</v>
      </c>
      <c r="EC131" s="76">
        <v>0</v>
      </c>
      <c r="ED131" s="76">
        <v>12600</v>
      </c>
      <c r="EE131" s="76">
        <v>3500</v>
      </c>
      <c r="EF131" s="76">
        <v>105500</v>
      </c>
      <c r="EG131" s="76">
        <v>51000</v>
      </c>
      <c r="EH131" s="76">
        <v>20100</v>
      </c>
      <c r="EI131" s="76">
        <v>34400</v>
      </c>
      <c r="EJ131" s="76">
        <v>189100</v>
      </c>
      <c r="EK131" s="76">
        <v>87700</v>
      </c>
      <c r="EL131" s="76">
        <v>35600</v>
      </c>
      <c r="EM131" s="76">
        <v>65800</v>
      </c>
      <c r="EN131" s="76">
        <v>11823</v>
      </c>
      <c r="EO131" s="76">
        <v>2845</v>
      </c>
      <c r="EP131" s="76">
        <v>5565</v>
      </c>
      <c r="EQ131" s="76">
        <v>2845</v>
      </c>
      <c r="ER131" s="76">
        <v>3088300</v>
      </c>
      <c r="ES131" s="76">
        <v>0</v>
      </c>
      <c r="ET131" s="76">
        <v>3088300</v>
      </c>
      <c r="EU131" s="76">
        <v>181000</v>
      </c>
      <c r="EV131" s="76">
        <v>-37900</v>
      </c>
      <c r="EW131" s="76">
        <v>0</v>
      </c>
      <c r="EX131" s="76">
        <v>0</v>
      </c>
      <c r="EY131" s="76">
        <v>0</v>
      </c>
      <c r="EZ131" s="76">
        <v>3231400</v>
      </c>
      <c r="FA131" s="76">
        <v>54000</v>
      </c>
      <c r="FB131" s="76">
        <v>25800</v>
      </c>
      <c r="FC131" s="76">
        <v>7300</v>
      </c>
      <c r="FD131" s="76">
        <v>0</v>
      </c>
      <c r="FE131" s="76">
        <v>-5400</v>
      </c>
      <c r="FF131" s="76">
        <v>0</v>
      </c>
      <c r="FG131" s="76">
        <v>0</v>
      </c>
      <c r="FH131" s="76">
        <v>81700</v>
      </c>
      <c r="FI131" s="76">
        <v>3149700</v>
      </c>
      <c r="FJ131" s="76">
        <v>3034300</v>
      </c>
      <c r="FK131" s="76">
        <v>51600</v>
      </c>
      <c r="FL131" s="76">
        <v>30100</v>
      </c>
      <c r="FM131" s="76">
        <v>21500</v>
      </c>
      <c r="FN131" s="76">
        <v>0</v>
      </c>
      <c r="FO131" s="76">
        <v>0</v>
      </c>
      <c r="FP131" s="76">
        <v>0</v>
      </c>
      <c r="FQ131" s="76">
        <v>0</v>
      </c>
      <c r="FR131" s="76">
        <v>0</v>
      </c>
      <c r="FS131" s="76">
        <v>0</v>
      </c>
      <c r="FT131" s="76">
        <v>0</v>
      </c>
      <c r="FU131" s="76">
        <v>0</v>
      </c>
      <c r="FV131" s="76">
        <v>0</v>
      </c>
      <c r="FW131" s="76">
        <v>0</v>
      </c>
      <c r="FX131" s="76">
        <v>0</v>
      </c>
      <c r="FY131" s="76">
        <v>0</v>
      </c>
      <c r="FZ131" s="76">
        <v>20300</v>
      </c>
      <c r="GA131" s="76">
        <v>9700</v>
      </c>
      <c r="GB131" s="76">
        <v>10600</v>
      </c>
      <c r="GC131" s="76">
        <v>71900</v>
      </c>
      <c r="GD131" s="76">
        <v>39800</v>
      </c>
      <c r="GE131" s="76">
        <v>32100</v>
      </c>
      <c r="GF131" s="76">
        <v>0</v>
      </c>
      <c r="GG131" s="76">
        <v>0</v>
      </c>
      <c r="GH131" s="76">
        <v>0</v>
      </c>
      <c r="GI131" s="76">
        <v>0</v>
      </c>
      <c r="GJ131" s="76">
        <v>0</v>
      </c>
      <c r="GK131" s="76">
        <v>0</v>
      </c>
      <c r="GL131" s="76">
        <v>0</v>
      </c>
      <c r="GM131" s="76">
        <v>14200</v>
      </c>
      <c r="GN131" s="76">
        <v>0</v>
      </c>
      <c r="GO131" s="76">
        <v>0</v>
      </c>
      <c r="GP131" s="76">
        <v>0</v>
      </c>
      <c r="GQ131" s="76">
        <v>0</v>
      </c>
      <c r="GR131" s="76">
        <v>60600</v>
      </c>
      <c r="GS131" s="76">
        <v>0</v>
      </c>
      <c r="GT131" s="76">
        <v>0</v>
      </c>
      <c r="GU131" s="76">
        <v>0</v>
      </c>
      <c r="GV131" s="76">
        <v>0</v>
      </c>
      <c r="GW131" s="76">
        <v>41800</v>
      </c>
      <c r="GX131" s="76">
        <v>116600</v>
      </c>
      <c r="GY131" s="76">
        <v>42700</v>
      </c>
      <c r="GZ131" s="76">
        <v>2900</v>
      </c>
      <c r="HA131" s="76">
        <v>23900</v>
      </c>
      <c r="HB131" s="76">
        <v>53200</v>
      </c>
      <c r="HC131" s="76">
        <v>122700</v>
      </c>
      <c r="HD131" s="76">
        <v>1100</v>
      </c>
      <c r="HE131" s="76">
        <v>11400</v>
      </c>
      <c r="HF131" s="76">
        <v>12500</v>
      </c>
      <c r="HG131" s="76">
        <v>54400</v>
      </c>
      <c r="HH131" s="76">
        <v>600</v>
      </c>
      <c r="HI131" s="76">
        <v>500</v>
      </c>
      <c r="HJ131" s="76">
        <v>0</v>
      </c>
      <c r="HK131" s="76">
        <v>0</v>
      </c>
      <c r="HL131" s="76">
        <v>-9800</v>
      </c>
      <c r="HM131" s="76">
        <v>45700</v>
      </c>
      <c r="HN131" s="76">
        <v>8300</v>
      </c>
      <c r="HO131" s="76">
        <v>28600</v>
      </c>
      <c r="HP131" s="76">
        <v>10900</v>
      </c>
      <c r="HQ131" s="76">
        <v>866</v>
      </c>
      <c r="HR131" s="76">
        <v>0</v>
      </c>
      <c r="HS131" s="76">
        <v>80</v>
      </c>
      <c r="HT131" s="76">
        <v>29981</v>
      </c>
      <c r="HU131" s="76">
        <v>71</v>
      </c>
      <c r="HV131" s="76">
        <v>0</v>
      </c>
      <c r="HW131" s="76">
        <v>48</v>
      </c>
      <c r="HX131" s="76">
        <v>1744</v>
      </c>
    </row>
    <row r="132" spans="1:232" x14ac:dyDescent="0.2">
      <c r="A132" s="74" t="s">
        <v>554</v>
      </c>
      <c r="B132" s="74" t="s">
        <v>553</v>
      </c>
      <c r="C132" s="75" t="s">
        <v>200</v>
      </c>
      <c r="D132" s="75">
        <v>12</v>
      </c>
      <c r="E132" s="76">
        <v>71766</v>
      </c>
      <c r="F132" s="76">
        <v>-4359</v>
      </c>
      <c r="G132" s="76">
        <v>-51334</v>
      </c>
      <c r="H132" s="76">
        <v>16073</v>
      </c>
      <c r="I132" s="76">
        <v>3317</v>
      </c>
      <c r="J132" s="76">
        <v>0</v>
      </c>
      <c r="K132" s="76">
        <v>0</v>
      </c>
      <c r="L132" s="76">
        <v>0</v>
      </c>
      <c r="M132" s="76">
        <v>149</v>
      </c>
      <c r="N132" s="76">
        <v>-11083</v>
      </c>
      <c r="O132" s="76">
        <v>0</v>
      </c>
      <c r="P132" s="76">
        <v>80</v>
      </c>
      <c r="Q132" s="76">
        <v>0</v>
      </c>
      <c r="R132" s="76">
        <v>0</v>
      </c>
      <c r="S132" s="76">
        <v>8536</v>
      </c>
      <c r="T132" s="76">
        <v>0</v>
      </c>
      <c r="U132" s="76">
        <v>8536</v>
      </c>
      <c r="V132" s="76">
        <v>0</v>
      </c>
      <c r="W132" s="76">
        <v>0</v>
      </c>
      <c r="X132" s="76">
        <v>0</v>
      </c>
      <c r="Y132" s="76">
        <v>0</v>
      </c>
      <c r="Z132" s="76">
        <v>8536</v>
      </c>
      <c r="AA132" s="76">
        <v>39989</v>
      </c>
      <c r="AB132" s="76">
        <v>4952</v>
      </c>
      <c r="AC132" s="76">
        <v>44941</v>
      </c>
      <c r="AD132" s="76">
        <v>2961</v>
      </c>
      <c r="AE132" s="76">
        <v>0</v>
      </c>
      <c r="AF132" s="76">
        <v>3446</v>
      </c>
      <c r="AG132" s="76">
        <v>6235</v>
      </c>
      <c r="AH132" s="76">
        <v>57583</v>
      </c>
      <c r="AI132" s="76">
        <v>9019</v>
      </c>
      <c r="AJ132" s="76">
        <v>5242</v>
      </c>
      <c r="AK132" s="76">
        <v>6861</v>
      </c>
      <c r="AL132" s="76">
        <v>1204</v>
      </c>
      <c r="AM132" s="76">
        <v>1726</v>
      </c>
      <c r="AN132" s="76">
        <v>200</v>
      </c>
      <c r="AO132" s="76">
        <v>8644</v>
      </c>
      <c r="AP132" s="76">
        <v>0</v>
      </c>
      <c r="AQ132" s="76">
        <v>7835</v>
      </c>
      <c r="AR132" s="76">
        <v>40731</v>
      </c>
      <c r="AS132" s="76">
        <v>16852</v>
      </c>
      <c r="AT132" s="76">
        <v>606</v>
      </c>
      <c r="AU132" s="76">
        <v>511834</v>
      </c>
      <c r="AV132" s="76">
        <v>0</v>
      </c>
      <c r="AW132" s="76">
        <v>5778</v>
      </c>
      <c r="AX132" s="76">
        <v>0</v>
      </c>
      <c r="AY132" s="76">
        <v>0</v>
      </c>
      <c r="AZ132" s="76">
        <v>15024</v>
      </c>
      <c r="BA132" s="76">
        <v>0</v>
      </c>
      <c r="BB132" s="76">
        <v>0</v>
      </c>
      <c r="BC132" s="76">
        <v>0</v>
      </c>
      <c r="BD132" s="76">
        <v>701</v>
      </c>
      <c r="BE132" s="76">
        <v>533337</v>
      </c>
      <c r="BF132" s="76">
        <v>4336</v>
      </c>
      <c r="BG132" s="76">
        <v>864</v>
      </c>
      <c r="BH132" s="76">
        <v>16311</v>
      </c>
      <c r="BI132" s="76">
        <v>8503</v>
      </c>
      <c r="BJ132" s="76">
        <v>3142</v>
      </c>
      <c r="BK132" s="76">
        <v>33156</v>
      </c>
      <c r="BL132" s="76">
        <v>159</v>
      </c>
      <c r="BM132" s="76">
        <v>0</v>
      </c>
      <c r="BN132" s="76">
        <v>3072</v>
      </c>
      <c r="BO132" s="76">
        <v>12083</v>
      </c>
      <c r="BP132" s="76">
        <v>15314</v>
      </c>
      <c r="BQ132" s="76">
        <v>17842</v>
      </c>
      <c r="BR132" s="76">
        <v>551179</v>
      </c>
      <c r="BS132" s="76">
        <v>249392</v>
      </c>
      <c r="BT132" s="76">
        <v>0</v>
      </c>
      <c r="BU132" s="76">
        <v>0</v>
      </c>
      <c r="BV132" s="76">
        <v>207463</v>
      </c>
      <c r="BW132" s="76">
        <v>0</v>
      </c>
      <c r="BX132" s="76">
        <v>0</v>
      </c>
      <c r="BY132" s="76">
        <v>12281</v>
      </c>
      <c r="BZ132" s="76">
        <v>469136</v>
      </c>
      <c r="CA132" s="76">
        <v>0</v>
      </c>
      <c r="CB132" s="76">
        <v>0</v>
      </c>
      <c r="CC132" s="76">
        <v>82043</v>
      </c>
      <c r="CD132" s="76">
        <v>82043</v>
      </c>
      <c r="CE132" s="76">
        <v>0</v>
      </c>
      <c r="CF132" s="76">
        <v>0</v>
      </c>
      <c r="CG132" s="76">
        <v>0</v>
      </c>
      <c r="CH132" s="76">
        <v>0</v>
      </c>
      <c r="CI132" s="76">
        <v>82043</v>
      </c>
      <c r="CJ132" s="76">
        <v>4807</v>
      </c>
      <c r="CK132" s="76">
        <v>4359</v>
      </c>
      <c r="CL132" s="76">
        <v>0</v>
      </c>
      <c r="CM132" s="76">
        <v>448</v>
      </c>
      <c r="CN132" s="76">
        <v>7620</v>
      </c>
      <c r="CO132" s="76">
        <v>0</v>
      </c>
      <c r="CP132" s="76">
        <v>8106</v>
      </c>
      <c r="CQ132" s="76">
        <v>-486</v>
      </c>
      <c r="CR132" s="76">
        <v>621</v>
      </c>
      <c r="CS132" s="76">
        <v>0</v>
      </c>
      <c r="CT132" s="76">
        <v>583</v>
      </c>
      <c r="CU132" s="76">
        <v>38</v>
      </c>
      <c r="CV132" s="76">
        <v>0</v>
      </c>
      <c r="CW132" s="76">
        <v>0</v>
      </c>
      <c r="CX132" s="76">
        <v>0</v>
      </c>
      <c r="CY132" s="76">
        <v>0</v>
      </c>
      <c r="CZ132" s="76">
        <v>135</v>
      </c>
      <c r="DA132" s="76">
        <v>0</v>
      </c>
      <c r="DB132" s="76">
        <v>1289</v>
      </c>
      <c r="DC132" s="76">
        <v>-1154</v>
      </c>
      <c r="DD132" s="76">
        <v>13183</v>
      </c>
      <c r="DE132" s="76">
        <v>4359</v>
      </c>
      <c r="DF132" s="76">
        <v>9978</v>
      </c>
      <c r="DG132" s="76">
        <v>-1154</v>
      </c>
      <c r="DH132" s="76">
        <v>0</v>
      </c>
      <c r="DI132" s="76">
        <v>0</v>
      </c>
      <c r="DJ132" s="76">
        <v>0</v>
      </c>
      <c r="DK132" s="76">
        <v>0</v>
      </c>
      <c r="DL132" s="76">
        <v>0</v>
      </c>
      <c r="DM132" s="76">
        <v>0</v>
      </c>
      <c r="DN132" s="76">
        <v>0</v>
      </c>
      <c r="DO132" s="76">
        <v>0</v>
      </c>
      <c r="DP132" s="76">
        <v>0</v>
      </c>
      <c r="DQ132" s="76">
        <v>0</v>
      </c>
      <c r="DR132" s="76">
        <v>0</v>
      </c>
      <c r="DS132" s="76">
        <v>0</v>
      </c>
      <c r="DT132" s="76">
        <v>845</v>
      </c>
      <c r="DU132" s="76">
        <v>0</v>
      </c>
      <c r="DV132" s="76">
        <v>289</v>
      </c>
      <c r="DW132" s="76">
        <v>556</v>
      </c>
      <c r="DX132" s="76">
        <v>0</v>
      </c>
      <c r="DY132" s="76">
        <v>0</v>
      </c>
      <c r="DZ132" s="76">
        <v>0</v>
      </c>
      <c r="EA132" s="76">
        <v>0</v>
      </c>
      <c r="EB132" s="76">
        <v>155</v>
      </c>
      <c r="EC132" s="76">
        <v>0</v>
      </c>
      <c r="ED132" s="76">
        <v>336</v>
      </c>
      <c r="EE132" s="76">
        <v>-181</v>
      </c>
      <c r="EF132" s="76">
        <v>1000</v>
      </c>
      <c r="EG132" s="76">
        <v>0</v>
      </c>
      <c r="EH132" s="76">
        <v>625</v>
      </c>
      <c r="EI132" s="76">
        <v>375</v>
      </c>
      <c r="EJ132" s="76">
        <v>14183</v>
      </c>
      <c r="EK132" s="76">
        <v>4359</v>
      </c>
      <c r="EL132" s="76">
        <v>10603</v>
      </c>
      <c r="EM132" s="76">
        <v>-779</v>
      </c>
      <c r="EN132" s="76">
        <v>1230</v>
      </c>
      <c r="EO132" s="76">
        <v>3</v>
      </c>
      <c r="EP132" s="76">
        <v>366</v>
      </c>
      <c r="EQ132" s="76">
        <v>3</v>
      </c>
      <c r="ER132" s="76">
        <v>577192</v>
      </c>
      <c r="ES132" s="76">
        <v>0</v>
      </c>
      <c r="ET132" s="76">
        <v>577192</v>
      </c>
      <c r="EU132" s="76">
        <v>26455</v>
      </c>
      <c r="EV132" s="76">
        <v>-7754</v>
      </c>
      <c r="EW132" s="76">
        <v>0</v>
      </c>
      <c r="EX132" s="76">
        <v>0</v>
      </c>
      <c r="EY132" s="76">
        <v>0</v>
      </c>
      <c r="EZ132" s="76">
        <v>595893</v>
      </c>
      <c r="FA132" s="76">
        <v>77445</v>
      </c>
      <c r="FB132" s="76">
        <v>8013</v>
      </c>
      <c r="FC132" s="76">
        <v>0</v>
      </c>
      <c r="FD132" s="76">
        <v>0</v>
      </c>
      <c r="FE132" s="76">
        <v>-1399</v>
      </c>
      <c r="FF132" s="76">
        <v>0</v>
      </c>
      <c r="FG132" s="76">
        <v>0</v>
      </c>
      <c r="FH132" s="76">
        <v>84059</v>
      </c>
      <c r="FI132" s="76">
        <v>511834</v>
      </c>
      <c r="FJ132" s="76">
        <v>499747</v>
      </c>
      <c r="FK132" s="76">
        <v>2038</v>
      </c>
      <c r="FL132" s="76">
        <v>1629</v>
      </c>
      <c r="FM132" s="76">
        <v>409</v>
      </c>
      <c r="FN132" s="76">
        <v>0</v>
      </c>
      <c r="FO132" s="76">
        <v>0</v>
      </c>
      <c r="FP132" s="76">
        <v>0</v>
      </c>
      <c r="FQ132" s="76">
        <v>0</v>
      </c>
      <c r="FR132" s="76">
        <v>0</v>
      </c>
      <c r="FS132" s="76">
        <v>0</v>
      </c>
      <c r="FT132" s="76">
        <v>8261</v>
      </c>
      <c r="FU132" s="76">
        <v>5353</v>
      </c>
      <c r="FV132" s="76">
        <v>2908</v>
      </c>
      <c r="FW132" s="76">
        <v>0</v>
      </c>
      <c r="FX132" s="76">
        <v>0</v>
      </c>
      <c r="FY132" s="76">
        <v>0</v>
      </c>
      <c r="FZ132" s="76">
        <v>0</v>
      </c>
      <c r="GA132" s="76">
        <v>0</v>
      </c>
      <c r="GB132" s="76">
        <v>0</v>
      </c>
      <c r="GC132" s="76">
        <v>10299</v>
      </c>
      <c r="GD132" s="76">
        <v>6982</v>
      </c>
      <c r="GE132" s="76">
        <v>3317</v>
      </c>
      <c r="GF132" s="76">
        <v>397</v>
      </c>
      <c r="GG132" s="76">
        <v>0</v>
      </c>
      <c r="GH132" s="76">
        <v>323</v>
      </c>
      <c r="GI132" s="76">
        <v>0</v>
      </c>
      <c r="GJ132" s="76">
        <v>0</v>
      </c>
      <c r="GK132" s="76">
        <v>2422</v>
      </c>
      <c r="GL132" s="76">
        <v>3142</v>
      </c>
      <c r="GM132" s="76">
        <v>2112</v>
      </c>
      <c r="GN132" s="76">
        <v>1401</v>
      </c>
      <c r="GO132" s="76">
        <v>0</v>
      </c>
      <c r="GP132" s="76">
        <v>816</v>
      </c>
      <c r="GQ132" s="76">
        <v>88</v>
      </c>
      <c r="GR132" s="76">
        <v>1120</v>
      </c>
      <c r="GS132" s="76">
        <v>0</v>
      </c>
      <c r="GT132" s="76">
        <v>0</v>
      </c>
      <c r="GU132" s="76">
        <v>1332</v>
      </c>
      <c r="GV132" s="76">
        <v>0</v>
      </c>
      <c r="GW132" s="76">
        <v>5214</v>
      </c>
      <c r="GX132" s="76">
        <v>12083</v>
      </c>
      <c r="GY132" s="76">
        <v>3210</v>
      </c>
      <c r="GZ132" s="76">
        <v>139</v>
      </c>
      <c r="HA132" s="76">
        <v>8714</v>
      </c>
      <c r="HB132" s="76">
        <v>218</v>
      </c>
      <c r="HC132" s="76">
        <v>12281</v>
      </c>
      <c r="HD132" s="76">
        <v>0</v>
      </c>
      <c r="HE132" s="76">
        <v>0</v>
      </c>
      <c r="HF132" s="76">
        <v>0</v>
      </c>
      <c r="HG132" s="76">
        <v>11603</v>
      </c>
      <c r="HH132" s="76">
        <v>-331</v>
      </c>
      <c r="HI132" s="76">
        <v>208</v>
      </c>
      <c r="HJ132" s="76">
        <v>13</v>
      </c>
      <c r="HK132" s="76">
        <v>0</v>
      </c>
      <c r="HL132" s="76">
        <v>-410</v>
      </c>
      <c r="HM132" s="76">
        <v>11083</v>
      </c>
      <c r="HN132" s="76">
        <v>2826</v>
      </c>
      <c r="HO132" s="76">
        <v>9708</v>
      </c>
      <c r="HP132" s="76">
        <v>0</v>
      </c>
      <c r="HQ132" s="76">
        <v>225</v>
      </c>
      <c r="HR132" s="76">
        <v>-107</v>
      </c>
      <c r="HS132" s="76">
        <v>21</v>
      </c>
      <c r="HT132" s="76">
        <v>9226</v>
      </c>
      <c r="HU132" s="76">
        <v>0</v>
      </c>
      <c r="HV132" s="76">
        <v>-24</v>
      </c>
      <c r="HW132" s="76">
        <v>-6</v>
      </c>
      <c r="HX132" s="76">
        <v>130</v>
      </c>
    </row>
    <row r="133" spans="1:232" x14ac:dyDescent="0.2">
      <c r="A133" s="74" t="s">
        <v>555</v>
      </c>
      <c r="B133" s="74" t="s">
        <v>556</v>
      </c>
      <c r="C133" s="75" t="s">
        <v>200</v>
      </c>
      <c r="D133" s="75">
        <v>12</v>
      </c>
      <c r="E133" s="76">
        <v>41742</v>
      </c>
      <c r="F133" s="76">
        <v>-2237</v>
      </c>
      <c r="G133" s="76">
        <v>-29133</v>
      </c>
      <c r="H133" s="76">
        <v>10372</v>
      </c>
      <c r="I133" s="76">
        <v>280</v>
      </c>
      <c r="J133" s="76">
        <v>0</v>
      </c>
      <c r="K133" s="76">
        <v>0</v>
      </c>
      <c r="L133" s="76">
        <v>0</v>
      </c>
      <c r="M133" s="76">
        <v>11</v>
      </c>
      <c r="N133" s="76">
        <v>-1642</v>
      </c>
      <c r="O133" s="76">
        <v>0</v>
      </c>
      <c r="P133" s="76">
        <v>0</v>
      </c>
      <c r="Q133" s="76">
        <v>-852</v>
      </c>
      <c r="R133" s="76">
        <v>0</v>
      </c>
      <c r="S133" s="76">
        <v>8169</v>
      </c>
      <c r="T133" s="76">
        <v>0</v>
      </c>
      <c r="U133" s="76">
        <v>8169</v>
      </c>
      <c r="V133" s="76">
        <v>0</v>
      </c>
      <c r="W133" s="76">
        <v>-4296</v>
      </c>
      <c r="X133" s="76">
        <v>0</v>
      </c>
      <c r="Y133" s="76">
        <v>0</v>
      </c>
      <c r="Z133" s="76">
        <v>3873</v>
      </c>
      <c r="AA133" s="76">
        <v>30870</v>
      </c>
      <c r="AB133" s="76">
        <v>1426</v>
      </c>
      <c r="AC133" s="76">
        <v>32296</v>
      </c>
      <c r="AD133" s="76">
        <v>0</v>
      </c>
      <c r="AE133" s="76">
        <v>0</v>
      </c>
      <c r="AF133" s="76">
        <v>0</v>
      </c>
      <c r="AG133" s="76">
        <v>0</v>
      </c>
      <c r="AH133" s="76">
        <v>32296</v>
      </c>
      <c r="AI133" s="76">
        <v>5502</v>
      </c>
      <c r="AJ133" s="76">
        <v>1661</v>
      </c>
      <c r="AK133" s="76">
        <v>3919</v>
      </c>
      <c r="AL133" s="76">
        <v>2278</v>
      </c>
      <c r="AM133" s="76">
        <v>4404</v>
      </c>
      <c r="AN133" s="76">
        <v>136</v>
      </c>
      <c r="AO133" s="76">
        <v>2745</v>
      </c>
      <c r="AP133" s="76">
        <v>0</v>
      </c>
      <c r="AQ133" s="76">
        <v>0</v>
      </c>
      <c r="AR133" s="76">
        <v>20645</v>
      </c>
      <c r="AS133" s="76">
        <v>11651</v>
      </c>
      <c r="AT133" s="76">
        <v>455</v>
      </c>
      <c r="AU133" s="76">
        <v>98838</v>
      </c>
      <c r="AV133" s="76">
        <v>0</v>
      </c>
      <c r="AW133" s="76">
        <v>20346</v>
      </c>
      <c r="AX133" s="76">
        <v>0</v>
      </c>
      <c r="AY133" s="76">
        <v>0</v>
      </c>
      <c r="AZ133" s="76">
        <v>0</v>
      </c>
      <c r="BA133" s="76">
        <v>0</v>
      </c>
      <c r="BB133" s="76">
        <v>0</v>
      </c>
      <c r="BC133" s="76">
        <v>0</v>
      </c>
      <c r="BD133" s="76">
        <v>0</v>
      </c>
      <c r="BE133" s="76">
        <v>119184</v>
      </c>
      <c r="BF133" s="76">
        <v>2102</v>
      </c>
      <c r="BG133" s="76">
        <v>12564</v>
      </c>
      <c r="BH133" s="76">
        <v>12777</v>
      </c>
      <c r="BI133" s="76">
        <v>0</v>
      </c>
      <c r="BJ133" s="76">
        <v>91</v>
      </c>
      <c r="BK133" s="76">
        <v>27534</v>
      </c>
      <c r="BL133" s="76">
        <v>0</v>
      </c>
      <c r="BM133" s="76">
        <v>0</v>
      </c>
      <c r="BN133" s="76">
        <v>72</v>
      </c>
      <c r="BO133" s="76">
        <v>6458</v>
      </c>
      <c r="BP133" s="76">
        <v>6530</v>
      </c>
      <c r="BQ133" s="76">
        <v>21004</v>
      </c>
      <c r="BR133" s="76">
        <v>140188</v>
      </c>
      <c r="BS133" s="76">
        <v>52421</v>
      </c>
      <c r="BT133" s="76">
        <v>0</v>
      </c>
      <c r="BU133" s="76">
        <v>0</v>
      </c>
      <c r="BV133" s="76">
        <v>6516</v>
      </c>
      <c r="BW133" s="76">
        <v>0</v>
      </c>
      <c r="BX133" s="76">
        <v>0</v>
      </c>
      <c r="BY133" s="76">
        <v>169</v>
      </c>
      <c r="BZ133" s="76">
        <v>59106</v>
      </c>
      <c r="CA133" s="76">
        <v>11279</v>
      </c>
      <c r="CB133" s="76">
        <v>9402</v>
      </c>
      <c r="CC133" s="76">
        <v>60401</v>
      </c>
      <c r="CD133" s="76">
        <v>60401</v>
      </c>
      <c r="CE133" s="76">
        <v>0</v>
      </c>
      <c r="CF133" s="76">
        <v>0</v>
      </c>
      <c r="CG133" s="76">
        <v>0</v>
      </c>
      <c r="CH133" s="76">
        <v>0</v>
      </c>
      <c r="CI133" s="76">
        <v>60401</v>
      </c>
      <c r="CJ133" s="76">
        <v>2183</v>
      </c>
      <c r="CK133" s="76">
        <v>2237</v>
      </c>
      <c r="CL133" s="76">
        <v>0</v>
      </c>
      <c r="CM133" s="76">
        <v>-54</v>
      </c>
      <c r="CN133" s="76">
        <v>2777</v>
      </c>
      <c r="CO133" s="76">
        <v>0</v>
      </c>
      <c r="CP133" s="76">
        <v>3771</v>
      </c>
      <c r="CQ133" s="76">
        <v>-994</v>
      </c>
      <c r="CR133" s="76">
        <v>0</v>
      </c>
      <c r="CS133" s="76">
        <v>0</v>
      </c>
      <c r="CT133" s="76">
        <v>0</v>
      </c>
      <c r="CU133" s="76">
        <v>0</v>
      </c>
      <c r="CV133" s="76">
        <v>0</v>
      </c>
      <c r="CW133" s="76">
        <v>0</v>
      </c>
      <c r="CX133" s="76">
        <v>0</v>
      </c>
      <c r="CY133" s="76">
        <v>0</v>
      </c>
      <c r="CZ133" s="76">
        <v>126</v>
      </c>
      <c r="DA133" s="76">
        <v>0</v>
      </c>
      <c r="DB133" s="76">
        <v>77</v>
      </c>
      <c r="DC133" s="76">
        <v>49</v>
      </c>
      <c r="DD133" s="76">
        <v>5086</v>
      </c>
      <c r="DE133" s="76">
        <v>2237</v>
      </c>
      <c r="DF133" s="76">
        <v>3848</v>
      </c>
      <c r="DG133" s="76">
        <v>-999</v>
      </c>
      <c r="DH133" s="76">
        <v>0</v>
      </c>
      <c r="DI133" s="76">
        <v>0</v>
      </c>
      <c r="DJ133" s="76">
        <v>0</v>
      </c>
      <c r="DK133" s="76">
        <v>0</v>
      </c>
      <c r="DL133" s="76">
        <v>0</v>
      </c>
      <c r="DM133" s="76">
        <v>0</v>
      </c>
      <c r="DN133" s="76">
        <v>0</v>
      </c>
      <c r="DO133" s="76">
        <v>0</v>
      </c>
      <c r="DP133" s="76">
        <v>0</v>
      </c>
      <c r="DQ133" s="76">
        <v>0</v>
      </c>
      <c r="DR133" s="76">
        <v>0</v>
      </c>
      <c r="DS133" s="76">
        <v>0</v>
      </c>
      <c r="DT133" s="76">
        <v>0</v>
      </c>
      <c r="DU133" s="76">
        <v>0</v>
      </c>
      <c r="DV133" s="76">
        <v>0</v>
      </c>
      <c r="DW133" s="76">
        <v>0</v>
      </c>
      <c r="DX133" s="76">
        <v>0</v>
      </c>
      <c r="DY133" s="76">
        <v>0</v>
      </c>
      <c r="DZ133" s="76">
        <v>0</v>
      </c>
      <c r="EA133" s="76">
        <v>0</v>
      </c>
      <c r="EB133" s="76">
        <v>4360</v>
      </c>
      <c r="EC133" s="76">
        <v>0</v>
      </c>
      <c r="ED133" s="76">
        <v>4640</v>
      </c>
      <c r="EE133" s="76">
        <v>-280</v>
      </c>
      <c r="EF133" s="76">
        <v>4360</v>
      </c>
      <c r="EG133" s="76">
        <v>0</v>
      </c>
      <c r="EH133" s="76">
        <v>4640</v>
      </c>
      <c r="EI133" s="76">
        <v>-280</v>
      </c>
      <c r="EJ133" s="76">
        <v>9446</v>
      </c>
      <c r="EK133" s="76">
        <v>2237</v>
      </c>
      <c r="EL133" s="76">
        <v>8488</v>
      </c>
      <c r="EM133" s="76">
        <v>-1279</v>
      </c>
      <c r="EN133" s="76">
        <v>1150</v>
      </c>
      <c r="EO133" s="76">
        <v>830</v>
      </c>
      <c r="EP133" s="76">
        <v>372</v>
      </c>
      <c r="EQ133" s="76">
        <v>712</v>
      </c>
      <c r="ER133" s="76">
        <v>106534</v>
      </c>
      <c r="ES133" s="76">
        <v>0</v>
      </c>
      <c r="ET133" s="76">
        <v>106534</v>
      </c>
      <c r="EU133" s="76">
        <v>9760</v>
      </c>
      <c r="EV133" s="76">
        <v>-749</v>
      </c>
      <c r="EW133" s="76">
        <v>0</v>
      </c>
      <c r="EX133" s="76">
        <v>0</v>
      </c>
      <c r="EY133" s="76">
        <v>0</v>
      </c>
      <c r="EZ133" s="76">
        <v>115545</v>
      </c>
      <c r="FA133" s="76">
        <v>13216</v>
      </c>
      <c r="FB133" s="76">
        <v>2745</v>
      </c>
      <c r="FC133" s="76">
        <v>852</v>
      </c>
      <c r="FD133" s="76">
        <v>0</v>
      </c>
      <c r="FE133" s="76">
        <v>-106</v>
      </c>
      <c r="FF133" s="76">
        <v>0</v>
      </c>
      <c r="FG133" s="76">
        <v>0</v>
      </c>
      <c r="FH133" s="76">
        <v>16707</v>
      </c>
      <c r="FI133" s="76">
        <v>98838</v>
      </c>
      <c r="FJ133" s="76">
        <v>93318</v>
      </c>
      <c r="FK133" s="76">
        <v>32</v>
      </c>
      <c r="FL133" s="76">
        <v>3</v>
      </c>
      <c r="FM133" s="76">
        <v>29</v>
      </c>
      <c r="FN133" s="76">
        <v>802</v>
      </c>
      <c r="FO133" s="76">
        <v>560</v>
      </c>
      <c r="FP133" s="76">
        <v>242</v>
      </c>
      <c r="FQ133" s="76">
        <v>0</v>
      </c>
      <c r="FR133" s="76">
        <v>0</v>
      </c>
      <c r="FS133" s="76">
        <v>0</v>
      </c>
      <c r="FT133" s="76">
        <v>0</v>
      </c>
      <c r="FU133" s="76">
        <v>0</v>
      </c>
      <c r="FV133" s="76">
        <v>0</v>
      </c>
      <c r="FW133" s="76">
        <v>0</v>
      </c>
      <c r="FX133" s="76">
        <v>0</v>
      </c>
      <c r="FY133" s="76">
        <v>0</v>
      </c>
      <c r="FZ133" s="76">
        <v>10</v>
      </c>
      <c r="GA133" s="76">
        <v>1</v>
      </c>
      <c r="GB133" s="76">
        <v>9</v>
      </c>
      <c r="GC133" s="76">
        <v>844</v>
      </c>
      <c r="GD133" s="76">
        <v>564</v>
      </c>
      <c r="GE133" s="76">
        <v>280</v>
      </c>
      <c r="GF133" s="76">
        <v>0</v>
      </c>
      <c r="GG133" s="76">
        <v>0</v>
      </c>
      <c r="GH133" s="76">
        <v>0</v>
      </c>
      <c r="GI133" s="76">
        <v>0</v>
      </c>
      <c r="GJ133" s="76">
        <v>0</v>
      </c>
      <c r="GK133" s="76">
        <v>91</v>
      </c>
      <c r="GL133" s="76">
        <v>91</v>
      </c>
      <c r="GM133" s="76">
        <v>89</v>
      </c>
      <c r="GN133" s="76">
        <v>466</v>
      </c>
      <c r="GO133" s="76">
        <v>0</v>
      </c>
      <c r="GP133" s="76">
        <v>0</v>
      </c>
      <c r="GQ133" s="76">
        <v>0</v>
      </c>
      <c r="GR133" s="76">
        <v>3695</v>
      </c>
      <c r="GS133" s="76">
        <v>24</v>
      </c>
      <c r="GT133" s="76">
        <v>0</v>
      </c>
      <c r="GU133" s="76">
        <v>0</v>
      </c>
      <c r="GV133" s="76">
        <v>0</v>
      </c>
      <c r="GW133" s="76">
        <v>2184</v>
      </c>
      <c r="GX133" s="76">
        <v>6458</v>
      </c>
      <c r="GY133" s="76">
        <v>16</v>
      </c>
      <c r="GZ133" s="76">
        <v>153</v>
      </c>
      <c r="HA133" s="76">
        <v>0</v>
      </c>
      <c r="HB133" s="76">
        <v>0</v>
      </c>
      <c r="HC133" s="76">
        <v>169</v>
      </c>
      <c r="HD133" s="76">
        <v>0</v>
      </c>
      <c r="HE133" s="76">
        <v>9402</v>
      </c>
      <c r="HF133" s="76">
        <v>9402</v>
      </c>
      <c r="HG133" s="76">
        <v>1482</v>
      </c>
      <c r="HH133" s="76">
        <v>0</v>
      </c>
      <c r="HI133" s="76">
        <v>230</v>
      </c>
      <c r="HJ133" s="76">
        <v>0</v>
      </c>
      <c r="HK133" s="76">
        <v>0</v>
      </c>
      <c r="HL133" s="76">
        <v>-70</v>
      </c>
      <c r="HM133" s="76">
        <v>1642</v>
      </c>
      <c r="HN133" s="76">
        <v>3464</v>
      </c>
      <c r="HO133" s="76">
        <v>4391</v>
      </c>
      <c r="HP133" s="76">
        <v>852</v>
      </c>
      <c r="HQ133" s="76">
        <v>81</v>
      </c>
      <c r="HR133" s="76">
        <v>-24</v>
      </c>
      <c r="HS133" s="76">
        <v>0</v>
      </c>
      <c r="HT133" s="76">
        <v>6424</v>
      </c>
      <c r="HU133" s="76">
        <v>2</v>
      </c>
      <c r="HV133" s="76">
        <v>0</v>
      </c>
      <c r="HW133" s="76">
        <v>4</v>
      </c>
      <c r="HX133" s="76">
        <v>504</v>
      </c>
    </row>
    <row r="134" spans="1:232" x14ac:dyDescent="0.2">
      <c r="A134" s="74" t="s">
        <v>558</v>
      </c>
      <c r="B134" s="74" t="s">
        <v>559</v>
      </c>
      <c r="C134" s="75" t="s">
        <v>200</v>
      </c>
      <c r="D134" s="75">
        <v>12</v>
      </c>
      <c r="E134" s="76">
        <v>36236</v>
      </c>
      <c r="F134" s="76">
        <v>-12832</v>
      </c>
      <c r="G134" s="76">
        <v>-11349</v>
      </c>
      <c r="H134" s="76">
        <v>12055</v>
      </c>
      <c r="I134" s="76">
        <v>1166</v>
      </c>
      <c r="J134" s="76">
        <v>0</v>
      </c>
      <c r="K134" s="76">
        <v>0</v>
      </c>
      <c r="L134" s="76">
        <v>9</v>
      </c>
      <c r="M134" s="76">
        <v>6</v>
      </c>
      <c r="N134" s="76">
        <v>-7334</v>
      </c>
      <c r="O134" s="76">
        <v>0</v>
      </c>
      <c r="P134" s="76">
        <v>0</v>
      </c>
      <c r="Q134" s="76">
        <v>0</v>
      </c>
      <c r="R134" s="76">
        <v>0</v>
      </c>
      <c r="S134" s="76">
        <v>5902</v>
      </c>
      <c r="T134" s="76">
        <v>-540</v>
      </c>
      <c r="U134" s="76">
        <v>5362</v>
      </c>
      <c r="V134" s="76">
        <v>0</v>
      </c>
      <c r="W134" s="76">
        <v>-320</v>
      </c>
      <c r="X134" s="76">
        <v>0</v>
      </c>
      <c r="Y134" s="76">
        <v>0</v>
      </c>
      <c r="Z134" s="76">
        <v>5042</v>
      </c>
      <c r="AA134" s="76">
        <v>18676</v>
      </c>
      <c r="AB134" s="76">
        <v>761</v>
      </c>
      <c r="AC134" s="76">
        <v>19437</v>
      </c>
      <c r="AD134" s="76">
        <v>524</v>
      </c>
      <c r="AE134" s="76">
        <v>0</v>
      </c>
      <c r="AF134" s="76">
        <v>0</v>
      </c>
      <c r="AG134" s="76">
        <v>0</v>
      </c>
      <c r="AH134" s="76">
        <v>19961</v>
      </c>
      <c r="AI134" s="76">
        <v>3926</v>
      </c>
      <c r="AJ134" s="76">
        <v>657</v>
      </c>
      <c r="AK134" s="76">
        <v>2084</v>
      </c>
      <c r="AL134" s="76">
        <v>780</v>
      </c>
      <c r="AM134" s="76">
        <v>185</v>
      </c>
      <c r="AN134" s="76">
        <v>173</v>
      </c>
      <c r="AO134" s="76">
        <v>3544</v>
      </c>
      <c r="AP134" s="76">
        <v>0</v>
      </c>
      <c r="AQ134" s="76">
        <v>0</v>
      </c>
      <c r="AR134" s="76">
        <v>11349</v>
      </c>
      <c r="AS134" s="76">
        <v>8612</v>
      </c>
      <c r="AT134" s="76">
        <v>173</v>
      </c>
      <c r="AU134" s="76">
        <v>189628</v>
      </c>
      <c r="AV134" s="76">
        <v>0</v>
      </c>
      <c r="AW134" s="76">
        <v>3994</v>
      </c>
      <c r="AX134" s="76">
        <v>0</v>
      </c>
      <c r="AY134" s="76">
        <v>0</v>
      </c>
      <c r="AZ134" s="76">
        <v>0</v>
      </c>
      <c r="BA134" s="76">
        <v>108</v>
      </c>
      <c r="BB134" s="76">
        <v>0</v>
      </c>
      <c r="BC134" s="76">
        <v>0</v>
      </c>
      <c r="BD134" s="76">
        <v>0</v>
      </c>
      <c r="BE134" s="76">
        <v>193730</v>
      </c>
      <c r="BF134" s="76">
        <v>7089</v>
      </c>
      <c r="BG134" s="76">
        <v>1884</v>
      </c>
      <c r="BH134" s="76">
        <v>23153</v>
      </c>
      <c r="BI134" s="76">
        <v>0</v>
      </c>
      <c r="BJ134" s="76">
        <v>2369</v>
      </c>
      <c r="BK134" s="76">
        <v>34495</v>
      </c>
      <c r="BL134" s="76">
        <v>0</v>
      </c>
      <c r="BM134" s="76">
        <v>0</v>
      </c>
      <c r="BN134" s="76">
        <v>523</v>
      </c>
      <c r="BO134" s="76">
        <v>6064</v>
      </c>
      <c r="BP134" s="76">
        <v>6587</v>
      </c>
      <c r="BQ134" s="76">
        <v>27908</v>
      </c>
      <c r="BR134" s="76">
        <v>221638</v>
      </c>
      <c r="BS134" s="76">
        <v>149358</v>
      </c>
      <c r="BT134" s="76">
        <v>0</v>
      </c>
      <c r="BU134" s="76">
        <v>0</v>
      </c>
      <c r="BV134" s="76">
        <v>44911</v>
      </c>
      <c r="BW134" s="76">
        <v>0</v>
      </c>
      <c r="BX134" s="76">
        <v>0</v>
      </c>
      <c r="BY134" s="76">
        <v>0</v>
      </c>
      <c r="BZ134" s="76">
        <v>194269</v>
      </c>
      <c r="CA134" s="76">
        <v>2930</v>
      </c>
      <c r="CB134" s="76">
        <v>0</v>
      </c>
      <c r="CC134" s="76">
        <v>24439</v>
      </c>
      <c r="CD134" s="76">
        <v>24439</v>
      </c>
      <c r="CE134" s="76">
        <v>0</v>
      </c>
      <c r="CF134" s="76">
        <v>0</v>
      </c>
      <c r="CG134" s="76">
        <v>0</v>
      </c>
      <c r="CH134" s="76">
        <v>0</v>
      </c>
      <c r="CI134" s="76">
        <v>24439</v>
      </c>
      <c r="CJ134" s="76">
        <v>4333</v>
      </c>
      <c r="CK134" s="76">
        <v>3650</v>
      </c>
      <c r="CL134" s="76">
        <v>0</v>
      </c>
      <c r="CM134" s="76">
        <v>683</v>
      </c>
      <c r="CN134" s="76">
        <v>0</v>
      </c>
      <c r="CO134" s="76">
        <v>0</v>
      </c>
      <c r="CP134" s="76">
        <v>0</v>
      </c>
      <c r="CQ134" s="76">
        <v>0</v>
      </c>
      <c r="CR134" s="76">
        <v>0</v>
      </c>
      <c r="CS134" s="76">
        <v>0</v>
      </c>
      <c r="CT134" s="76">
        <v>0</v>
      </c>
      <c r="CU134" s="76">
        <v>0</v>
      </c>
      <c r="CV134" s="76">
        <v>0</v>
      </c>
      <c r="CW134" s="76">
        <v>0</v>
      </c>
      <c r="CX134" s="76">
        <v>0</v>
      </c>
      <c r="CY134" s="76">
        <v>0</v>
      </c>
      <c r="CZ134" s="76">
        <v>0</v>
      </c>
      <c r="DA134" s="76">
        <v>0</v>
      </c>
      <c r="DB134" s="76">
        <v>0</v>
      </c>
      <c r="DC134" s="76">
        <v>0</v>
      </c>
      <c r="DD134" s="76">
        <v>4333</v>
      </c>
      <c r="DE134" s="76">
        <v>3650</v>
      </c>
      <c r="DF134" s="76">
        <v>0</v>
      </c>
      <c r="DG134" s="76">
        <v>683</v>
      </c>
      <c r="DH134" s="76">
        <v>0</v>
      </c>
      <c r="DI134" s="76">
        <v>0</v>
      </c>
      <c r="DJ134" s="76">
        <v>0</v>
      </c>
      <c r="DK134" s="76">
        <v>0</v>
      </c>
      <c r="DL134" s="76">
        <v>0</v>
      </c>
      <c r="DM134" s="76">
        <v>0</v>
      </c>
      <c r="DN134" s="76">
        <v>0</v>
      </c>
      <c r="DO134" s="76">
        <v>0</v>
      </c>
      <c r="DP134" s="76">
        <v>0</v>
      </c>
      <c r="DQ134" s="76">
        <v>0</v>
      </c>
      <c r="DR134" s="76">
        <v>0</v>
      </c>
      <c r="DS134" s="76">
        <v>0</v>
      </c>
      <c r="DT134" s="76">
        <v>0</v>
      </c>
      <c r="DU134" s="76">
        <v>0</v>
      </c>
      <c r="DV134" s="76">
        <v>0</v>
      </c>
      <c r="DW134" s="76">
        <v>0</v>
      </c>
      <c r="DX134" s="76">
        <v>0</v>
      </c>
      <c r="DY134" s="76">
        <v>0</v>
      </c>
      <c r="DZ134" s="76">
        <v>0</v>
      </c>
      <c r="EA134" s="76">
        <v>0</v>
      </c>
      <c r="EB134" s="76">
        <v>11942</v>
      </c>
      <c r="EC134" s="76">
        <v>9182</v>
      </c>
      <c r="ED134" s="76">
        <v>0</v>
      </c>
      <c r="EE134" s="76">
        <v>2760</v>
      </c>
      <c r="EF134" s="76">
        <v>11942</v>
      </c>
      <c r="EG134" s="76">
        <v>9182</v>
      </c>
      <c r="EH134" s="76">
        <v>0</v>
      </c>
      <c r="EI134" s="76">
        <v>2760</v>
      </c>
      <c r="EJ134" s="76">
        <v>16275</v>
      </c>
      <c r="EK134" s="76">
        <v>12832</v>
      </c>
      <c r="EL134" s="76">
        <v>0</v>
      </c>
      <c r="EM134" s="76">
        <v>3443</v>
      </c>
      <c r="EN134" s="76">
        <v>709</v>
      </c>
      <c r="EO134" s="76">
        <v>280</v>
      </c>
      <c r="EP134" s="76">
        <v>213</v>
      </c>
      <c r="EQ134" s="76">
        <v>240</v>
      </c>
      <c r="ER134" s="76">
        <v>207503</v>
      </c>
      <c r="ES134" s="76">
        <v>0</v>
      </c>
      <c r="ET134" s="76">
        <v>207503</v>
      </c>
      <c r="EU134" s="76">
        <v>13977</v>
      </c>
      <c r="EV134" s="76">
        <v>-1057</v>
      </c>
      <c r="EW134" s="76">
        <v>0</v>
      </c>
      <c r="EX134" s="76">
        <v>0</v>
      </c>
      <c r="EY134" s="76">
        <v>0</v>
      </c>
      <c r="EZ134" s="76">
        <v>220423</v>
      </c>
      <c r="FA134" s="76">
        <v>27385</v>
      </c>
      <c r="FB134" s="76">
        <v>3545</v>
      </c>
      <c r="FC134" s="76">
        <v>0</v>
      </c>
      <c r="FD134" s="76">
        <v>0</v>
      </c>
      <c r="FE134" s="76">
        <v>-135</v>
      </c>
      <c r="FF134" s="76">
        <v>0</v>
      </c>
      <c r="FG134" s="76">
        <v>0</v>
      </c>
      <c r="FH134" s="76">
        <v>30795</v>
      </c>
      <c r="FI134" s="76">
        <v>189628</v>
      </c>
      <c r="FJ134" s="76">
        <v>180118</v>
      </c>
      <c r="FK134" s="76">
        <v>328</v>
      </c>
      <c r="FL134" s="76">
        <v>227</v>
      </c>
      <c r="FM134" s="76">
        <v>101</v>
      </c>
      <c r="FN134" s="76">
        <v>586</v>
      </c>
      <c r="FO134" s="76">
        <v>597</v>
      </c>
      <c r="FP134" s="76">
        <v>-11</v>
      </c>
      <c r="FQ134" s="76">
        <v>140</v>
      </c>
      <c r="FR134" s="76">
        <v>28</v>
      </c>
      <c r="FS134" s="76">
        <v>112</v>
      </c>
      <c r="FT134" s="76">
        <v>1298</v>
      </c>
      <c r="FU134" s="76">
        <v>334</v>
      </c>
      <c r="FV134" s="76">
        <v>964</v>
      </c>
      <c r="FW134" s="76">
        <v>0</v>
      </c>
      <c r="FX134" s="76">
        <v>0</v>
      </c>
      <c r="FY134" s="76">
        <v>0</v>
      </c>
      <c r="FZ134" s="76">
        <v>0</v>
      </c>
      <c r="GA134" s="76">
        <v>0</v>
      </c>
      <c r="GB134" s="76">
        <v>0</v>
      </c>
      <c r="GC134" s="76">
        <v>2352</v>
      </c>
      <c r="GD134" s="76">
        <v>1186</v>
      </c>
      <c r="GE134" s="76">
        <v>1166</v>
      </c>
      <c r="GF134" s="76">
        <v>0</v>
      </c>
      <c r="GG134" s="76">
        <v>0</v>
      </c>
      <c r="GH134" s="76">
        <v>0</v>
      </c>
      <c r="GI134" s="76">
        <v>0</v>
      </c>
      <c r="GJ134" s="76">
        <v>0</v>
      </c>
      <c r="GK134" s="76">
        <v>2369</v>
      </c>
      <c r="GL134" s="76">
        <v>2369</v>
      </c>
      <c r="GM134" s="76">
        <v>945</v>
      </c>
      <c r="GN134" s="76">
        <v>272</v>
      </c>
      <c r="GO134" s="76">
        <v>0</v>
      </c>
      <c r="GP134" s="76">
        <v>0</v>
      </c>
      <c r="GQ134" s="76">
        <v>0</v>
      </c>
      <c r="GR134" s="76">
        <v>3089</v>
      </c>
      <c r="GS134" s="76">
        <v>0</v>
      </c>
      <c r="GT134" s="76">
        <v>0</v>
      </c>
      <c r="GU134" s="76">
        <v>0</v>
      </c>
      <c r="GV134" s="76">
        <v>0</v>
      </c>
      <c r="GW134" s="76">
        <v>1758</v>
      </c>
      <c r="GX134" s="76">
        <v>6064</v>
      </c>
      <c r="GY134" s="76">
        <v>0</v>
      </c>
      <c r="GZ134" s="76">
        <v>0</v>
      </c>
      <c r="HA134" s="76">
        <v>0</v>
      </c>
      <c r="HB134" s="76">
        <v>0</v>
      </c>
      <c r="HC134" s="76">
        <v>0</v>
      </c>
      <c r="HD134" s="76">
        <v>0</v>
      </c>
      <c r="HE134" s="76">
        <v>0</v>
      </c>
      <c r="HF134" s="76">
        <v>0</v>
      </c>
      <c r="HG134" s="76">
        <v>93</v>
      </c>
      <c r="HH134" s="76">
        <v>0</v>
      </c>
      <c r="HI134" s="76">
        <v>0</v>
      </c>
      <c r="HJ134" s="76">
        <v>0</v>
      </c>
      <c r="HK134" s="76">
        <v>7727</v>
      </c>
      <c r="HL134" s="76">
        <v>-486</v>
      </c>
      <c r="HM134" s="76">
        <v>7334</v>
      </c>
      <c r="HN134" s="76">
        <v>1246</v>
      </c>
      <c r="HO134" s="76">
        <v>3545</v>
      </c>
      <c r="HP134" s="76">
        <v>0</v>
      </c>
      <c r="HQ134" s="76">
        <v>108</v>
      </c>
      <c r="HR134" s="76">
        <v>-18</v>
      </c>
      <c r="HS134" s="76">
        <v>0</v>
      </c>
      <c r="HT134" s="76">
        <v>4515</v>
      </c>
      <c r="HU134" s="76">
        <v>0</v>
      </c>
      <c r="HV134" s="76">
        <v>0</v>
      </c>
      <c r="HW134" s="76">
        <v>0</v>
      </c>
      <c r="HX134" s="76">
        <v>0</v>
      </c>
    </row>
    <row r="135" spans="1:232" x14ac:dyDescent="0.2">
      <c r="A135" s="74" t="s">
        <v>564</v>
      </c>
      <c r="B135" s="74" t="s">
        <v>563</v>
      </c>
      <c r="C135" s="75" t="s">
        <v>200</v>
      </c>
      <c r="D135" s="75">
        <v>12</v>
      </c>
      <c r="E135" s="76">
        <v>44768</v>
      </c>
      <c r="F135" s="76">
        <v>-1548</v>
      </c>
      <c r="G135" s="76">
        <v>-33002</v>
      </c>
      <c r="H135" s="76">
        <v>10218</v>
      </c>
      <c r="I135" s="76">
        <v>1621</v>
      </c>
      <c r="J135" s="76">
        <v>0</v>
      </c>
      <c r="K135" s="76">
        <v>2558</v>
      </c>
      <c r="L135" s="76">
        <v>0</v>
      </c>
      <c r="M135" s="76">
        <v>45</v>
      </c>
      <c r="N135" s="76">
        <v>-4758</v>
      </c>
      <c r="O135" s="76">
        <v>2498</v>
      </c>
      <c r="P135" s="76">
        <v>-40</v>
      </c>
      <c r="Q135" s="76">
        <v>0</v>
      </c>
      <c r="R135" s="76">
        <v>0</v>
      </c>
      <c r="S135" s="76">
        <v>12142</v>
      </c>
      <c r="T135" s="76">
        <v>0</v>
      </c>
      <c r="U135" s="76">
        <v>12142</v>
      </c>
      <c r="V135" s="76">
        <v>0</v>
      </c>
      <c r="W135" s="76">
        <v>0</v>
      </c>
      <c r="X135" s="76">
        <v>-442</v>
      </c>
      <c r="Y135" s="76">
        <v>0</v>
      </c>
      <c r="Z135" s="76">
        <v>11700</v>
      </c>
      <c r="AA135" s="76">
        <v>28274</v>
      </c>
      <c r="AB135" s="76">
        <v>3191</v>
      </c>
      <c r="AC135" s="76">
        <v>31465</v>
      </c>
      <c r="AD135" s="76">
        <v>1950</v>
      </c>
      <c r="AE135" s="76">
        <v>0</v>
      </c>
      <c r="AF135" s="76">
        <v>2512</v>
      </c>
      <c r="AG135" s="76">
        <v>0</v>
      </c>
      <c r="AH135" s="76">
        <v>35927</v>
      </c>
      <c r="AI135" s="76">
        <v>5539</v>
      </c>
      <c r="AJ135" s="76">
        <v>3174</v>
      </c>
      <c r="AK135" s="76">
        <v>5519</v>
      </c>
      <c r="AL135" s="76">
        <v>3274</v>
      </c>
      <c r="AM135" s="76">
        <v>381</v>
      </c>
      <c r="AN135" s="76">
        <v>140</v>
      </c>
      <c r="AO135" s="76">
        <v>6060</v>
      </c>
      <c r="AP135" s="76">
        <v>0</v>
      </c>
      <c r="AQ135" s="76">
        <v>3223</v>
      </c>
      <c r="AR135" s="76">
        <v>27310</v>
      </c>
      <c r="AS135" s="76">
        <v>8617</v>
      </c>
      <c r="AT135" s="76">
        <v>238</v>
      </c>
      <c r="AU135" s="76">
        <v>447024</v>
      </c>
      <c r="AV135" s="76">
        <v>0</v>
      </c>
      <c r="AW135" s="76">
        <v>9986</v>
      </c>
      <c r="AX135" s="76">
        <v>0</v>
      </c>
      <c r="AY135" s="76">
        <v>0</v>
      </c>
      <c r="AZ135" s="76">
        <v>11050</v>
      </c>
      <c r="BA135" s="76">
        <v>0</v>
      </c>
      <c r="BB135" s="76">
        <v>0</v>
      </c>
      <c r="BC135" s="76">
        <v>0</v>
      </c>
      <c r="BD135" s="76">
        <v>1929</v>
      </c>
      <c r="BE135" s="76">
        <v>469989</v>
      </c>
      <c r="BF135" s="76">
        <v>18897</v>
      </c>
      <c r="BG135" s="76">
        <v>4700</v>
      </c>
      <c r="BH135" s="76">
        <v>14248</v>
      </c>
      <c r="BI135" s="76">
        <v>102</v>
      </c>
      <c r="BJ135" s="76">
        <v>21</v>
      </c>
      <c r="BK135" s="76">
        <v>37968</v>
      </c>
      <c r="BL135" s="76">
        <v>2658</v>
      </c>
      <c r="BM135" s="76">
        <v>0</v>
      </c>
      <c r="BN135" s="76">
        <v>2089</v>
      </c>
      <c r="BO135" s="76">
        <v>17126</v>
      </c>
      <c r="BP135" s="76">
        <v>21873</v>
      </c>
      <c r="BQ135" s="76">
        <v>16095</v>
      </c>
      <c r="BR135" s="76">
        <v>486084</v>
      </c>
      <c r="BS135" s="76">
        <v>165519</v>
      </c>
      <c r="BT135" s="76">
        <v>0</v>
      </c>
      <c r="BU135" s="76">
        <v>0</v>
      </c>
      <c r="BV135" s="76">
        <v>184845</v>
      </c>
      <c r="BW135" s="76">
        <v>0</v>
      </c>
      <c r="BX135" s="76">
        <v>4303</v>
      </c>
      <c r="BY135" s="76">
        <v>3524</v>
      </c>
      <c r="BZ135" s="76">
        <v>358191</v>
      </c>
      <c r="CA135" s="76">
        <v>0</v>
      </c>
      <c r="CB135" s="76">
        <v>0</v>
      </c>
      <c r="CC135" s="76">
        <v>127893</v>
      </c>
      <c r="CD135" s="76">
        <v>132156</v>
      </c>
      <c r="CE135" s="76">
        <v>0</v>
      </c>
      <c r="CF135" s="76">
        <v>0</v>
      </c>
      <c r="CG135" s="76">
        <v>-4263</v>
      </c>
      <c r="CH135" s="76">
        <v>0</v>
      </c>
      <c r="CI135" s="76">
        <v>127893</v>
      </c>
      <c r="CJ135" s="76">
        <v>2966</v>
      </c>
      <c r="CK135" s="76">
        <v>1538</v>
      </c>
      <c r="CL135" s="76">
        <v>0</v>
      </c>
      <c r="CM135" s="76">
        <v>1428</v>
      </c>
      <c r="CN135" s="76">
        <v>63</v>
      </c>
      <c r="CO135" s="76">
        <v>0</v>
      </c>
      <c r="CP135" s="76">
        <v>128</v>
      </c>
      <c r="CQ135" s="76">
        <v>-65</v>
      </c>
      <c r="CR135" s="76">
        <v>0</v>
      </c>
      <c r="CS135" s="76">
        <v>0</v>
      </c>
      <c r="CT135" s="76">
        <v>0</v>
      </c>
      <c r="CU135" s="76">
        <v>0</v>
      </c>
      <c r="CV135" s="76">
        <v>0</v>
      </c>
      <c r="CW135" s="76">
        <v>0</v>
      </c>
      <c r="CX135" s="76">
        <v>0</v>
      </c>
      <c r="CY135" s="76">
        <v>0</v>
      </c>
      <c r="CZ135" s="76">
        <v>1715</v>
      </c>
      <c r="DA135" s="76">
        <v>0</v>
      </c>
      <c r="DB135" s="76">
        <v>1891</v>
      </c>
      <c r="DC135" s="76">
        <v>-176</v>
      </c>
      <c r="DD135" s="76">
        <v>4744</v>
      </c>
      <c r="DE135" s="76">
        <v>1538</v>
      </c>
      <c r="DF135" s="76">
        <v>2019</v>
      </c>
      <c r="DG135" s="76">
        <v>1187</v>
      </c>
      <c r="DH135" s="76">
        <v>0</v>
      </c>
      <c r="DI135" s="76">
        <v>0</v>
      </c>
      <c r="DJ135" s="76">
        <v>0</v>
      </c>
      <c r="DK135" s="76">
        <v>0</v>
      </c>
      <c r="DL135" s="76">
        <v>0</v>
      </c>
      <c r="DM135" s="76">
        <v>0</v>
      </c>
      <c r="DN135" s="76">
        <v>0</v>
      </c>
      <c r="DO135" s="76">
        <v>0</v>
      </c>
      <c r="DP135" s="76">
        <v>0</v>
      </c>
      <c r="DQ135" s="76">
        <v>0</v>
      </c>
      <c r="DR135" s="76">
        <v>0</v>
      </c>
      <c r="DS135" s="76">
        <v>0</v>
      </c>
      <c r="DT135" s="76">
        <v>114</v>
      </c>
      <c r="DU135" s="76">
        <v>0</v>
      </c>
      <c r="DV135" s="76">
        <v>13</v>
      </c>
      <c r="DW135" s="76">
        <v>101</v>
      </c>
      <c r="DX135" s="76">
        <v>0</v>
      </c>
      <c r="DY135" s="76">
        <v>0</v>
      </c>
      <c r="DZ135" s="76">
        <v>0</v>
      </c>
      <c r="EA135" s="76">
        <v>0</v>
      </c>
      <c r="EB135" s="76">
        <v>3983</v>
      </c>
      <c r="EC135" s="76">
        <v>10</v>
      </c>
      <c r="ED135" s="76">
        <v>3660</v>
      </c>
      <c r="EE135" s="76">
        <v>313</v>
      </c>
      <c r="EF135" s="76">
        <v>4097</v>
      </c>
      <c r="EG135" s="76">
        <v>10</v>
      </c>
      <c r="EH135" s="76">
        <v>3673</v>
      </c>
      <c r="EI135" s="76">
        <v>414</v>
      </c>
      <c r="EJ135" s="76">
        <v>8841</v>
      </c>
      <c r="EK135" s="76">
        <v>1548</v>
      </c>
      <c r="EL135" s="76">
        <v>5692</v>
      </c>
      <c r="EM135" s="76">
        <v>1601</v>
      </c>
      <c r="EN135" s="76">
        <v>1105</v>
      </c>
      <c r="EO135" s="76">
        <v>233</v>
      </c>
      <c r="EP135" s="76">
        <v>311</v>
      </c>
      <c r="EQ135" s="76">
        <v>233</v>
      </c>
      <c r="ER135" s="76">
        <v>480397</v>
      </c>
      <c r="ES135" s="76">
        <v>0</v>
      </c>
      <c r="ET135" s="76">
        <v>480397</v>
      </c>
      <c r="EU135" s="76">
        <v>20009</v>
      </c>
      <c r="EV135" s="76">
        <v>-2442</v>
      </c>
      <c r="EW135" s="76">
        <v>0</v>
      </c>
      <c r="EX135" s="76">
        <v>561</v>
      </c>
      <c r="EY135" s="76">
        <v>0</v>
      </c>
      <c r="EZ135" s="76">
        <v>498525</v>
      </c>
      <c r="FA135" s="76">
        <v>46088</v>
      </c>
      <c r="FB135" s="76">
        <v>5977</v>
      </c>
      <c r="FC135" s="76">
        <v>0</v>
      </c>
      <c r="FD135" s="76">
        <v>0</v>
      </c>
      <c r="FE135" s="76">
        <v>-564</v>
      </c>
      <c r="FF135" s="76">
        <v>0</v>
      </c>
      <c r="FG135" s="76">
        <v>0</v>
      </c>
      <c r="FH135" s="76">
        <v>51501</v>
      </c>
      <c r="FI135" s="76">
        <v>447024</v>
      </c>
      <c r="FJ135" s="76">
        <v>434309</v>
      </c>
      <c r="FK135" s="76">
        <v>2925</v>
      </c>
      <c r="FL135" s="76">
        <v>1567</v>
      </c>
      <c r="FM135" s="76">
        <v>1358</v>
      </c>
      <c r="FN135" s="76">
        <v>0</v>
      </c>
      <c r="FO135" s="76">
        <v>0</v>
      </c>
      <c r="FP135" s="76">
        <v>0</v>
      </c>
      <c r="FQ135" s="76">
        <v>0</v>
      </c>
      <c r="FR135" s="76">
        <v>0</v>
      </c>
      <c r="FS135" s="76">
        <v>0</v>
      </c>
      <c r="FT135" s="76">
        <v>325</v>
      </c>
      <c r="FU135" s="76">
        <v>62</v>
      </c>
      <c r="FV135" s="76">
        <v>263</v>
      </c>
      <c r="FW135" s="76">
        <v>0</v>
      </c>
      <c r="FX135" s="76">
        <v>0</v>
      </c>
      <c r="FY135" s="76">
        <v>0</v>
      </c>
      <c r="FZ135" s="76">
        <v>0</v>
      </c>
      <c r="GA135" s="76">
        <v>0</v>
      </c>
      <c r="GB135" s="76">
        <v>0</v>
      </c>
      <c r="GC135" s="76">
        <v>3250</v>
      </c>
      <c r="GD135" s="76">
        <v>1629</v>
      </c>
      <c r="GE135" s="76">
        <v>1621</v>
      </c>
      <c r="GF135" s="76">
        <v>0</v>
      </c>
      <c r="GG135" s="76">
        <v>21</v>
      </c>
      <c r="GH135" s="76">
        <v>0</v>
      </c>
      <c r="GI135" s="76">
        <v>0</v>
      </c>
      <c r="GJ135" s="76">
        <v>0</v>
      </c>
      <c r="GK135" s="76">
        <v>0</v>
      </c>
      <c r="GL135" s="76">
        <v>21</v>
      </c>
      <c r="GM135" s="76">
        <v>7675</v>
      </c>
      <c r="GN135" s="76">
        <v>1688</v>
      </c>
      <c r="GO135" s="76">
        <v>0</v>
      </c>
      <c r="GP135" s="76">
        <v>1132</v>
      </c>
      <c r="GQ135" s="76">
        <v>0</v>
      </c>
      <c r="GR135" s="76">
        <v>3622</v>
      </c>
      <c r="GS135" s="76">
        <v>0</v>
      </c>
      <c r="GT135" s="76">
        <v>0</v>
      </c>
      <c r="GU135" s="76">
        <v>257</v>
      </c>
      <c r="GV135" s="76">
        <v>0</v>
      </c>
      <c r="GW135" s="76">
        <v>2752</v>
      </c>
      <c r="GX135" s="76">
        <v>17126</v>
      </c>
      <c r="GY135" s="76">
        <v>1683</v>
      </c>
      <c r="GZ135" s="76">
        <v>0</v>
      </c>
      <c r="HA135" s="76">
        <v>1841</v>
      </c>
      <c r="HB135" s="76">
        <v>0</v>
      </c>
      <c r="HC135" s="76">
        <v>3524</v>
      </c>
      <c r="HD135" s="76">
        <v>0</v>
      </c>
      <c r="HE135" s="76">
        <v>0</v>
      </c>
      <c r="HF135" s="76">
        <v>0</v>
      </c>
      <c r="HG135" s="76">
        <v>5503</v>
      </c>
      <c r="HH135" s="76">
        <v>0</v>
      </c>
      <c r="HI135" s="76">
        <v>0</v>
      </c>
      <c r="HJ135" s="76">
        <v>8</v>
      </c>
      <c r="HK135" s="76">
        <v>0</v>
      </c>
      <c r="HL135" s="76">
        <v>-753</v>
      </c>
      <c r="HM135" s="76">
        <v>4758</v>
      </c>
      <c r="HN135" s="76">
        <v>3629</v>
      </c>
      <c r="HO135" s="76">
        <v>6844</v>
      </c>
      <c r="HP135" s="76">
        <v>-5</v>
      </c>
      <c r="HQ135" s="76">
        <v>35</v>
      </c>
      <c r="HR135" s="76">
        <v>-6</v>
      </c>
      <c r="HS135" s="76">
        <v>29</v>
      </c>
      <c r="HT135" s="76">
        <v>4706</v>
      </c>
      <c r="HU135" s="76">
        <v>0</v>
      </c>
      <c r="HV135" s="76">
        <v>0</v>
      </c>
      <c r="HW135" s="76">
        <v>0</v>
      </c>
      <c r="HX135" s="76">
        <v>6</v>
      </c>
    </row>
    <row r="136" spans="1:232" x14ac:dyDescent="0.2">
      <c r="A136" s="74" t="s">
        <v>567</v>
      </c>
      <c r="B136" s="74" t="s">
        <v>568</v>
      </c>
      <c r="C136" s="75" t="s">
        <v>200</v>
      </c>
      <c r="D136" s="75">
        <v>12</v>
      </c>
      <c r="E136" s="76">
        <v>17385</v>
      </c>
      <c r="F136" s="76">
        <v>0</v>
      </c>
      <c r="G136" s="76">
        <v>-17000</v>
      </c>
      <c r="H136" s="76">
        <v>385</v>
      </c>
      <c r="I136" s="76">
        <v>0</v>
      </c>
      <c r="J136" s="76">
        <v>0</v>
      </c>
      <c r="K136" s="76">
        <v>0</v>
      </c>
      <c r="L136" s="76">
        <v>0</v>
      </c>
      <c r="M136" s="76">
        <v>0</v>
      </c>
      <c r="N136" s="76">
        <v>-10</v>
      </c>
      <c r="O136" s="76">
        <v>0</v>
      </c>
      <c r="P136" s="76">
        <v>0</v>
      </c>
      <c r="Q136" s="76">
        <v>0</v>
      </c>
      <c r="R136" s="76">
        <v>0</v>
      </c>
      <c r="S136" s="76">
        <v>375</v>
      </c>
      <c r="T136" s="76">
        <v>-79</v>
      </c>
      <c r="U136" s="76">
        <v>296</v>
      </c>
      <c r="V136" s="76">
        <v>0</v>
      </c>
      <c r="W136" s="76">
        <v>0</v>
      </c>
      <c r="X136" s="76">
        <v>0</v>
      </c>
      <c r="Y136" s="76">
        <v>0</v>
      </c>
      <c r="Z136" s="76">
        <v>296</v>
      </c>
      <c r="AA136" s="76">
        <v>17385</v>
      </c>
      <c r="AB136" s="76">
        <v>0</v>
      </c>
      <c r="AC136" s="76">
        <v>17385</v>
      </c>
      <c r="AD136" s="76">
        <v>0</v>
      </c>
      <c r="AE136" s="76">
        <v>0</v>
      </c>
      <c r="AF136" s="76">
        <v>0</v>
      </c>
      <c r="AG136" s="76">
        <v>0</v>
      </c>
      <c r="AH136" s="76">
        <v>17385</v>
      </c>
      <c r="AI136" s="76">
        <v>23</v>
      </c>
      <c r="AJ136" s="76">
        <v>0</v>
      </c>
      <c r="AK136" s="76">
        <v>0</v>
      </c>
      <c r="AL136" s="76">
        <v>0</v>
      </c>
      <c r="AM136" s="76">
        <v>0</v>
      </c>
      <c r="AN136" s="76">
        <v>0</v>
      </c>
      <c r="AO136" s="76">
        <v>31</v>
      </c>
      <c r="AP136" s="76">
        <v>0</v>
      </c>
      <c r="AQ136" s="76">
        <v>16946</v>
      </c>
      <c r="AR136" s="76">
        <v>17000</v>
      </c>
      <c r="AS136" s="76">
        <v>385</v>
      </c>
      <c r="AT136" s="76">
        <v>459</v>
      </c>
      <c r="AU136" s="76">
        <v>785</v>
      </c>
      <c r="AV136" s="76">
        <v>0</v>
      </c>
      <c r="AW136" s="76">
        <v>12</v>
      </c>
      <c r="AX136" s="76">
        <v>0</v>
      </c>
      <c r="AY136" s="76">
        <v>0</v>
      </c>
      <c r="AZ136" s="76">
        <v>0</v>
      </c>
      <c r="BA136" s="76">
        <v>0</v>
      </c>
      <c r="BB136" s="76">
        <v>0</v>
      </c>
      <c r="BC136" s="76">
        <v>0</v>
      </c>
      <c r="BD136" s="76">
        <v>0</v>
      </c>
      <c r="BE136" s="76">
        <v>797</v>
      </c>
      <c r="BF136" s="76">
        <v>0</v>
      </c>
      <c r="BG136" s="76">
        <v>2764</v>
      </c>
      <c r="BH136" s="76">
        <v>1042</v>
      </c>
      <c r="BI136" s="76">
        <v>0</v>
      </c>
      <c r="BJ136" s="76">
        <v>1299</v>
      </c>
      <c r="BK136" s="76">
        <v>5105</v>
      </c>
      <c r="BL136" s="76">
        <v>22</v>
      </c>
      <c r="BM136" s="76">
        <v>0</v>
      </c>
      <c r="BN136" s="76">
        <v>0</v>
      </c>
      <c r="BO136" s="76">
        <v>4737</v>
      </c>
      <c r="BP136" s="76">
        <v>4759</v>
      </c>
      <c r="BQ136" s="76">
        <v>346</v>
      </c>
      <c r="BR136" s="76">
        <v>1143</v>
      </c>
      <c r="BS136" s="76">
        <v>251</v>
      </c>
      <c r="BT136" s="76">
        <v>0</v>
      </c>
      <c r="BU136" s="76">
        <v>0</v>
      </c>
      <c r="BV136" s="76">
        <v>0</v>
      </c>
      <c r="BW136" s="76">
        <v>0</v>
      </c>
      <c r="BX136" s="76">
        <v>0</v>
      </c>
      <c r="BY136" s="76">
        <v>0</v>
      </c>
      <c r="BZ136" s="76">
        <v>251</v>
      </c>
      <c r="CA136" s="76">
        <v>0</v>
      </c>
      <c r="CB136" s="76">
        <v>0</v>
      </c>
      <c r="CC136" s="76">
        <v>892</v>
      </c>
      <c r="CD136" s="76">
        <v>893</v>
      </c>
      <c r="CE136" s="76">
        <v>0</v>
      </c>
      <c r="CF136" s="76">
        <v>0</v>
      </c>
      <c r="CG136" s="76">
        <v>0</v>
      </c>
      <c r="CH136" s="76">
        <v>0</v>
      </c>
      <c r="CI136" s="76">
        <v>893</v>
      </c>
      <c r="CJ136" s="76">
        <v>0</v>
      </c>
      <c r="CK136" s="76">
        <v>0</v>
      </c>
      <c r="CL136" s="76">
        <v>0</v>
      </c>
      <c r="CM136" s="76">
        <v>0</v>
      </c>
      <c r="CN136" s="76">
        <v>0</v>
      </c>
      <c r="CO136" s="76">
        <v>0</v>
      </c>
      <c r="CP136" s="76">
        <v>0</v>
      </c>
      <c r="CQ136" s="76">
        <v>0</v>
      </c>
      <c r="CR136" s="76">
        <v>0</v>
      </c>
      <c r="CS136" s="76">
        <v>0</v>
      </c>
      <c r="CT136" s="76">
        <v>0</v>
      </c>
      <c r="CU136" s="76">
        <v>0</v>
      </c>
      <c r="CV136" s="76">
        <v>0</v>
      </c>
      <c r="CW136" s="76">
        <v>0</v>
      </c>
      <c r="CX136" s="76">
        <v>0</v>
      </c>
      <c r="CY136" s="76">
        <v>0</v>
      </c>
      <c r="CZ136" s="76">
        <v>0</v>
      </c>
      <c r="DA136" s="76">
        <v>0</v>
      </c>
      <c r="DB136" s="76">
        <v>0</v>
      </c>
      <c r="DC136" s="76">
        <v>0</v>
      </c>
      <c r="DD136" s="76">
        <v>0</v>
      </c>
      <c r="DE136" s="76">
        <v>0</v>
      </c>
      <c r="DF136" s="76">
        <v>0</v>
      </c>
      <c r="DG136" s="76">
        <v>0</v>
      </c>
      <c r="DH136" s="76">
        <v>0</v>
      </c>
      <c r="DI136" s="76">
        <v>0</v>
      </c>
      <c r="DJ136" s="76">
        <v>0</v>
      </c>
      <c r="DK136" s="76">
        <v>0</v>
      </c>
      <c r="DL136" s="76">
        <v>0</v>
      </c>
      <c r="DM136" s="76">
        <v>0</v>
      </c>
      <c r="DN136" s="76">
        <v>0</v>
      </c>
      <c r="DO136" s="76">
        <v>0</v>
      </c>
      <c r="DP136" s="76">
        <v>0</v>
      </c>
      <c r="DQ136" s="76">
        <v>0</v>
      </c>
      <c r="DR136" s="76">
        <v>0</v>
      </c>
      <c r="DS136" s="76">
        <v>0</v>
      </c>
      <c r="DT136" s="76">
        <v>0</v>
      </c>
      <c r="DU136" s="76">
        <v>0</v>
      </c>
      <c r="DV136" s="76">
        <v>0</v>
      </c>
      <c r="DW136" s="76">
        <v>0</v>
      </c>
      <c r="DX136" s="76">
        <v>0</v>
      </c>
      <c r="DY136" s="76">
        <v>0</v>
      </c>
      <c r="DZ136" s="76">
        <v>0</v>
      </c>
      <c r="EA136" s="76">
        <v>0</v>
      </c>
      <c r="EB136" s="76">
        <v>0</v>
      </c>
      <c r="EC136" s="76">
        <v>0</v>
      </c>
      <c r="ED136" s="76">
        <v>0</v>
      </c>
      <c r="EE136" s="76">
        <v>0</v>
      </c>
      <c r="EF136" s="76">
        <v>0</v>
      </c>
      <c r="EG136" s="76">
        <v>0</v>
      </c>
      <c r="EH136" s="76">
        <v>0</v>
      </c>
      <c r="EI136" s="76">
        <v>0</v>
      </c>
      <c r="EJ136" s="76">
        <v>0</v>
      </c>
      <c r="EK136" s="76">
        <v>0</v>
      </c>
      <c r="EL136" s="76">
        <v>0</v>
      </c>
      <c r="EM136" s="76">
        <v>0</v>
      </c>
      <c r="EN136" s="76">
        <v>674</v>
      </c>
      <c r="EO136" s="76">
        <v>1946</v>
      </c>
      <c r="EP136" s="76">
        <v>108</v>
      </c>
      <c r="EQ136" s="76">
        <v>1946</v>
      </c>
      <c r="ER136" s="76">
        <v>816</v>
      </c>
      <c r="ES136" s="76">
        <v>0</v>
      </c>
      <c r="ET136" s="76">
        <v>816</v>
      </c>
      <c r="EU136" s="76">
        <v>0</v>
      </c>
      <c r="EV136" s="76">
        <v>0</v>
      </c>
      <c r="EW136" s="76">
        <v>0</v>
      </c>
      <c r="EX136" s="76">
        <v>0</v>
      </c>
      <c r="EY136" s="76">
        <v>0</v>
      </c>
      <c r="EZ136" s="76">
        <v>816</v>
      </c>
      <c r="FA136" s="76">
        <v>0</v>
      </c>
      <c r="FB136" s="76">
        <v>31</v>
      </c>
      <c r="FC136" s="76">
        <v>0</v>
      </c>
      <c r="FD136" s="76">
        <v>0</v>
      </c>
      <c r="FE136" s="76">
        <v>0</v>
      </c>
      <c r="FF136" s="76">
        <v>0</v>
      </c>
      <c r="FG136" s="76">
        <v>0</v>
      </c>
      <c r="FH136" s="76">
        <v>31</v>
      </c>
      <c r="FI136" s="76">
        <v>785</v>
      </c>
      <c r="FJ136" s="76">
        <v>816</v>
      </c>
      <c r="FK136" s="76">
        <v>0</v>
      </c>
      <c r="FL136" s="76">
        <v>0</v>
      </c>
      <c r="FM136" s="76">
        <v>0</v>
      </c>
      <c r="FN136" s="76">
        <v>0</v>
      </c>
      <c r="FO136" s="76">
        <v>0</v>
      </c>
      <c r="FP136" s="76">
        <v>0</v>
      </c>
      <c r="FQ136" s="76">
        <v>0</v>
      </c>
      <c r="FR136" s="76">
        <v>0</v>
      </c>
      <c r="FS136" s="76">
        <v>0</v>
      </c>
      <c r="FT136" s="76">
        <v>0</v>
      </c>
      <c r="FU136" s="76">
        <v>0</v>
      </c>
      <c r="FV136" s="76">
        <v>0</v>
      </c>
      <c r="FW136" s="76">
        <v>0</v>
      </c>
      <c r="FX136" s="76">
        <v>0</v>
      </c>
      <c r="FY136" s="76">
        <v>0</v>
      </c>
      <c r="FZ136" s="76">
        <v>0</v>
      </c>
      <c r="GA136" s="76">
        <v>0</v>
      </c>
      <c r="GB136" s="76">
        <v>0</v>
      </c>
      <c r="GC136" s="76">
        <v>0</v>
      </c>
      <c r="GD136" s="76">
        <v>0</v>
      </c>
      <c r="GE136" s="76">
        <v>0</v>
      </c>
      <c r="GF136" s="76">
        <v>1258</v>
      </c>
      <c r="GG136" s="76">
        <v>0</v>
      </c>
      <c r="GH136" s="76">
        <v>0</v>
      </c>
      <c r="GI136" s="76">
        <v>0</v>
      </c>
      <c r="GJ136" s="76">
        <v>0</v>
      </c>
      <c r="GK136" s="76">
        <v>41</v>
      </c>
      <c r="GL136" s="76">
        <v>1299</v>
      </c>
      <c r="GM136" s="76">
        <v>562</v>
      </c>
      <c r="GN136" s="76">
        <v>0</v>
      </c>
      <c r="GO136" s="76">
        <v>52</v>
      </c>
      <c r="GP136" s="76">
        <v>0</v>
      </c>
      <c r="GQ136" s="76">
        <v>0</v>
      </c>
      <c r="GR136" s="76">
        <v>3707</v>
      </c>
      <c r="GS136" s="76">
        <v>0</v>
      </c>
      <c r="GT136" s="76">
        <v>0</v>
      </c>
      <c r="GU136" s="76">
        <v>0</v>
      </c>
      <c r="GV136" s="76">
        <v>0</v>
      </c>
      <c r="GW136" s="76">
        <v>416</v>
      </c>
      <c r="GX136" s="76">
        <v>4737</v>
      </c>
      <c r="GY136" s="76">
        <v>0</v>
      </c>
      <c r="GZ136" s="76">
        <v>0</v>
      </c>
      <c r="HA136" s="76">
        <v>0</v>
      </c>
      <c r="HB136" s="76">
        <v>0</v>
      </c>
      <c r="HC136" s="76">
        <v>0</v>
      </c>
      <c r="HD136" s="76">
        <v>0</v>
      </c>
      <c r="HE136" s="76">
        <v>0</v>
      </c>
      <c r="HF136" s="76">
        <v>0</v>
      </c>
      <c r="HG136" s="76">
        <v>10</v>
      </c>
      <c r="HH136" s="76">
        <v>0</v>
      </c>
      <c r="HI136" s="76">
        <v>0</v>
      </c>
      <c r="HJ136" s="76">
        <v>0</v>
      </c>
      <c r="HK136" s="76">
        <v>0</v>
      </c>
      <c r="HL136" s="76">
        <v>0</v>
      </c>
      <c r="HM136" s="76">
        <v>10</v>
      </c>
      <c r="HN136" s="76">
        <v>0</v>
      </c>
      <c r="HO136" s="76">
        <v>15</v>
      </c>
      <c r="HP136" s="76">
        <v>0</v>
      </c>
      <c r="HQ136" s="76">
        <v>0</v>
      </c>
      <c r="HR136" s="76">
        <v>0</v>
      </c>
      <c r="HS136" s="76">
        <v>-451</v>
      </c>
      <c r="HT136" s="76">
        <v>1004</v>
      </c>
      <c r="HU136" s="76">
        <v>0</v>
      </c>
      <c r="HV136" s="76">
        <v>0</v>
      </c>
      <c r="HW136" s="76">
        <v>0</v>
      </c>
      <c r="HX136" s="76">
        <v>0</v>
      </c>
    </row>
    <row r="137" spans="1:232" x14ac:dyDescent="0.2">
      <c r="A137" s="74" t="s">
        <v>130</v>
      </c>
      <c r="B137" s="74" t="s">
        <v>129</v>
      </c>
      <c r="C137" s="75" t="s">
        <v>200</v>
      </c>
      <c r="D137" s="75">
        <v>12</v>
      </c>
      <c r="E137" s="76">
        <v>255589</v>
      </c>
      <c r="F137" s="76">
        <v>-80182</v>
      </c>
      <c r="G137" s="76">
        <v>-112400</v>
      </c>
      <c r="H137" s="76">
        <v>63007</v>
      </c>
      <c r="I137" s="76">
        <v>17605</v>
      </c>
      <c r="J137" s="76">
        <v>0</v>
      </c>
      <c r="K137" s="76">
        <v>-63</v>
      </c>
      <c r="L137" s="76">
        <v>5208</v>
      </c>
      <c r="M137" s="76">
        <v>344</v>
      </c>
      <c r="N137" s="76">
        <v>-28439</v>
      </c>
      <c r="O137" s="76">
        <v>40245</v>
      </c>
      <c r="P137" s="76">
        <v>-11646</v>
      </c>
      <c r="Q137" s="76">
        <v>0</v>
      </c>
      <c r="R137" s="76">
        <v>0</v>
      </c>
      <c r="S137" s="76">
        <v>86261</v>
      </c>
      <c r="T137" s="76">
        <v>-4522</v>
      </c>
      <c r="U137" s="76">
        <v>81739</v>
      </c>
      <c r="V137" s="76">
        <v>0</v>
      </c>
      <c r="W137" s="76">
        <v>270</v>
      </c>
      <c r="X137" s="76">
        <v>0</v>
      </c>
      <c r="Y137" s="76">
        <v>0</v>
      </c>
      <c r="Z137" s="76">
        <v>82009</v>
      </c>
      <c r="AA137" s="76">
        <v>81654</v>
      </c>
      <c r="AB137" s="76">
        <v>18343</v>
      </c>
      <c r="AC137" s="76">
        <v>99997</v>
      </c>
      <c r="AD137" s="76">
        <v>4603</v>
      </c>
      <c r="AE137" s="76">
        <v>0</v>
      </c>
      <c r="AF137" s="76">
        <v>0</v>
      </c>
      <c r="AG137" s="76">
        <v>138</v>
      </c>
      <c r="AH137" s="76">
        <v>104738</v>
      </c>
      <c r="AI137" s="76">
        <v>17062</v>
      </c>
      <c r="AJ137" s="76">
        <v>19437</v>
      </c>
      <c r="AK137" s="76">
        <v>12602</v>
      </c>
      <c r="AL137" s="76">
        <v>7532</v>
      </c>
      <c r="AM137" s="76">
        <v>5840</v>
      </c>
      <c r="AN137" s="76">
        <v>560</v>
      </c>
      <c r="AO137" s="76">
        <v>14900</v>
      </c>
      <c r="AP137" s="76">
        <v>0</v>
      </c>
      <c r="AQ137" s="76">
        <v>1749</v>
      </c>
      <c r="AR137" s="76">
        <v>79682</v>
      </c>
      <c r="AS137" s="76">
        <v>25056</v>
      </c>
      <c r="AT137" s="76">
        <v>1750</v>
      </c>
      <c r="AU137" s="76">
        <v>1575046</v>
      </c>
      <c r="AV137" s="76">
        <v>0</v>
      </c>
      <c r="AW137" s="76">
        <v>12165</v>
      </c>
      <c r="AX137" s="76">
        <v>0</v>
      </c>
      <c r="AY137" s="76">
        <v>0</v>
      </c>
      <c r="AZ137" s="76">
        <v>232429</v>
      </c>
      <c r="BA137" s="76">
        <v>19077</v>
      </c>
      <c r="BB137" s="76">
        <v>0</v>
      </c>
      <c r="BC137" s="76">
        <v>0</v>
      </c>
      <c r="BD137" s="76">
        <v>114</v>
      </c>
      <c r="BE137" s="76">
        <v>1838831</v>
      </c>
      <c r="BF137" s="76">
        <v>182344</v>
      </c>
      <c r="BG137" s="76">
        <v>8572</v>
      </c>
      <c r="BH137" s="76">
        <v>102113</v>
      </c>
      <c r="BI137" s="76">
        <v>0</v>
      </c>
      <c r="BJ137" s="76">
        <v>9510</v>
      </c>
      <c r="BK137" s="76">
        <v>302539</v>
      </c>
      <c r="BL137" s="76">
        <v>54813</v>
      </c>
      <c r="BM137" s="76">
        <v>3164</v>
      </c>
      <c r="BN137" s="76">
        <v>0</v>
      </c>
      <c r="BO137" s="76">
        <v>50930</v>
      </c>
      <c r="BP137" s="76">
        <v>108907</v>
      </c>
      <c r="BQ137" s="76">
        <v>193632</v>
      </c>
      <c r="BR137" s="76">
        <v>2032463</v>
      </c>
      <c r="BS137" s="76">
        <v>937933</v>
      </c>
      <c r="BT137" s="76">
        <v>0</v>
      </c>
      <c r="BU137" s="76">
        <v>0</v>
      </c>
      <c r="BV137" s="76">
        <v>672627</v>
      </c>
      <c r="BW137" s="76">
        <v>0</v>
      </c>
      <c r="BX137" s="76">
        <v>0</v>
      </c>
      <c r="BY137" s="76">
        <v>64563</v>
      </c>
      <c r="BZ137" s="76">
        <v>1675123</v>
      </c>
      <c r="CA137" s="76">
        <v>389</v>
      </c>
      <c r="CB137" s="76">
        <v>8494</v>
      </c>
      <c r="CC137" s="76">
        <v>348457</v>
      </c>
      <c r="CD137" s="76">
        <v>346509</v>
      </c>
      <c r="CE137" s="76">
        <v>0</v>
      </c>
      <c r="CF137" s="76">
        <v>1948</v>
      </c>
      <c r="CG137" s="76">
        <v>0</v>
      </c>
      <c r="CH137" s="76">
        <v>0</v>
      </c>
      <c r="CI137" s="76">
        <v>348457</v>
      </c>
      <c r="CJ137" s="76">
        <v>18043</v>
      </c>
      <c r="CK137" s="76">
        <v>10245</v>
      </c>
      <c r="CL137" s="76">
        <v>0</v>
      </c>
      <c r="CM137" s="76">
        <v>7798</v>
      </c>
      <c r="CN137" s="76">
        <v>24419</v>
      </c>
      <c r="CO137" s="76">
        <v>0</v>
      </c>
      <c r="CP137" s="76">
        <v>24163</v>
      </c>
      <c r="CQ137" s="76">
        <v>256</v>
      </c>
      <c r="CR137" s="76">
        <v>83</v>
      </c>
      <c r="CS137" s="76">
        <v>0</v>
      </c>
      <c r="CT137" s="76">
        <v>1396</v>
      </c>
      <c r="CU137" s="76">
        <v>-1313</v>
      </c>
      <c r="CV137" s="76">
        <v>0</v>
      </c>
      <c r="CW137" s="76">
        <v>0</v>
      </c>
      <c r="CX137" s="76">
        <v>1012</v>
      </c>
      <c r="CY137" s="76">
        <v>-1012</v>
      </c>
      <c r="CZ137" s="76">
        <v>0</v>
      </c>
      <c r="DA137" s="76">
        <v>0</v>
      </c>
      <c r="DB137" s="76">
        <v>0</v>
      </c>
      <c r="DC137" s="76">
        <v>0</v>
      </c>
      <c r="DD137" s="76">
        <v>42545</v>
      </c>
      <c r="DE137" s="76">
        <v>10245</v>
      </c>
      <c r="DF137" s="76">
        <v>26571</v>
      </c>
      <c r="DG137" s="76">
        <v>5729</v>
      </c>
      <c r="DH137" s="76">
        <v>96743</v>
      </c>
      <c r="DI137" s="76">
        <v>69937</v>
      </c>
      <c r="DJ137" s="76">
        <v>16</v>
      </c>
      <c r="DK137" s="76">
        <v>26790</v>
      </c>
      <c r="DL137" s="76">
        <v>0</v>
      </c>
      <c r="DM137" s="76">
        <v>0</v>
      </c>
      <c r="DN137" s="76">
        <v>0</v>
      </c>
      <c r="DO137" s="76">
        <v>0</v>
      </c>
      <c r="DP137" s="76">
        <v>0</v>
      </c>
      <c r="DQ137" s="76">
        <v>0</v>
      </c>
      <c r="DR137" s="76">
        <v>0</v>
      </c>
      <c r="DS137" s="76">
        <v>0</v>
      </c>
      <c r="DT137" s="76">
        <v>5609</v>
      </c>
      <c r="DU137" s="76">
        <v>0</v>
      </c>
      <c r="DV137" s="76">
        <v>1242</v>
      </c>
      <c r="DW137" s="76">
        <v>4367</v>
      </c>
      <c r="DX137" s="76">
        <v>0</v>
      </c>
      <c r="DY137" s="76">
        <v>0</v>
      </c>
      <c r="DZ137" s="76">
        <v>0</v>
      </c>
      <c r="EA137" s="76">
        <v>0</v>
      </c>
      <c r="EB137" s="76">
        <v>5954</v>
      </c>
      <c r="EC137" s="76">
        <v>0</v>
      </c>
      <c r="ED137" s="76">
        <v>4889</v>
      </c>
      <c r="EE137" s="76">
        <v>1065</v>
      </c>
      <c r="EF137" s="76">
        <v>108306</v>
      </c>
      <c r="EG137" s="76">
        <v>69937</v>
      </c>
      <c r="EH137" s="76">
        <v>6147</v>
      </c>
      <c r="EI137" s="76">
        <v>32222</v>
      </c>
      <c r="EJ137" s="76">
        <v>150851</v>
      </c>
      <c r="EK137" s="76">
        <v>80182</v>
      </c>
      <c r="EL137" s="76">
        <v>32718</v>
      </c>
      <c r="EM137" s="76">
        <v>37951</v>
      </c>
      <c r="EN137" s="76">
        <v>8823</v>
      </c>
      <c r="EO137" s="76">
        <v>4079</v>
      </c>
      <c r="EP137" s="76">
        <v>2130</v>
      </c>
      <c r="EQ137" s="76">
        <v>4079</v>
      </c>
      <c r="ER137" s="76">
        <v>1658918</v>
      </c>
      <c r="ES137" s="76">
        <v>0</v>
      </c>
      <c r="ET137" s="76">
        <v>1658918</v>
      </c>
      <c r="EU137" s="76">
        <v>59924</v>
      </c>
      <c r="EV137" s="76">
        <v>-16207</v>
      </c>
      <c r="EW137" s="76">
        <v>0</v>
      </c>
      <c r="EX137" s="76">
        <v>0</v>
      </c>
      <c r="EY137" s="76">
        <v>1409</v>
      </c>
      <c r="EZ137" s="76">
        <v>1704044</v>
      </c>
      <c r="FA137" s="76">
        <v>117312</v>
      </c>
      <c r="FB137" s="76">
        <v>9498</v>
      </c>
      <c r="FC137" s="76">
        <v>0</v>
      </c>
      <c r="FD137" s="76">
        <v>0</v>
      </c>
      <c r="FE137" s="76">
        <v>-1007</v>
      </c>
      <c r="FF137" s="76">
        <v>0</v>
      </c>
      <c r="FG137" s="76">
        <v>3195</v>
      </c>
      <c r="FH137" s="76">
        <v>128998</v>
      </c>
      <c r="FI137" s="76">
        <v>1575046</v>
      </c>
      <c r="FJ137" s="76">
        <v>1541606</v>
      </c>
      <c r="FK137" s="76">
        <v>27196</v>
      </c>
      <c r="FL137" s="76">
        <v>12917</v>
      </c>
      <c r="FM137" s="76">
        <v>14279</v>
      </c>
      <c r="FN137" s="76">
        <v>0</v>
      </c>
      <c r="FO137" s="76">
        <v>0</v>
      </c>
      <c r="FP137" s="76">
        <v>0</v>
      </c>
      <c r="FQ137" s="76">
        <v>0</v>
      </c>
      <c r="FR137" s="76">
        <v>0</v>
      </c>
      <c r="FS137" s="76">
        <v>0</v>
      </c>
      <c r="FT137" s="76">
        <v>0</v>
      </c>
      <c r="FU137" s="76">
        <v>0</v>
      </c>
      <c r="FV137" s="76">
        <v>0</v>
      </c>
      <c r="FW137" s="76">
        <v>0</v>
      </c>
      <c r="FX137" s="76">
        <v>0</v>
      </c>
      <c r="FY137" s="76">
        <v>0</v>
      </c>
      <c r="FZ137" s="76">
        <v>7769</v>
      </c>
      <c r="GA137" s="76">
        <v>4443</v>
      </c>
      <c r="GB137" s="76">
        <v>3326</v>
      </c>
      <c r="GC137" s="76">
        <v>34965</v>
      </c>
      <c r="GD137" s="76">
        <v>17360</v>
      </c>
      <c r="GE137" s="76">
        <v>17605</v>
      </c>
      <c r="GF137" s="76">
        <v>0</v>
      </c>
      <c r="GG137" s="76">
        <v>0</v>
      </c>
      <c r="GH137" s="76">
        <v>0</v>
      </c>
      <c r="GI137" s="76">
        <v>0</v>
      </c>
      <c r="GJ137" s="76">
        <v>0</v>
      </c>
      <c r="GK137" s="76">
        <v>9510</v>
      </c>
      <c r="GL137" s="76">
        <v>9510</v>
      </c>
      <c r="GM137" s="76">
        <v>967</v>
      </c>
      <c r="GN137" s="76">
        <v>4825</v>
      </c>
      <c r="GO137" s="76">
        <v>0</v>
      </c>
      <c r="GP137" s="76">
        <v>0</v>
      </c>
      <c r="GQ137" s="76">
        <v>0</v>
      </c>
      <c r="GR137" s="76">
        <v>32453</v>
      </c>
      <c r="GS137" s="76">
        <v>0</v>
      </c>
      <c r="GT137" s="76">
        <v>0</v>
      </c>
      <c r="GU137" s="76">
        <v>1168</v>
      </c>
      <c r="GV137" s="76">
        <v>0</v>
      </c>
      <c r="GW137" s="76">
        <v>11517</v>
      </c>
      <c r="GX137" s="76">
        <v>50930</v>
      </c>
      <c r="GY137" s="76">
        <v>36827</v>
      </c>
      <c r="GZ137" s="76">
        <v>5901</v>
      </c>
      <c r="HA137" s="76">
        <v>6996</v>
      </c>
      <c r="HB137" s="76">
        <v>14839</v>
      </c>
      <c r="HC137" s="76">
        <v>64563</v>
      </c>
      <c r="HD137" s="76">
        <v>0</v>
      </c>
      <c r="HE137" s="76">
        <v>8494</v>
      </c>
      <c r="HF137" s="76">
        <v>8494</v>
      </c>
      <c r="HG137" s="76">
        <v>34394</v>
      </c>
      <c r="HH137" s="76">
        <v>1461</v>
      </c>
      <c r="HI137" s="76">
        <v>39</v>
      </c>
      <c r="HJ137" s="76">
        <v>0</v>
      </c>
      <c r="HK137" s="76">
        <v>0</v>
      </c>
      <c r="HL137" s="76">
        <v>-7455</v>
      </c>
      <c r="HM137" s="76">
        <v>28439</v>
      </c>
      <c r="HN137" s="76">
        <v>2822</v>
      </c>
      <c r="HO137" s="76">
        <v>10683</v>
      </c>
      <c r="HP137" s="76">
        <v>0</v>
      </c>
      <c r="HQ137" s="76">
        <v>697</v>
      </c>
      <c r="HR137" s="76">
        <v>-85</v>
      </c>
      <c r="HS137" s="76">
        <v>-66</v>
      </c>
      <c r="HT137" s="76">
        <v>14900</v>
      </c>
      <c r="HU137" s="76">
        <v>33</v>
      </c>
      <c r="HV137" s="76">
        <v>0</v>
      </c>
      <c r="HW137" s="76">
        <v>-2</v>
      </c>
      <c r="HX137" s="76">
        <v>334</v>
      </c>
    </row>
    <row r="138" spans="1:232" x14ac:dyDescent="0.2">
      <c r="A138" s="74" t="s">
        <v>569</v>
      </c>
      <c r="B138" s="74" t="s">
        <v>570</v>
      </c>
      <c r="C138" s="75" t="s">
        <v>200</v>
      </c>
      <c r="D138" s="75">
        <v>12</v>
      </c>
      <c r="E138" s="76">
        <v>55745</v>
      </c>
      <c r="F138" s="76">
        <v>0</v>
      </c>
      <c r="G138" s="76">
        <v>-38450</v>
      </c>
      <c r="H138" s="76">
        <v>17295</v>
      </c>
      <c r="I138" s="76">
        <v>2121</v>
      </c>
      <c r="J138" s="76">
        <v>0</v>
      </c>
      <c r="K138" s="76">
        <v>0</v>
      </c>
      <c r="L138" s="76">
        <v>0</v>
      </c>
      <c r="M138" s="76">
        <v>84</v>
      </c>
      <c r="N138" s="76">
        <v>-7451</v>
      </c>
      <c r="O138" s="76">
        <v>3852</v>
      </c>
      <c r="P138" s="76">
        <v>0</v>
      </c>
      <c r="Q138" s="76">
        <v>0</v>
      </c>
      <c r="R138" s="76">
        <v>0</v>
      </c>
      <c r="S138" s="76">
        <v>15901</v>
      </c>
      <c r="T138" s="76">
        <v>-41</v>
      </c>
      <c r="U138" s="76">
        <v>15860</v>
      </c>
      <c r="V138" s="76">
        <v>0</v>
      </c>
      <c r="W138" s="76">
        <v>5661</v>
      </c>
      <c r="X138" s="76">
        <v>0</v>
      </c>
      <c r="Y138" s="76">
        <v>0</v>
      </c>
      <c r="Z138" s="76">
        <v>21521</v>
      </c>
      <c r="AA138" s="76">
        <v>48722</v>
      </c>
      <c r="AB138" s="76">
        <v>1429</v>
      </c>
      <c r="AC138" s="76">
        <v>50151</v>
      </c>
      <c r="AD138" s="76">
        <v>4762</v>
      </c>
      <c r="AE138" s="76">
        <v>0</v>
      </c>
      <c r="AF138" s="76">
        <v>0</v>
      </c>
      <c r="AG138" s="76">
        <v>0</v>
      </c>
      <c r="AH138" s="76">
        <v>54913</v>
      </c>
      <c r="AI138" s="76">
        <v>12710</v>
      </c>
      <c r="AJ138" s="76">
        <v>2577</v>
      </c>
      <c r="AK138" s="76">
        <v>6400</v>
      </c>
      <c r="AL138" s="76">
        <v>1556</v>
      </c>
      <c r="AM138" s="76">
        <v>2467</v>
      </c>
      <c r="AN138" s="76">
        <v>376</v>
      </c>
      <c r="AO138" s="76">
        <v>8077</v>
      </c>
      <c r="AP138" s="76">
        <v>0</v>
      </c>
      <c r="AQ138" s="76">
        <v>2660</v>
      </c>
      <c r="AR138" s="76">
        <v>36823</v>
      </c>
      <c r="AS138" s="76">
        <v>18090</v>
      </c>
      <c r="AT138" s="76">
        <v>231</v>
      </c>
      <c r="AU138" s="76">
        <v>167916</v>
      </c>
      <c r="AV138" s="76">
        <v>0</v>
      </c>
      <c r="AW138" s="76">
        <v>8656</v>
      </c>
      <c r="AX138" s="76">
        <v>0</v>
      </c>
      <c r="AY138" s="76">
        <v>0</v>
      </c>
      <c r="AZ138" s="76">
        <v>24800</v>
      </c>
      <c r="BA138" s="76">
        <v>0</v>
      </c>
      <c r="BB138" s="76">
        <v>0</v>
      </c>
      <c r="BC138" s="76">
        <v>0</v>
      </c>
      <c r="BD138" s="76">
        <v>0</v>
      </c>
      <c r="BE138" s="76">
        <v>201372</v>
      </c>
      <c r="BF138" s="76">
        <v>416</v>
      </c>
      <c r="BG138" s="76">
        <v>4153</v>
      </c>
      <c r="BH138" s="76">
        <v>14090</v>
      </c>
      <c r="BI138" s="76">
        <v>0</v>
      </c>
      <c r="BJ138" s="76">
        <v>237</v>
      </c>
      <c r="BK138" s="76">
        <v>18896</v>
      </c>
      <c r="BL138" s="76">
        <v>6955</v>
      </c>
      <c r="BM138" s="76">
        <v>0</v>
      </c>
      <c r="BN138" s="76">
        <v>4776</v>
      </c>
      <c r="BO138" s="76">
        <v>15280</v>
      </c>
      <c r="BP138" s="76">
        <v>27011</v>
      </c>
      <c r="BQ138" s="76">
        <v>-8115</v>
      </c>
      <c r="BR138" s="76">
        <v>193257</v>
      </c>
      <c r="BS138" s="76">
        <v>112235</v>
      </c>
      <c r="BT138" s="76">
        <v>0</v>
      </c>
      <c r="BU138" s="76">
        <v>0</v>
      </c>
      <c r="BV138" s="76">
        <v>96992</v>
      </c>
      <c r="BW138" s="76">
        <v>0</v>
      </c>
      <c r="BX138" s="76">
        <v>0</v>
      </c>
      <c r="BY138" s="76">
        <v>1115</v>
      </c>
      <c r="BZ138" s="76">
        <v>210342</v>
      </c>
      <c r="CA138" s="76">
        <v>-2852</v>
      </c>
      <c r="CB138" s="76">
        <v>0</v>
      </c>
      <c r="CC138" s="76">
        <v>-14233</v>
      </c>
      <c r="CD138" s="76">
        <v>-14233</v>
      </c>
      <c r="CE138" s="76">
        <v>0</v>
      </c>
      <c r="CF138" s="76">
        <v>0</v>
      </c>
      <c r="CG138" s="76">
        <v>0</v>
      </c>
      <c r="CH138" s="76">
        <v>0</v>
      </c>
      <c r="CI138" s="76">
        <v>-14233</v>
      </c>
      <c r="CJ138" s="76">
        <v>0</v>
      </c>
      <c r="CK138" s="76">
        <v>0</v>
      </c>
      <c r="CL138" s="76">
        <v>0</v>
      </c>
      <c r="CM138" s="76">
        <v>0</v>
      </c>
      <c r="CN138" s="76">
        <v>86</v>
      </c>
      <c r="CO138" s="76">
        <v>0</v>
      </c>
      <c r="CP138" s="76">
        <v>86</v>
      </c>
      <c r="CQ138" s="76">
        <v>0</v>
      </c>
      <c r="CR138" s="76">
        <v>0</v>
      </c>
      <c r="CS138" s="76">
        <v>0</v>
      </c>
      <c r="CT138" s="76">
        <v>196</v>
      </c>
      <c r="CU138" s="76">
        <v>-196</v>
      </c>
      <c r="CV138" s="76">
        <v>0</v>
      </c>
      <c r="CW138" s="76">
        <v>0</v>
      </c>
      <c r="CX138" s="76">
        <v>0</v>
      </c>
      <c r="CY138" s="76">
        <v>0</v>
      </c>
      <c r="CZ138" s="76">
        <v>0</v>
      </c>
      <c r="DA138" s="76">
        <v>0</v>
      </c>
      <c r="DB138" s="76">
        <v>0</v>
      </c>
      <c r="DC138" s="76">
        <v>0</v>
      </c>
      <c r="DD138" s="76">
        <v>86</v>
      </c>
      <c r="DE138" s="76">
        <v>0</v>
      </c>
      <c r="DF138" s="76">
        <v>282</v>
      </c>
      <c r="DG138" s="76">
        <v>-196</v>
      </c>
      <c r="DH138" s="76">
        <v>0</v>
      </c>
      <c r="DI138" s="76">
        <v>0</v>
      </c>
      <c r="DJ138" s="76">
        <v>0</v>
      </c>
      <c r="DK138" s="76">
        <v>0</v>
      </c>
      <c r="DL138" s="76">
        <v>0</v>
      </c>
      <c r="DM138" s="76">
        <v>0</v>
      </c>
      <c r="DN138" s="76">
        <v>0</v>
      </c>
      <c r="DO138" s="76">
        <v>0</v>
      </c>
      <c r="DP138" s="76">
        <v>0</v>
      </c>
      <c r="DQ138" s="76">
        <v>0</v>
      </c>
      <c r="DR138" s="76">
        <v>0</v>
      </c>
      <c r="DS138" s="76">
        <v>0</v>
      </c>
      <c r="DT138" s="76">
        <v>249</v>
      </c>
      <c r="DU138" s="76">
        <v>0</v>
      </c>
      <c r="DV138" s="76">
        <v>20</v>
      </c>
      <c r="DW138" s="76">
        <v>229</v>
      </c>
      <c r="DX138" s="76">
        <v>0</v>
      </c>
      <c r="DY138" s="76">
        <v>0</v>
      </c>
      <c r="DZ138" s="76">
        <v>0</v>
      </c>
      <c r="EA138" s="76">
        <v>0</v>
      </c>
      <c r="EB138" s="76">
        <v>497</v>
      </c>
      <c r="EC138" s="76">
        <v>0</v>
      </c>
      <c r="ED138" s="76">
        <v>1325</v>
      </c>
      <c r="EE138" s="76">
        <v>-828</v>
      </c>
      <c r="EF138" s="76">
        <v>746</v>
      </c>
      <c r="EG138" s="76">
        <v>0</v>
      </c>
      <c r="EH138" s="76">
        <v>1345</v>
      </c>
      <c r="EI138" s="76">
        <v>-599</v>
      </c>
      <c r="EJ138" s="76">
        <v>832</v>
      </c>
      <c r="EK138" s="76">
        <v>0</v>
      </c>
      <c r="EL138" s="76">
        <v>1627</v>
      </c>
      <c r="EM138" s="76">
        <v>-795</v>
      </c>
      <c r="EN138" s="76">
        <v>2724</v>
      </c>
      <c r="EO138" s="76">
        <v>1140</v>
      </c>
      <c r="EP138" s="76">
        <v>577</v>
      </c>
      <c r="EQ138" s="76">
        <v>1140</v>
      </c>
      <c r="ER138" s="76">
        <v>216552</v>
      </c>
      <c r="ES138" s="76">
        <v>0</v>
      </c>
      <c r="ET138" s="76">
        <v>216552</v>
      </c>
      <c r="EU138" s="76">
        <v>6999</v>
      </c>
      <c r="EV138" s="76">
        <v>-2662</v>
      </c>
      <c r="EW138" s="76">
        <v>0</v>
      </c>
      <c r="EX138" s="76">
        <v>0</v>
      </c>
      <c r="EY138" s="76">
        <v>89</v>
      </c>
      <c r="EZ138" s="76">
        <v>220978</v>
      </c>
      <c r="FA138" s="76">
        <v>46057</v>
      </c>
      <c r="FB138" s="76">
        <v>8077</v>
      </c>
      <c r="FC138" s="76">
        <v>0</v>
      </c>
      <c r="FD138" s="76">
        <v>0</v>
      </c>
      <c r="FE138" s="76">
        <v>-1072</v>
      </c>
      <c r="FF138" s="76">
        <v>0</v>
      </c>
      <c r="FG138" s="76">
        <v>0</v>
      </c>
      <c r="FH138" s="76">
        <v>53062</v>
      </c>
      <c r="FI138" s="76">
        <v>167916</v>
      </c>
      <c r="FJ138" s="76">
        <v>170495</v>
      </c>
      <c r="FK138" s="76">
        <v>0</v>
      </c>
      <c r="FL138" s="76">
        <v>0</v>
      </c>
      <c r="FM138" s="76">
        <v>0</v>
      </c>
      <c r="FN138" s="76">
        <v>5059</v>
      </c>
      <c r="FO138" s="76">
        <v>2887</v>
      </c>
      <c r="FP138" s="76">
        <v>2172</v>
      </c>
      <c r="FQ138" s="76">
        <v>920</v>
      </c>
      <c r="FR138" s="76">
        <v>971</v>
      </c>
      <c r="FS138" s="76">
        <v>-51</v>
      </c>
      <c r="FT138" s="76">
        <v>0</v>
      </c>
      <c r="FU138" s="76">
        <v>0</v>
      </c>
      <c r="FV138" s="76">
        <v>0</v>
      </c>
      <c r="FW138" s="76">
        <v>0</v>
      </c>
      <c r="FX138" s="76">
        <v>0</v>
      </c>
      <c r="FY138" s="76">
        <v>0</v>
      </c>
      <c r="FZ138" s="76">
        <v>0</v>
      </c>
      <c r="GA138" s="76">
        <v>0</v>
      </c>
      <c r="GB138" s="76">
        <v>0</v>
      </c>
      <c r="GC138" s="76">
        <v>5979</v>
      </c>
      <c r="GD138" s="76">
        <v>3858</v>
      </c>
      <c r="GE138" s="76">
        <v>2121</v>
      </c>
      <c r="GF138" s="76">
        <v>0</v>
      </c>
      <c r="GG138" s="76">
        <v>0</v>
      </c>
      <c r="GH138" s="76">
        <v>0</v>
      </c>
      <c r="GI138" s="76">
        <v>0</v>
      </c>
      <c r="GJ138" s="76">
        <v>0</v>
      </c>
      <c r="GK138" s="76">
        <v>237</v>
      </c>
      <c r="GL138" s="76">
        <v>237</v>
      </c>
      <c r="GM138" s="76">
        <v>3415</v>
      </c>
      <c r="GN138" s="76">
        <v>1719</v>
      </c>
      <c r="GO138" s="76">
        <v>0</v>
      </c>
      <c r="GP138" s="76">
        <v>0</v>
      </c>
      <c r="GQ138" s="76">
        <v>1653</v>
      </c>
      <c r="GR138" s="76">
        <v>5461</v>
      </c>
      <c r="GS138" s="76">
        <v>0</v>
      </c>
      <c r="GT138" s="76">
        <v>0</v>
      </c>
      <c r="GU138" s="76">
        <v>184</v>
      </c>
      <c r="GV138" s="76">
        <v>0</v>
      </c>
      <c r="GW138" s="76">
        <v>2848</v>
      </c>
      <c r="GX138" s="76">
        <v>15280</v>
      </c>
      <c r="GY138" s="76">
        <v>0</v>
      </c>
      <c r="GZ138" s="76">
        <v>0</v>
      </c>
      <c r="HA138" s="76">
        <v>1115</v>
      </c>
      <c r="HB138" s="76">
        <v>0</v>
      </c>
      <c r="HC138" s="76">
        <v>1115</v>
      </c>
      <c r="HD138" s="76">
        <v>0</v>
      </c>
      <c r="HE138" s="76">
        <v>0</v>
      </c>
      <c r="HF138" s="76">
        <v>0</v>
      </c>
      <c r="HG138" s="76">
        <v>7330</v>
      </c>
      <c r="HH138" s="76">
        <v>109</v>
      </c>
      <c r="HI138" s="76">
        <v>114</v>
      </c>
      <c r="HJ138" s="76">
        <v>6</v>
      </c>
      <c r="HK138" s="76">
        <v>33</v>
      </c>
      <c r="HL138" s="76">
        <v>-141</v>
      </c>
      <c r="HM138" s="76">
        <v>7451</v>
      </c>
      <c r="HN138" s="76">
        <v>2229</v>
      </c>
      <c r="HO138" s="76">
        <v>8793</v>
      </c>
      <c r="HP138" s="76">
        <v>451</v>
      </c>
      <c r="HQ138" s="76">
        <v>11</v>
      </c>
      <c r="HR138" s="76">
        <v>-113</v>
      </c>
      <c r="HS138" s="76">
        <v>24</v>
      </c>
      <c r="HT138" s="76">
        <v>11961</v>
      </c>
      <c r="HU138" s="76">
        <v>0</v>
      </c>
      <c r="HV138" s="76">
        <v>0</v>
      </c>
      <c r="HW138" s="76">
        <v>-2</v>
      </c>
      <c r="HX138" s="76">
        <v>41</v>
      </c>
    </row>
    <row r="139" spans="1:232" x14ac:dyDescent="0.2">
      <c r="A139" s="74" t="s">
        <v>132</v>
      </c>
      <c r="B139" s="74" t="s">
        <v>131</v>
      </c>
      <c r="C139" s="75" t="s">
        <v>200</v>
      </c>
      <c r="D139" s="75">
        <v>12</v>
      </c>
      <c r="E139" s="76">
        <v>62737</v>
      </c>
      <c r="F139" s="76">
        <v>-2929</v>
      </c>
      <c r="G139" s="76">
        <v>-45015</v>
      </c>
      <c r="H139" s="76">
        <v>14793</v>
      </c>
      <c r="I139" s="76">
        <v>1292</v>
      </c>
      <c r="J139" s="76">
        <v>0</v>
      </c>
      <c r="K139" s="76">
        <v>3974</v>
      </c>
      <c r="L139" s="76">
        <v>0</v>
      </c>
      <c r="M139" s="76">
        <v>305</v>
      </c>
      <c r="N139" s="76">
        <v>-7820</v>
      </c>
      <c r="O139" s="76">
        <v>10</v>
      </c>
      <c r="P139" s="76">
        <v>0</v>
      </c>
      <c r="Q139" s="76">
        <v>0</v>
      </c>
      <c r="R139" s="76">
        <v>0</v>
      </c>
      <c r="S139" s="76">
        <v>12554</v>
      </c>
      <c r="T139" s="76">
        <v>0</v>
      </c>
      <c r="U139" s="76">
        <v>12554</v>
      </c>
      <c r="V139" s="76">
        <v>0</v>
      </c>
      <c r="W139" s="76">
        <v>-4923</v>
      </c>
      <c r="X139" s="76">
        <v>0</v>
      </c>
      <c r="Y139" s="76">
        <v>-46</v>
      </c>
      <c r="Z139" s="76">
        <v>7585</v>
      </c>
      <c r="AA139" s="76">
        <v>54198</v>
      </c>
      <c r="AB139" s="76">
        <v>3263</v>
      </c>
      <c r="AC139" s="76">
        <v>57461</v>
      </c>
      <c r="AD139" s="76">
        <v>7</v>
      </c>
      <c r="AE139" s="76">
        <v>0</v>
      </c>
      <c r="AF139" s="76">
        <v>-48</v>
      </c>
      <c r="AG139" s="76">
        <v>493</v>
      </c>
      <c r="AH139" s="76">
        <v>57913</v>
      </c>
      <c r="AI139" s="76">
        <v>11479</v>
      </c>
      <c r="AJ139" s="76">
        <v>3263</v>
      </c>
      <c r="AK139" s="76">
        <v>4286</v>
      </c>
      <c r="AL139" s="76">
        <v>9477</v>
      </c>
      <c r="AM139" s="76">
        <v>7800</v>
      </c>
      <c r="AN139" s="76">
        <v>1228</v>
      </c>
      <c r="AO139" s="76">
        <v>6554</v>
      </c>
      <c r="AP139" s="76">
        <v>0</v>
      </c>
      <c r="AQ139" s="76">
        <v>652</v>
      </c>
      <c r="AR139" s="76">
        <v>44739</v>
      </c>
      <c r="AS139" s="76">
        <v>13174</v>
      </c>
      <c r="AT139" s="76">
        <v>723</v>
      </c>
      <c r="AU139" s="76">
        <v>147625</v>
      </c>
      <c r="AV139" s="76">
        <v>0</v>
      </c>
      <c r="AW139" s="76">
        <v>7215</v>
      </c>
      <c r="AX139" s="76">
        <v>0</v>
      </c>
      <c r="AY139" s="76">
        <v>0</v>
      </c>
      <c r="AZ139" s="76">
        <v>8117</v>
      </c>
      <c r="BA139" s="76">
        <v>0</v>
      </c>
      <c r="BB139" s="76">
        <v>0</v>
      </c>
      <c r="BC139" s="76">
        <v>0</v>
      </c>
      <c r="BD139" s="76">
        <v>0</v>
      </c>
      <c r="BE139" s="76">
        <v>162957</v>
      </c>
      <c r="BF139" s="76">
        <v>1594</v>
      </c>
      <c r="BG139" s="76">
        <v>2199</v>
      </c>
      <c r="BH139" s="76">
        <v>5203</v>
      </c>
      <c r="BI139" s="76">
        <v>0</v>
      </c>
      <c r="BJ139" s="76">
        <v>11504</v>
      </c>
      <c r="BK139" s="76">
        <v>20500</v>
      </c>
      <c r="BL139" s="76">
        <v>1260</v>
      </c>
      <c r="BM139" s="76">
        <v>0</v>
      </c>
      <c r="BN139" s="76">
        <v>43</v>
      </c>
      <c r="BO139" s="76">
        <v>7484</v>
      </c>
      <c r="BP139" s="76">
        <v>8787</v>
      </c>
      <c r="BQ139" s="76">
        <v>11713</v>
      </c>
      <c r="BR139" s="76">
        <v>174670</v>
      </c>
      <c r="BS139" s="76">
        <v>119750</v>
      </c>
      <c r="BT139" s="76">
        <v>0</v>
      </c>
      <c r="BU139" s="76">
        <v>0</v>
      </c>
      <c r="BV139" s="76">
        <v>4368</v>
      </c>
      <c r="BW139" s="76">
        <v>0</v>
      </c>
      <c r="BX139" s="76">
        <v>0</v>
      </c>
      <c r="BY139" s="76">
        <v>1362</v>
      </c>
      <c r="BZ139" s="76">
        <v>125480</v>
      </c>
      <c r="CA139" s="76">
        <v>14537</v>
      </c>
      <c r="CB139" s="76">
        <v>0</v>
      </c>
      <c r="CC139" s="76">
        <v>34653</v>
      </c>
      <c r="CD139" s="76">
        <v>34214</v>
      </c>
      <c r="CE139" s="76">
        <v>439</v>
      </c>
      <c r="CF139" s="76">
        <v>0</v>
      </c>
      <c r="CG139" s="76">
        <v>0</v>
      </c>
      <c r="CH139" s="76">
        <v>0</v>
      </c>
      <c r="CI139" s="76">
        <v>34653</v>
      </c>
      <c r="CJ139" s="76">
        <v>3962</v>
      </c>
      <c r="CK139" s="76">
        <v>2929</v>
      </c>
      <c r="CL139" s="76">
        <v>0</v>
      </c>
      <c r="CM139" s="76">
        <v>1033</v>
      </c>
      <c r="CN139" s="76">
        <v>0</v>
      </c>
      <c r="CO139" s="76">
        <v>0</v>
      </c>
      <c r="CP139" s="76">
        <v>0</v>
      </c>
      <c r="CQ139" s="76">
        <v>0</v>
      </c>
      <c r="CR139" s="76">
        <v>0</v>
      </c>
      <c r="CS139" s="76">
        <v>0</v>
      </c>
      <c r="CT139" s="76">
        <v>0</v>
      </c>
      <c r="CU139" s="76">
        <v>0</v>
      </c>
      <c r="CV139" s="76">
        <v>0</v>
      </c>
      <c r="CW139" s="76">
        <v>0</v>
      </c>
      <c r="CX139" s="76">
        <v>0</v>
      </c>
      <c r="CY139" s="76">
        <v>0</v>
      </c>
      <c r="CZ139" s="76">
        <v>0</v>
      </c>
      <c r="DA139" s="76">
        <v>0</v>
      </c>
      <c r="DB139" s="76">
        <v>0</v>
      </c>
      <c r="DC139" s="76">
        <v>0</v>
      </c>
      <c r="DD139" s="76">
        <v>3962</v>
      </c>
      <c r="DE139" s="76">
        <v>2929</v>
      </c>
      <c r="DF139" s="76">
        <v>0</v>
      </c>
      <c r="DG139" s="76">
        <v>1033</v>
      </c>
      <c r="DH139" s="76">
        <v>0</v>
      </c>
      <c r="DI139" s="76">
        <v>0</v>
      </c>
      <c r="DJ139" s="76">
        <v>0</v>
      </c>
      <c r="DK139" s="76">
        <v>0</v>
      </c>
      <c r="DL139" s="76">
        <v>0</v>
      </c>
      <c r="DM139" s="76">
        <v>0</v>
      </c>
      <c r="DN139" s="76">
        <v>0</v>
      </c>
      <c r="DO139" s="76">
        <v>0</v>
      </c>
      <c r="DP139" s="76">
        <v>0</v>
      </c>
      <c r="DQ139" s="76">
        <v>0</v>
      </c>
      <c r="DR139" s="76">
        <v>0</v>
      </c>
      <c r="DS139" s="76">
        <v>0</v>
      </c>
      <c r="DT139" s="76">
        <v>622</v>
      </c>
      <c r="DU139" s="76">
        <v>0</v>
      </c>
      <c r="DV139" s="76">
        <v>177</v>
      </c>
      <c r="DW139" s="76">
        <v>445</v>
      </c>
      <c r="DX139" s="76">
        <v>0</v>
      </c>
      <c r="DY139" s="76">
        <v>0</v>
      </c>
      <c r="DZ139" s="76">
        <v>0</v>
      </c>
      <c r="EA139" s="76">
        <v>0</v>
      </c>
      <c r="EB139" s="76">
        <v>240</v>
      </c>
      <c r="EC139" s="76">
        <v>0</v>
      </c>
      <c r="ED139" s="76">
        <v>99</v>
      </c>
      <c r="EE139" s="76">
        <v>141</v>
      </c>
      <c r="EF139" s="76">
        <v>862</v>
      </c>
      <c r="EG139" s="76">
        <v>0</v>
      </c>
      <c r="EH139" s="76">
        <v>276</v>
      </c>
      <c r="EI139" s="76">
        <v>586</v>
      </c>
      <c r="EJ139" s="76">
        <v>4824</v>
      </c>
      <c r="EK139" s="76">
        <v>2929</v>
      </c>
      <c r="EL139" s="76">
        <v>276</v>
      </c>
      <c r="EM139" s="76">
        <v>1619</v>
      </c>
      <c r="EN139" s="76">
        <v>2605</v>
      </c>
      <c r="EO139" s="76">
        <v>2390</v>
      </c>
      <c r="EP139" s="76">
        <v>843</v>
      </c>
      <c r="EQ139" s="76">
        <v>2033</v>
      </c>
      <c r="ER139" s="76">
        <v>153653</v>
      </c>
      <c r="ES139" s="76">
        <v>0</v>
      </c>
      <c r="ET139" s="76">
        <v>153653</v>
      </c>
      <c r="EU139" s="76">
        <v>28287</v>
      </c>
      <c r="EV139" s="76">
        <v>-922</v>
      </c>
      <c r="EW139" s="76">
        <v>0</v>
      </c>
      <c r="EX139" s="76">
        <v>0</v>
      </c>
      <c r="EY139" s="76">
        <v>0</v>
      </c>
      <c r="EZ139" s="76">
        <v>181018</v>
      </c>
      <c r="FA139" s="76">
        <v>27761</v>
      </c>
      <c r="FB139" s="76">
        <v>5890</v>
      </c>
      <c r="FC139" s="76">
        <v>0</v>
      </c>
      <c r="FD139" s="76">
        <v>0</v>
      </c>
      <c r="FE139" s="76">
        <v>-258</v>
      </c>
      <c r="FF139" s="76">
        <v>0</v>
      </c>
      <c r="FG139" s="76">
        <v>0</v>
      </c>
      <c r="FH139" s="76">
        <v>33393</v>
      </c>
      <c r="FI139" s="76">
        <v>147625</v>
      </c>
      <c r="FJ139" s="76">
        <v>125892</v>
      </c>
      <c r="FK139" s="76">
        <v>0</v>
      </c>
      <c r="FL139" s="76">
        <v>0</v>
      </c>
      <c r="FM139" s="76">
        <v>0</v>
      </c>
      <c r="FN139" s="76">
        <v>1687</v>
      </c>
      <c r="FO139" s="76">
        <v>787</v>
      </c>
      <c r="FP139" s="76">
        <v>900</v>
      </c>
      <c r="FQ139" s="76">
        <v>388</v>
      </c>
      <c r="FR139" s="76">
        <v>3</v>
      </c>
      <c r="FS139" s="76">
        <v>385</v>
      </c>
      <c r="FT139" s="76">
        <v>7</v>
      </c>
      <c r="FU139" s="76">
        <v>0</v>
      </c>
      <c r="FV139" s="76">
        <v>7</v>
      </c>
      <c r="FW139" s="76">
        <v>0</v>
      </c>
      <c r="FX139" s="76">
        <v>0</v>
      </c>
      <c r="FY139" s="76">
        <v>0</v>
      </c>
      <c r="FZ139" s="76">
        <v>0</v>
      </c>
      <c r="GA139" s="76">
        <v>0</v>
      </c>
      <c r="GB139" s="76">
        <v>0</v>
      </c>
      <c r="GC139" s="76">
        <v>2082</v>
      </c>
      <c r="GD139" s="76">
        <v>790</v>
      </c>
      <c r="GE139" s="76">
        <v>1292</v>
      </c>
      <c r="GF139" s="76">
        <v>9250</v>
      </c>
      <c r="GG139" s="76">
        <v>1</v>
      </c>
      <c r="GH139" s="76">
        <v>1475</v>
      </c>
      <c r="GI139" s="76">
        <v>0</v>
      </c>
      <c r="GJ139" s="76">
        <v>0</v>
      </c>
      <c r="GK139" s="76">
        <v>778</v>
      </c>
      <c r="GL139" s="76">
        <v>11504</v>
      </c>
      <c r="GM139" s="76">
        <v>134</v>
      </c>
      <c r="GN139" s="76">
        <v>1303</v>
      </c>
      <c r="GO139" s="76">
        <v>908</v>
      </c>
      <c r="GP139" s="76">
        <v>0</v>
      </c>
      <c r="GQ139" s="76">
        <v>0</v>
      </c>
      <c r="GR139" s="76">
        <v>3898</v>
      </c>
      <c r="GS139" s="76">
        <v>0</v>
      </c>
      <c r="GT139" s="76">
        <v>0</v>
      </c>
      <c r="GU139" s="76">
        <v>198</v>
      </c>
      <c r="GV139" s="76">
        <v>0</v>
      </c>
      <c r="GW139" s="76">
        <v>1043</v>
      </c>
      <c r="GX139" s="76">
        <v>7484</v>
      </c>
      <c r="GY139" s="76">
        <v>0</v>
      </c>
      <c r="GZ139" s="76">
        <v>0</v>
      </c>
      <c r="HA139" s="76">
        <v>1362</v>
      </c>
      <c r="HB139" s="76">
        <v>0</v>
      </c>
      <c r="HC139" s="76">
        <v>1362</v>
      </c>
      <c r="HD139" s="76">
        <v>0</v>
      </c>
      <c r="HE139" s="76">
        <v>0</v>
      </c>
      <c r="HF139" s="76">
        <v>0</v>
      </c>
      <c r="HG139" s="76">
        <v>7057</v>
      </c>
      <c r="HH139" s="76">
        <v>0</v>
      </c>
      <c r="HI139" s="76">
        <v>335</v>
      </c>
      <c r="HJ139" s="76">
        <v>0</v>
      </c>
      <c r="HK139" s="76">
        <v>428</v>
      </c>
      <c r="HL139" s="76">
        <v>0</v>
      </c>
      <c r="HM139" s="76">
        <v>7820</v>
      </c>
      <c r="HN139" s="76">
        <v>5594</v>
      </c>
      <c r="HO139" s="76">
        <v>6903</v>
      </c>
      <c r="HP139" s="76">
        <v>0</v>
      </c>
      <c r="HQ139" s="76">
        <v>241</v>
      </c>
      <c r="HR139" s="76">
        <v>-261</v>
      </c>
      <c r="HS139" s="76">
        <v>1</v>
      </c>
      <c r="HT139" s="76">
        <v>12332</v>
      </c>
      <c r="HU139" s="76">
        <v>0</v>
      </c>
      <c r="HV139" s="76">
        <v>0</v>
      </c>
      <c r="HW139" s="76">
        <v>10</v>
      </c>
      <c r="HX139" s="76">
        <v>684</v>
      </c>
    </row>
    <row r="140" spans="1:232" x14ac:dyDescent="0.2">
      <c r="A140" s="74" t="s">
        <v>571</v>
      </c>
      <c r="B140" s="74" t="s">
        <v>572</v>
      </c>
      <c r="C140" s="75" t="s">
        <v>200</v>
      </c>
      <c r="D140" s="75">
        <v>12</v>
      </c>
      <c r="E140" s="76">
        <v>47971</v>
      </c>
      <c r="F140" s="76">
        <v>0</v>
      </c>
      <c r="G140" s="76">
        <v>-35067</v>
      </c>
      <c r="H140" s="76">
        <v>12904</v>
      </c>
      <c r="I140" s="76">
        <v>1354</v>
      </c>
      <c r="J140" s="76">
        <v>0</v>
      </c>
      <c r="K140" s="76">
        <v>-98</v>
      </c>
      <c r="L140" s="76">
        <v>0</v>
      </c>
      <c r="M140" s="76">
        <v>73</v>
      </c>
      <c r="N140" s="76">
        <v>-2808</v>
      </c>
      <c r="O140" s="76">
        <v>0</v>
      </c>
      <c r="P140" s="76">
        <v>0</v>
      </c>
      <c r="Q140" s="76">
        <v>0</v>
      </c>
      <c r="R140" s="76">
        <v>0</v>
      </c>
      <c r="S140" s="76">
        <v>11425</v>
      </c>
      <c r="T140" s="76">
        <v>-100</v>
      </c>
      <c r="U140" s="76">
        <v>11325</v>
      </c>
      <c r="V140" s="76">
        <v>0</v>
      </c>
      <c r="W140" s="76">
        <v>-7010</v>
      </c>
      <c r="X140" s="76">
        <v>0</v>
      </c>
      <c r="Y140" s="76">
        <v>0</v>
      </c>
      <c r="Z140" s="76">
        <v>4315</v>
      </c>
      <c r="AA140" s="76">
        <v>40205</v>
      </c>
      <c r="AB140" s="76">
        <v>758</v>
      </c>
      <c r="AC140" s="76">
        <v>40963</v>
      </c>
      <c r="AD140" s="76">
        <v>2343</v>
      </c>
      <c r="AE140" s="76">
        <v>0</v>
      </c>
      <c r="AF140" s="76">
        <v>63</v>
      </c>
      <c r="AG140" s="76">
        <v>650</v>
      </c>
      <c r="AH140" s="76">
        <v>44019</v>
      </c>
      <c r="AI140" s="76">
        <v>4283</v>
      </c>
      <c r="AJ140" s="76">
        <v>1740</v>
      </c>
      <c r="AK140" s="76">
        <v>5189</v>
      </c>
      <c r="AL140" s="76">
        <v>1430</v>
      </c>
      <c r="AM140" s="76">
        <v>2499</v>
      </c>
      <c r="AN140" s="76">
        <v>134</v>
      </c>
      <c r="AO140" s="76">
        <v>9464</v>
      </c>
      <c r="AP140" s="76">
        <v>0</v>
      </c>
      <c r="AQ140" s="76">
        <v>854</v>
      </c>
      <c r="AR140" s="76">
        <v>25593</v>
      </c>
      <c r="AS140" s="76">
        <v>18426</v>
      </c>
      <c r="AT140" s="76">
        <v>413</v>
      </c>
      <c r="AU140" s="76">
        <v>160260</v>
      </c>
      <c r="AV140" s="76">
        <v>0</v>
      </c>
      <c r="AW140" s="76">
        <v>141</v>
      </c>
      <c r="AX140" s="76">
        <v>87</v>
      </c>
      <c r="AY140" s="76">
        <v>0</v>
      </c>
      <c r="AZ140" s="76">
        <v>0</v>
      </c>
      <c r="BA140" s="76">
        <v>0</v>
      </c>
      <c r="BB140" s="76">
        <v>0</v>
      </c>
      <c r="BC140" s="76">
        <v>0</v>
      </c>
      <c r="BD140" s="76">
        <v>0</v>
      </c>
      <c r="BE140" s="76">
        <v>160488</v>
      </c>
      <c r="BF140" s="76">
        <v>0</v>
      </c>
      <c r="BG140" s="76">
        <v>2641</v>
      </c>
      <c r="BH140" s="76">
        <v>28543</v>
      </c>
      <c r="BI140" s="76">
        <v>0</v>
      </c>
      <c r="BJ140" s="76">
        <v>1093</v>
      </c>
      <c r="BK140" s="76">
        <v>32277</v>
      </c>
      <c r="BL140" s="76">
        <v>0</v>
      </c>
      <c r="BM140" s="76">
        <v>0</v>
      </c>
      <c r="BN140" s="76">
        <v>0</v>
      </c>
      <c r="BO140" s="76">
        <v>7216</v>
      </c>
      <c r="BP140" s="76">
        <v>7216</v>
      </c>
      <c r="BQ140" s="76">
        <v>25061</v>
      </c>
      <c r="BR140" s="76">
        <v>185549</v>
      </c>
      <c r="BS140" s="76">
        <v>70125</v>
      </c>
      <c r="BT140" s="76">
        <v>0</v>
      </c>
      <c r="BU140" s="76">
        <v>0</v>
      </c>
      <c r="BV140" s="76">
        <v>43367</v>
      </c>
      <c r="BW140" s="76">
        <v>0</v>
      </c>
      <c r="BX140" s="76">
        <v>0</v>
      </c>
      <c r="BY140" s="76">
        <v>0</v>
      </c>
      <c r="BZ140" s="76">
        <v>113492</v>
      </c>
      <c r="CA140" s="76">
        <v>9793</v>
      </c>
      <c r="CB140" s="76">
        <v>595</v>
      </c>
      <c r="CC140" s="76">
        <v>61669</v>
      </c>
      <c r="CD140" s="76">
        <v>61669</v>
      </c>
      <c r="CE140" s="76">
        <v>0</v>
      </c>
      <c r="CF140" s="76">
        <v>0</v>
      </c>
      <c r="CG140" s="76">
        <v>0</v>
      </c>
      <c r="CH140" s="76">
        <v>0</v>
      </c>
      <c r="CI140" s="76">
        <v>61669</v>
      </c>
      <c r="CJ140" s="76">
        <v>0</v>
      </c>
      <c r="CK140" s="76">
        <v>0</v>
      </c>
      <c r="CL140" s="76">
        <v>0</v>
      </c>
      <c r="CM140" s="76">
        <v>0</v>
      </c>
      <c r="CN140" s="76">
        <v>0</v>
      </c>
      <c r="CO140" s="76">
        <v>0</v>
      </c>
      <c r="CP140" s="76">
        <v>0</v>
      </c>
      <c r="CQ140" s="76">
        <v>0</v>
      </c>
      <c r="CR140" s="76">
        <v>0</v>
      </c>
      <c r="CS140" s="76">
        <v>0</v>
      </c>
      <c r="CT140" s="76">
        <v>0</v>
      </c>
      <c r="CU140" s="76">
        <v>0</v>
      </c>
      <c r="CV140" s="76">
        <v>0</v>
      </c>
      <c r="CW140" s="76">
        <v>0</v>
      </c>
      <c r="CX140" s="76">
        <v>0</v>
      </c>
      <c r="CY140" s="76">
        <v>0</v>
      </c>
      <c r="CZ140" s="76">
        <v>0</v>
      </c>
      <c r="DA140" s="76">
        <v>0</v>
      </c>
      <c r="DB140" s="76">
        <v>0</v>
      </c>
      <c r="DC140" s="76">
        <v>0</v>
      </c>
      <c r="DD140" s="76">
        <v>0</v>
      </c>
      <c r="DE140" s="76">
        <v>0</v>
      </c>
      <c r="DF140" s="76">
        <v>0</v>
      </c>
      <c r="DG140" s="76">
        <v>0</v>
      </c>
      <c r="DH140" s="76">
        <v>0</v>
      </c>
      <c r="DI140" s="76">
        <v>0</v>
      </c>
      <c r="DJ140" s="76">
        <v>0</v>
      </c>
      <c r="DK140" s="76">
        <v>0</v>
      </c>
      <c r="DL140" s="76">
        <v>0</v>
      </c>
      <c r="DM140" s="76">
        <v>0</v>
      </c>
      <c r="DN140" s="76">
        <v>0</v>
      </c>
      <c r="DO140" s="76">
        <v>0</v>
      </c>
      <c r="DP140" s="76">
        <v>0</v>
      </c>
      <c r="DQ140" s="76">
        <v>0</v>
      </c>
      <c r="DR140" s="76">
        <v>0</v>
      </c>
      <c r="DS140" s="76">
        <v>0</v>
      </c>
      <c r="DT140" s="76">
        <v>0</v>
      </c>
      <c r="DU140" s="76">
        <v>0</v>
      </c>
      <c r="DV140" s="76">
        <v>0</v>
      </c>
      <c r="DW140" s="76">
        <v>0</v>
      </c>
      <c r="DX140" s="76">
        <v>0</v>
      </c>
      <c r="DY140" s="76">
        <v>0</v>
      </c>
      <c r="DZ140" s="76">
        <v>0</v>
      </c>
      <c r="EA140" s="76">
        <v>0</v>
      </c>
      <c r="EB140" s="76">
        <v>3952</v>
      </c>
      <c r="EC140" s="76">
        <v>0</v>
      </c>
      <c r="ED140" s="76">
        <v>9474</v>
      </c>
      <c r="EE140" s="76">
        <v>-5522</v>
      </c>
      <c r="EF140" s="76">
        <v>3952</v>
      </c>
      <c r="EG140" s="76">
        <v>0</v>
      </c>
      <c r="EH140" s="76">
        <v>9474</v>
      </c>
      <c r="EI140" s="76">
        <v>-5522</v>
      </c>
      <c r="EJ140" s="76">
        <v>3952</v>
      </c>
      <c r="EK140" s="76">
        <v>0</v>
      </c>
      <c r="EL140" s="76">
        <v>9474</v>
      </c>
      <c r="EM140" s="76">
        <v>-5522</v>
      </c>
      <c r="EN140" s="76">
        <v>2046</v>
      </c>
      <c r="EO140" s="76">
        <v>965</v>
      </c>
      <c r="EP140" s="76">
        <v>684</v>
      </c>
      <c r="EQ140" s="76">
        <v>965</v>
      </c>
      <c r="ER140" s="76">
        <v>206509</v>
      </c>
      <c r="ES140" s="76">
        <v>0</v>
      </c>
      <c r="ET140" s="76">
        <v>206509</v>
      </c>
      <c r="EU140" s="76">
        <v>13707</v>
      </c>
      <c r="EV140" s="76">
        <v>-1313</v>
      </c>
      <c r="EW140" s="76">
        <v>0</v>
      </c>
      <c r="EX140" s="76">
        <v>0</v>
      </c>
      <c r="EY140" s="76">
        <v>0</v>
      </c>
      <c r="EZ140" s="76">
        <v>218903</v>
      </c>
      <c r="FA140" s="76">
        <v>49629</v>
      </c>
      <c r="FB140" s="76">
        <v>9429</v>
      </c>
      <c r="FC140" s="76">
        <v>0</v>
      </c>
      <c r="FD140" s="76">
        <v>0</v>
      </c>
      <c r="FE140" s="76">
        <v>-415</v>
      </c>
      <c r="FF140" s="76">
        <v>0</v>
      </c>
      <c r="FG140" s="76">
        <v>0</v>
      </c>
      <c r="FH140" s="76">
        <v>58643</v>
      </c>
      <c r="FI140" s="76">
        <v>160260</v>
      </c>
      <c r="FJ140" s="76">
        <v>156880</v>
      </c>
      <c r="FK140" s="76">
        <v>0</v>
      </c>
      <c r="FL140" s="76">
        <v>0</v>
      </c>
      <c r="FM140" s="76">
        <v>0</v>
      </c>
      <c r="FN140" s="76">
        <v>1825</v>
      </c>
      <c r="FO140" s="76">
        <v>500</v>
      </c>
      <c r="FP140" s="76">
        <v>1325</v>
      </c>
      <c r="FQ140" s="76">
        <v>44</v>
      </c>
      <c r="FR140" s="76">
        <v>15</v>
      </c>
      <c r="FS140" s="76">
        <v>29</v>
      </c>
      <c r="FT140" s="76">
        <v>0</v>
      </c>
      <c r="FU140" s="76">
        <v>0</v>
      </c>
      <c r="FV140" s="76">
        <v>0</v>
      </c>
      <c r="FW140" s="76">
        <v>0</v>
      </c>
      <c r="FX140" s="76">
        <v>0</v>
      </c>
      <c r="FY140" s="76">
        <v>0</v>
      </c>
      <c r="FZ140" s="76">
        <v>0</v>
      </c>
      <c r="GA140" s="76">
        <v>0</v>
      </c>
      <c r="GB140" s="76">
        <v>0</v>
      </c>
      <c r="GC140" s="76">
        <v>1869</v>
      </c>
      <c r="GD140" s="76">
        <v>515</v>
      </c>
      <c r="GE140" s="76">
        <v>1354</v>
      </c>
      <c r="GF140" s="76">
        <v>0</v>
      </c>
      <c r="GG140" s="76">
        <v>0</v>
      </c>
      <c r="GH140" s="76">
        <v>0</v>
      </c>
      <c r="GI140" s="76">
        <v>0</v>
      </c>
      <c r="GJ140" s="76">
        <v>0</v>
      </c>
      <c r="GK140" s="76">
        <v>1093</v>
      </c>
      <c r="GL140" s="76">
        <v>1093</v>
      </c>
      <c r="GM140" s="76">
        <v>584</v>
      </c>
      <c r="GN140" s="76">
        <v>758</v>
      </c>
      <c r="GO140" s="76">
        <v>0</v>
      </c>
      <c r="GP140" s="76">
        <v>0</v>
      </c>
      <c r="GQ140" s="76">
        <v>0</v>
      </c>
      <c r="GR140" s="76">
        <v>5459</v>
      </c>
      <c r="GS140" s="76">
        <v>0</v>
      </c>
      <c r="GT140" s="76">
        <v>0</v>
      </c>
      <c r="GU140" s="76">
        <v>0</v>
      </c>
      <c r="GV140" s="76">
        <v>0</v>
      </c>
      <c r="GW140" s="76">
        <v>415</v>
      </c>
      <c r="GX140" s="76">
        <v>7216</v>
      </c>
      <c r="GY140" s="76">
        <v>0</v>
      </c>
      <c r="GZ140" s="76">
        <v>0</v>
      </c>
      <c r="HA140" s="76">
        <v>0</v>
      </c>
      <c r="HB140" s="76">
        <v>0</v>
      </c>
      <c r="HC140" s="76">
        <v>0</v>
      </c>
      <c r="HD140" s="76">
        <v>0</v>
      </c>
      <c r="HE140" s="76">
        <v>595</v>
      </c>
      <c r="HF140" s="76">
        <v>595</v>
      </c>
      <c r="HG140" s="76">
        <v>2808</v>
      </c>
      <c r="HH140" s="76">
        <v>0</v>
      </c>
      <c r="HI140" s="76">
        <v>0</v>
      </c>
      <c r="HJ140" s="76">
        <v>0</v>
      </c>
      <c r="HK140" s="76">
        <v>0</v>
      </c>
      <c r="HL140" s="76">
        <v>0</v>
      </c>
      <c r="HM140" s="76">
        <v>2808</v>
      </c>
      <c r="HN140" s="76">
        <v>6408</v>
      </c>
      <c r="HO140" s="76">
        <v>9464</v>
      </c>
      <c r="HP140" s="76">
        <v>0</v>
      </c>
      <c r="HQ140" s="76">
        <v>53</v>
      </c>
      <c r="HR140" s="76">
        <v>-79</v>
      </c>
      <c r="HS140" s="76">
        <v>4</v>
      </c>
      <c r="HT140" s="76">
        <v>9981</v>
      </c>
      <c r="HU140" s="76">
        <v>0</v>
      </c>
      <c r="HV140" s="76">
        <v>0</v>
      </c>
      <c r="HW140" s="76">
        <v>0</v>
      </c>
      <c r="HX140" s="76">
        <v>0</v>
      </c>
    </row>
    <row r="141" spans="1:232" x14ac:dyDescent="0.2">
      <c r="A141" s="74" t="s">
        <v>727</v>
      </c>
      <c r="B141" s="74" t="s">
        <v>864</v>
      </c>
      <c r="C141" s="75" t="s">
        <v>200</v>
      </c>
      <c r="D141" s="75">
        <v>12</v>
      </c>
      <c r="E141" s="76">
        <v>181294</v>
      </c>
      <c r="F141" s="76">
        <v>-1613</v>
      </c>
      <c r="G141" s="76">
        <v>-135489</v>
      </c>
      <c r="H141" s="76">
        <v>44192</v>
      </c>
      <c r="I141" s="76">
        <v>1270</v>
      </c>
      <c r="J141" s="76">
        <v>0</v>
      </c>
      <c r="K141" s="76">
        <v>0</v>
      </c>
      <c r="L141" s="76">
        <v>0</v>
      </c>
      <c r="M141" s="76">
        <v>931</v>
      </c>
      <c r="N141" s="76">
        <v>-16744</v>
      </c>
      <c r="O141" s="76">
        <v>0</v>
      </c>
      <c r="P141" s="76">
        <v>0</v>
      </c>
      <c r="Q141" s="76">
        <v>0</v>
      </c>
      <c r="R141" s="76">
        <v>0</v>
      </c>
      <c r="S141" s="76">
        <v>29649</v>
      </c>
      <c r="T141" s="76">
        <v>-30</v>
      </c>
      <c r="U141" s="76">
        <v>29619</v>
      </c>
      <c r="V141" s="76">
        <v>0</v>
      </c>
      <c r="W141" s="76">
        <v>-2745</v>
      </c>
      <c r="X141" s="76">
        <v>0</v>
      </c>
      <c r="Y141" s="76">
        <v>0</v>
      </c>
      <c r="Z141" s="76">
        <v>26874</v>
      </c>
      <c r="AA141" s="76">
        <v>149445</v>
      </c>
      <c r="AB141" s="76">
        <v>12968</v>
      </c>
      <c r="AC141" s="76">
        <v>162413</v>
      </c>
      <c r="AD141" s="76">
        <v>8436</v>
      </c>
      <c r="AE141" s="76">
        <v>860</v>
      </c>
      <c r="AF141" s="76">
        <v>123</v>
      </c>
      <c r="AG141" s="76">
        <v>202</v>
      </c>
      <c r="AH141" s="76">
        <v>172034</v>
      </c>
      <c r="AI141" s="76">
        <v>27377</v>
      </c>
      <c r="AJ141" s="76">
        <v>11944</v>
      </c>
      <c r="AK141" s="76">
        <v>28729</v>
      </c>
      <c r="AL141" s="76">
        <v>17188</v>
      </c>
      <c r="AM141" s="76">
        <v>2604</v>
      </c>
      <c r="AN141" s="76">
        <v>1665</v>
      </c>
      <c r="AO141" s="76">
        <v>35321</v>
      </c>
      <c r="AP141" s="76">
        <v>1231</v>
      </c>
      <c r="AQ141" s="76">
        <v>1501</v>
      </c>
      <c r="AR141" s="76">
        <v>127560</v>
      </c>
      <c r="AS141" s="76">
        <v>44474</v>
      </c>
      <c r="AT141" s="76">
        <v>2706</v>
      </c>
      <c r="AU141" s="76">
        <v>1210209</v>
      </c>
      <c r="AV141" s="76">
        <v>0</v>
      </c>
      <c r="AW141" s="76">
        <v>23832</v>
      </c>
      <c r="AX141" s="76">
        <v>501</v>
      </c>
      <c r="AY141" s="76">
        <v>0</v>
      </c>
      <c r="AZ141" s="76">
        <v>15405</v>
      </c>
      <c r="BA141" s="76">
        <v>0</v>
      </c>
      <c r="BB141" s="76">
        <v>0</v>
      </c>
      <c r="BC141" s="76">
        <v>0</v>
      </c>
      <c r="BD141" s="76">
        <v>0</v>
      </c>
      <c r="BE141" s="76">
        <v>1249947</v>
      </c>
      <c r="BF141" s="76">
        <v>2642</v>
      </c>
      <c r="BG141" s="76">
        <v>17083</v>
      </c>
      <c r="BH141" s="76">
        <v>53139</v>
      </c>
      <c r="BI141" s="76">
        <v>95953</v>
      </c>
      <c r="BJ141" s="76">
        <v>1965</v>
      </c>
      <c r="BK141" s="76">
        <v>170782</v>
      </c>
      <c r="BL141" s="76">
        <v>19126</v>
      </c>
      <c r="BM141" s="76">
        <v>0</v>
      </c>
      <c r="BN141" s="76">
        <v>9387</v>
      </c>
      <c r="BO141" s="76">
        <v>33536</v>
      </c>
      <c r="BP141" s="76">
        <v>62049</v>
      </c>
      <c r="BQ141" s="76">
        <v>108733</v>
      </c>
      <c r="BR141" s="76">
        <v>1358680</v>
      </c>
      <c r="BS141" s="76">
        <v>432765</v>
      </c>
      <c r="BT141" s="76">
        <v>0</v>
      </c>
      <c r="BU141" s="76">
        <v>0</v>
      </c>
      <c r="BV141" s="76">
        <v>445652</v>
      </c>
      <c r="BW141" s="76">
        <v>0</v>
      </c>
      <c r="BX141" s="76">
        <v>0</v>
      </c>
      <c r="BY141" s="76">
        <v>29884</v>
      </c>
      <c r="BZ141" s="76">
        <v>908301</v>
      </c>
      <c r="CA141" s="76">
        <v>7194</v>
      </c>
      <c r="CB141" s="76">
        <v>747</v>
      </c>
      <c r="CC141" s="76">
        <v>442438</v>
      </c>
      <c r="CD141" s="76">
        <v>442438</v>
      </c>
      <c r="CE141" s="76">
        <v>0</v>
      </c>
      <c r="CF141" s="76">
        <v>0</v>
      </c>
      <c r="CG141" s="76">
        <v>0</v>
      </c>
      <c r="CH141" s="76">
        <v>0</v>
      </c>
      <c r="CI141" s="76">
        <v>442438</v>
      </c>
      <c r="CJ141" s="76">
        <v>520</v>
      </c>
      <c r="CK141" s="76">
        <v>477</v>
      </c>
      <c r="CL141" s="76">
        <v>0</v>
      </c>
      <c r="CM141" s="76">
        <v>43</v>
      </c>
      <c r="CN141" s="76">
        <v>0</v>
      </c>
      <c r="CO141" s="76">
        <v>0</v>
      </c>
      <c r="CP141" s="76">
        <v>0</v>
      </c>
      <c r="CQ141" s="76">
        <v>0</v>
      </c>
      <c r="CR141" s="76">
        <v>670</v>
      </c>
      <c r="CS141" s="76">
        <v>0</v>
      </c>
      <c r="CT141" s="76">
        <v>2170</v>
      </c>
      <c r="CU141" s="76">
        <v>-1500</v>
      </c>
      <c r="CV141" s="76">
        <v>0</v>
      </c>
      <c r="CW141" s="76">
        <v>0</v>
      </c>
      <c r="CX141" s="76">
        <v>1389</v>
      </c>
      <c r="CY141" s="76">
        <v>-1389</v>
      </c>
      <c r="CZ141" s="76">
        <v>723</v>
      </c>
      <c r="DA141" s="76">
        <v>0</v>
      </c>
      <c r="DB141" s="76">
        <v>244</v>
      </c>
      <c r="DC141" s="76">
        <v>479</v>
      </c>
      <c r="DD141" s="76">
        <v>1913</v>
      </c>
      <c r="DE141" s="76">
        <v>477</v>
      </c>
      <c r="DF141" s="76">
        <v>3803</v>
      </c>
      <c r="DG141" s="76">
        <v>-2367</v>
      </c>
      <c r="DH141" s="76">
        <v>786</v>
      </c>
      <c r="DI141" s="76">
        <v>1136</v>
      </c>
      <c r="DJ141" s="76">
        <v>0</v>
      </c>
      <c r="DK141" s="76">
        <v>-350</v>
      </c>
      <c r="DL141" s="76">
        <v>0</v>
      </c>
      <c r="DM141" s="76">
        <v>0</v>
      </c>
      <c r="DN141" s="76">
        <v>0</v>
      </c>
      <c r="DO141" s="76">
        <v>0</v>
      </c>
      <c r="DP141" s="76">
        <v>0</v>
      </c>
      <c r="DQ141" s="76">
        <v>0</v>
      </c>
      <c r="DR141" s="76">
        <v>0</v>
      </c>
      <c r="DS141" s="76">
        <v>0</v>
      </c>
      <c r="DT141" s="76">
        <v>519</v>
      </c>
      <c r="DU141" s="76">
        <v>0</v>
      </c>
      <c r="DV141" s="76">
        <v>272</v>
      </c>
      <c r="DW141" s="76">
        <v>247</v>
      </c>
      <c r="DX141" s="76">
        <v>0</v>
      </c>
      <c r="DY141" s="76">
        <v>0</v>
      </c>
      <c r="DZ141" s="76">
        <v>0</v>
      </c>
      <c r="EA141" s="76">
        <v>0</v>
      </c>
      <c r="EB141" s="76">
        <v>6042</v>
      </c>
      <c r="EC141" s="76">
        <v>0</v>
      </c>
      <c r="ED141" s="76">
        <v>3854</v>
      </c>
      <c r="EE141" s="76">
        <v>2188</v>
      </c>
      <c r="EF141" s="76">
        <v>7347</v>
      </c>
      <c r="EG141" s="76">
        <v>1136</v>
      </c>
      <c r="EH141" s="76">
        <v>4126</v>
      </c>
      <c r="EI141" s="76">
        <v>2085</v>
      </c>
      <c r="EJ141" s="76">
        <v>9260</v>
      </c>
      <c r="EK141" s="76">
        <v>1613</v>
      </c>
      <c r="EL141" s="76">
        <v>7929</v>
      </c>
      <c r="EM141" s="76">
        <v>-282</v>
      </c>
      <c r="EN141" s="76">
        <v>9598</v>
      </c>
      <c r="EO141" s="76">
        <v>2741</v>
      </c>
      <c r="EP141" s="76">
        <v>2343</v>
      </c>
      <c r="EQ141" s="76">
        <v>2741</v>
      </c>
      <c r="ER141" s="76">
        <v>1472199</v>
      </c>
      <c r="ES141" s="76">
        <v>0</v>
      </c>
      <c r="ET141" s="76">
        <v>1472199</v>
      </c>
      <c r="EU141" s="76">
        <v>38115</v>
      </c>
      <c r="EV141" s="76">
        <v>-9904</v>
      </c>
      <c r="EW141" s="76">
        <v>0</v>
      </c>
      <c r="EX141" s="76">
        <v>0</v>
      </c>
      <c r="EY141" s="76">
        <v>-470</v>
      </c>
      <c r="EZ141" s="76">
        <v>1499940</v>
      </c>
      <c r="FA141" s="76">
        <v>260820</v>
      </c>
      <c r="FB141" s="76">
        <v>33798</v>
      </c>
      <c r="FC141" s="76">
        <v>143</v>
      </c>
      <c r="FD141" s="76">
        <v>0</v>
      </c>
      <c r="FE141" s="76">
        <v>-4868</v>
      </c>
      <c r="FF141" s="76">
        <v>0</v>
      </c>
      <c r="FG141" s="76">
        <v>-162</v>
      </c>
      <c r="FH141" s="76">
        <v>289731</v>
      </c>
      <c r="FI141" s="76">
        <v>1210209</v>
      </c>
      <c r="FJ141" s="76">
        <v>1211379</v>
      </c>
      <c r="FK141" s="76">
        <v>1292</v>
      </c>
      <c r="FL141" s="76">
        <v>1025</v>
      </c>
      <c r="FM141" s="76">
        <v>267</v>
      </c>
      <c r="FN141" s="76">
        <v>1957</v>
      </c>
      <c r="FO141" s="76">
        <v>1449</v>
      </c>
      <c r="FP141" s="76">
        <v>508</v>
      </c>
      <c r="FQ141" s="76">
        <v>1346</v>
      </c>
      <c r="FR141" s="76">
        <v>1123</v>
      </c>
      <c r="FS141" s="76">
        <v>223</v>
      </c>
      <c r="FT141" s="76">
        <v>352</v>
      </c>
      <c r="FU141" s="76">
        <v>85</v>
      </c>
      <c r="FV141" s="76">
        <v>267</v>
      </c>
      <c r="FW141" s="76">
        <v>0</v>
      </c>
      <c r="FX141" s="76">
        <v>0</v>
      </c>
      <c r="FY141" s="76">
        <v>0</v>
      </c>
      <c r="FZ141" s="76">
        <v>18</v>
      </c>
      <c r="GA141" s="76">
        <v>13</v>
      </c>
      <c r="GB141" s="76">
        <v>5</v>
      </c>
      <c r="GC141" s="76">
        <v>4965</v>
      </c>
      <c r="GD141" s="76">
        <v>3695</v>
      </c>
      <c r="GE141" s="76">
        <v>1270</v>
      </c>
      <c r="GF141" s="76">
        <v>0</v>
      </c>
      <c r="GG141" s="76">
        <v>0</v>
      </c>
      <c r="GH141" s="76">
        <v>0</v>
      </c>
      <c r="GI141" s="76">
        <v>0</v>
      </c>
      <c r="GJ141" s="76">
        <v>0</v>
      </c>
      <c r="GK141" s="76">
        <v>1965</v>
      </c>
      <c r="GL141" s="76">
        <v>1965</v>
      </c>
      <c r="GM141" s="76">
        <v>3884</v>
      </c>
      <c r="GN141" s="76">
        <v>3667</v>
      </c>
      <c r="GO141" s="76">
        <v>0</v>
      </c>
      <c r="GP141" s="76">
        <v>584</v>
      </c>
      <c r="GQ141" s="76">
        <v>284</v>
      </c>
      <c r="GR141" s="76">
        <v>15388</v>
      </c>
      <c r="GS141" s="76">
        <v>0</v>
      </c>
      <c r="GT141" s="76">
        <v>0</v>
      </c>
      <c r="GU141" s="76">
        <v>2495</v>
      </c>
      <c r="GV141" s="76">
        <v>0</v>
      </c>
      <c r="GW141" s="76">
        <v>7234</v>
      </c>
      <c r="GX141" s="76">
        <v>33536</v>
      </c>
      <c r="GY141" s="76">
        <v>1129</v>
      </c>
      <c r="GZ141" s="76">
        <v>1469</v>
      </c>
      <c r="HA141" s="76">
        <v>17875</v>
      </c>
      <c r="HB141" s="76">
        <v>9411</v>
      </c>
      <c r="HC141" s="76">
        <v>29884</v>
      </c>
      <c r="HD141" s="76">
        <v>0</v>
      </c>
      <c r="HE141" s="76">
        <v>747</v>
      </c>
      <c r="HF141" s="76">
        <v>747</v>
      </c>
      <c r="HG141" s="76">
        <v>15966</v>
      </c>
      <c r="HH141" s="76">
        <v>48</v>
      </c>
      <c r="HI141" s="76">
        <v>560</v>
      </c>
      <c r="HJ141" s="76">
        <v>5</v>
      </c>
      <c r="HK141" s="76">
        <v>316</v>
      </c>
      <c r="HL141" s="76">
        <v>-151</v>
      </c>
      <c r="HM141" s="76">
        <v>16744</v>
      </c>
      <c r="HN141" s="76">
        <v>23531</v>
      </c>
      <c r="HO141" s="76">
        <v>36377</v>
      </c>
      <c r="HP141" s="76">
        <v>143</v>
      </c>
      <c r="HQ141" s="76">
        <v>161</v>
      </c>
      <c r="HR141" s="76">
        <v>-192</v>
      </c>
      <c r="HS141" s="76">
        <v>-171</v>
      </c>
      <c r="HT141" s="76">
        <v>35912</v>
      </c>
      <c r="HU141" s="76">
        <v>1</v>
      </c>
      <c r="HV141" s="76">
        <v>0</v>
      </c>
      <c r="HW141" s="76">
        <v>162</v>
      </c>
      <c r="HX141" s="76">
        <v>4879</v>
      </c>
    </row>
    <row r="142" spans="1:232" x14ac:dyDescent="0.2">
      <c r="A142" s="74" t="s">
        <v>574</v>
      </c>
      <c r="B142" s="74" t="s">
        <v>575</v>
      </c>
      <c r="C142" s="75" t="s">
        <v>200</v>
      </c>
      <c r="D142" s="75">
        <v>12</v>
      </c>
      <c r="E142" s="76">
        <v>333288</v>
      </c>
      <c r="F142" s="76">
        <v>-93275</v>
      </c>
      <c r="G142" s="76">
        <v>-155436</v>
      </c>
      <c r="H142" s="76">
        <v>84577</v>
      </c>
      <c r="I142" s="76">
        <v>22820</v>
      </c>
      <c r="J142" s="76">
        <v>0</v>
      </c>
      <c r="K142" s="76">
        <v>0</v>
      </c>
      <c r="L142" s="76">
        <v>0</v>
      </c>
      <c r="M142" s="76">
        <v>767</v>
      </c>
      <c r="N142" s="76">
        <v>-50553</v>
      </c>
      <c r="O142" s="76">
        <v>0</v>
      </c>
      <c r="P142" s="76">
        <v>-2343</v>
      </c>
      <c r="Q142" s="76">
        <v>0</v>
      </c>
      <c r="R142" s="76">
        <v>0</v>
      </c>
      <c r="S142" s="76">
        <v>55268</v>
      </c>
      <c r="T142" s="76">
        <v>400</v>
      </c>
      <c r="U142" s="76">
        <v>55668</v>
      </c>
      <c r="V142" s="76">
        <v>0</v>
      </c>
      <c r="W142" s="76">
        <v>-1674</v>
      </c>
      <c r="X142" s="76">
        <v>-3811</v>
      </c>
      <c r="Y142" s="76">
        <v>0</v>
      </c>
      <c r="Z142" s="76">
        <v>50183</v>
      </c>
      <c r="AA142" s="76">
        <v>174687</v>
      </c>
      <c r="AB142" s="76">
        <v>15865</v>
      </c>
      <c r="AC142" s="76">
        <v>190552</v>
      </c>
      <c r="AD142" s="76">
        <v>8858</v>
      </c>
      <c r="AE142" s="76">
        <v>0</v>
      </c>
      <c r="AF142" s="76">
        <v>0</v>
      </c>
      <c r="AG142" s="76">
        <v>601</v>
      </c>
      <c r="AH142" s="76">
        <v>200011</v>
      </c>
      <c r="AI142" s="76">
        <v>22629</v>
      </c>
      <c r="AJ142" s="76">
        <v>17048</v>
      </c>
      <c r="AK142" s="76">
        <v>29136</v>
      </c>
      <c r="AL142" s="76">
        <v>24455</v>
      </c>
      <c r="AM142" s="76">
        <v>0</v>
      </c>
      <c r="AN142" s="76">
        <v>1479</v>
      </c>
      <c r="AO142" s="76">
        <v>28662</v>
      </c>
      <c r="AP142" s="76">
        <v>1443</v>
      </c>
      <c r="AQ142" s="76">
        <v>618</v>
      </c>
      <c r="AR142" s="76">
        <v>125470</v>
      </c>
      <c r="AS142" s="76">
        <v>74541</v>
      </c>
      <c r="AT142" s="76">
        <v>3147</v>
      </c>
      <c r="AU142" s="76">
        <v>2238333</v>
      </c>
      <c r="AV142" s="76">
        <v>0</v>
      </c>
      <c r="AW142" s="76">
        <v>11526</v>
      </c>
      <c r="AX142" s="76">
        <v>0</v>
      </c>
      <c r="AY142" s="76">
        <v>13828</v>
      </c>
      <c r="AZ142" s="76">
        <v>0</v>
      </c>
      <c r="BA142" s="76">
        <v>0</v>
      </c>
      <c r="BB142" s="76">
        <v>0</v>
      </c>
      <c r="BC142" s="76">
        <v>0</v>
      </c>
      <c r="BD142" s="76">
        <v>1507</v>
      </c>
      <c r="BE142" s="76">
        <v>2265194</v>
      </c>
      <c r="BF142" s="76">
        <v>117828</v>
      </c>
      <c r="BG142" s="76">
        <v>19905</v>
      </c>
      <c r="BH142" s="76">
        <v>30950</v>
      </c>
      <c r="BI142" s="76">
        <v>4265</v>
      </c>
      <c r="BJ142" s="76">
        <v>12455</v>
      </c>
      <c r="BK142" s="76">
        <v>185403</v>
      </c>
      <c r="BL142" s="76">
        <v>35388</v>
      </c>
      <c r="BM142" s="76">
        <v>0</v>
      </c>
      <c r="BN142" s="76">
        <v>8858</v>
      </c>
      <c r="BO142" s="76">
        <v>74358</v>
      </c>
      <c r="BP142" s="76">
        <v>118604</v>
      </c>
      <c r="BQ142" s="76">
        <v>66799</v>
      </c>
      <c r="BR142" s="76">
        <v>2331993</v>
      </c>
      <c r="BS142" s="76">
        <v>1102192</v>
      </c>
      <c r="BT142" s="76">
        <v>0</v>
      </c>
      <c r="BU142" s="76">
        <v>0</v>
      </c>
      <c r="BV142" s="76">
        <v>642097</v>
      </c>
      <c r="BW142" s="76">
        <v>11712</v>
      </c>
      <c r="BX142" s="76">
        <v>116824</v>
      </c>
      <c r="BY142" s="76">
        <v>54878</v>
      </c>
      <c r="BZ142" s="76">
        <v>1927703</v>
      </c>
      <c r="CA142" s="76">
        <v>3660</v>
      </c>
      <c r="CB142" s="76">
        <v>1730</v>
      </c>
      <c r="CC142" s="76">
        <v>398900</v>
      </c>
      <c r="CD142" s="76">
        <v>464819</v>
      </c>
      <c r="CE142" s="76">
        <v>0</v>
      </c>
      <c r="CF142" s="76">
        <v>0</v>
      </c>
      <c r="CG142" s="76">
        <v>-65919</v>
      </c>
      <c r="CH142" s="76">
        <v>0</v>
      </c>
      <c r="CI142" s="76">
        <v>398900</v>
      </c>
      <c r="CJ142" s="76">
        <v>54217</v>
      </c>
      <c r="CK142" s="76">
        <v>36713</v>
      </c>
      <c r="CL142" s="76">
        <v>5404</v>
      </c>
      <c r="CM142" s="76">
        <v>12100</v>
      </c>
      <c r="CN142" s="76">
        <v>1630</v>
      </c>
      <c r="CO142" s="76">
        <v>0</v>
      </c>
      <c r="CP142" s="76">
        <v>2846</v>
      </c>
      <c r="CQ142" s="76">
        <v>-1216</v>
      </c>
      <c r="CR142" s="76">
        <v>0</v>
      </c>
      <c r="CS142" s="76">
        <v>0</v>
      </c>
      <c r="CT142" s="76">
        <v>0</v>
      </c>
      <c r="CU142" s="76">
        <v>0</v>
      </c>
      <c r="CV142" s="76">
        <v>0</v>
      </c>
      <c r="CW142" s="76">
        <v>0</v>
      </c>
      <c r="CX142" s="76">
        <v>0</v>
      </c>
      <c r="CY142" s="76">
        <v>0</v>
      </c>
      <c r="CZ142" s="76">
        <v>20268</v>
      </c>
      <c r="DA142" s="76">
        <v>9496</v>
      </c>
      <c r="DB142" s="76">
        <v>18647</v>
      </c>
      <c r="DC142" s="76">
        <v>-7875</v>
      </c>
      <c r="DD142" s="76">
        <v>76115</v>
      </c>
      <c r="DE142" s="76">
        <v>46209</v>
      </c>
      <c r="DF142" s="76">
        <v>26897</v>
      </c>
      <c r="DG142" s="76">
        <v>3009</v>
      </c>
      <c r="DH142" s="76">
        <v>55012</v>
      </c>
      <c r="DI142" s="76">
        <v>47066</v>
      </c>
      <c r="DJ142" s="76">
        <v>0</v>
      </c>
      <c r="DK142" s="76">
        <v>7946</v>
      </c>
      <c r="DL142" s="76">
        <v>0</v>
      </c>
      <c r="DM142" s="76">
        <v>0</v>
      </c>
      <c r="DN142" s="76">
        <v>0</v>
      </c>
      <c r="DO142" s="76">
        <v>0</v>
      </c>
      <c r="DP142" s="76">
        <v>0</v>
      </c>
      <c r="DQ142" s="76">
        <v>0</v>
      </c>
      <c r="DR142" s="76">
        <v>0</v>
      </c>
      <c r="DS142" s="76">
        <v>0</v>
      </c>
      <c r="DT142" s="76">
        <v>144</v>
      </c>
      <c r="DU142" s="76">
        <v>0</v>
      </c>
      <c r="DV142" s="76">
        <v>39</v>
      </c>
      <c r="DW142" s="76">
        <v>105</v>
      </c>
      <c r="DX142" s="76">
        <v>0</v>
      </c>
      <c r="DY142" s="76">
        <v>0</v>
      </c>
      <c r="DZ142" s="76">
        <v>0</v>
      </c>
      <c r="EA142" s="76">
        <v>0</v>
      </c>
      <c r="EB142" s="76">
        <v>2006</v>
      </c>
      <c r="EC142" s="76">
        <v>0</v>
      </c>
      <c r="ED142" s="76">
        <v>3030</v>
      </c>
      <c r="EE142" s="76">
        <v>-1024</v>
      </c>
      <c r="EF142" s="76">
        <v>57162</v>
      </c>
      <c r="EG142" s="76">
        <v>47066</v>
      </c>
      <c r="EH142" s="76">
        <v>3069</v>
      </c>
      <c r="EI142" s="76">
        <v>7027</v>
      </c>
      <c r="EJ142" s="76">
        <v>133277</v>
      </c>
      <c r="EK142" s="76">
        <v>93275</v>
      </c>
      <c r="EL142" s="76">
        <v>29966</v>
      </c>
      <c r="EM142" s="76">
        <v>10036</v>
      </c>
      <c r="EN142" s="76">
        <v>6981</v>
      </c>
      <c r="EO142" s="76">
        <v>2681</v>
      </c>
      <c r="EP142" s="76">
        <v>482</v>
      </c>
      <c r="EQ142" s="76">
        <v>2564</v>
      </c>
      <c r="ER142" s="76">
        <v>2275157</v>
      </c>
      <c r="ES142" s="76">
        <v>0</v>
      </c>
      <c r="ET142" s="76">
        <v>2275157</v>
      </c>
      <c r="EU142" s="76">
        <v>285475</v>
      </c>
      <c r="EV142" s="76">
        <v>-16553</v>
      </c>
      <c r="EW142" s="76">
        <v>0</v>
      </c>
      <c r="EX142" s="76">
        <v>0</v>
      </c>
      <c r="EY142" s="76">
        <v>-52149</v>
      </c>
      <c r="EZ142" s="76">
        <v>2491930</v>
      </c>
      <c r="FA142" s="76">
        <v>229217</v>
      </c>
      <c r="FB142" s="76">
        <v>27678</v>
      </c>
      <c r="FC142" s="76">
        <v>1443</v>
      </c>
      <c r="FD142" s="76">
        <v>0</v>
      </c>
      <c r="FE142" s="76">
        <v>-4741</v>
      </c>
      <c r="FF142" s="76">
        <v>0</v>
      </c>
      <c r="FG142" s="76">
        <v>0</v>
      </c>
      <c r="FH142" s="76">
        <v>253597</v>
      </c>
      <c r="FI142" s="76">
        <v>2238333</v>
      </c>
      <c r="FJ142" s="76">
        <v>2045940</v>
      </c>
      <c r="FK142" s="76">
        <v>8388</v>
      </c>
      <c r="FL142" s="76">
        <v>4445</v>
      </c>
      <c r="FM142" s="76">
        <v>3943</v>
      </c>
      <c r="FN142" s="76">
        <v>3095</v>
      </c>
      <c r="FO142" s="76">
        <v>2248</v>
      </c>
      <c r="FP142" s="76">
        <v>847</v>
      </c>
      <c r="FQ142" s="76">
        <v>0</v>
      </c>
      <c r="FR142" s="76">
        <v>0</v>
      </c>
      <c r="FS142" s="76">
        <v>0</v>
      </c>
      <c r="FT142" s="76">
        <v>23553</v>
      </c>
      <c r="FU142" s="76">
        <v>5523</v>
      </c>
      <c r="FV142" s="76">
        <v>18030</v>
      </c>
      <c r="FW142" s="76">
        <v>0</v>
      </c>
      <c r="FX142" s="76">
        <v>0</v>
      </c>
      <c r="FY142" s="76">
        <v>0</v>
      </c>
      <c r="FZ142" s="76">
        <v>0</v>
      </c>
      <c r="GA142" s="76">
        <v>0</v>
      </c>
      <c r="GB142" s="76">
        <v>0</v>
      </c>
      <c r="GC142" s="76">
        <v>35036</v>
      </c>
      <c r="GD142" s="76">
        <v>12216</v>
      </c>
      <c r="GE142" s="76">
        <v>22820</v>
      </c>
      <c r="GF142" s="76">
        <v>0</v>
      </c>
      <c r="GG142" s="76">
        <v>0</v>
      </c>
      <c r="GH142" s="76">
        <v>2539</v>
      </c>
      <c r="GI142" s="76">
        <v>0</v>
      </c>
      <c r="GJ142" s="76">
        <v>0</v>
      </c>
      <c r="GK142" s="76">
        <v>9916</v>
      </c>
      <c r="GL142" s="76">
        <v>12455</v>
      </c>
      <c r="GM142" s="76">
        <v>28456</v>
      </c>
      <c r="GN142" s="76">
        <v>4173</v>
      </c>
      <c r="GO142" s="76">
        <v>0</v>
      </c>
      <c r="GP142" s="76">
        <v>8372</v>
      </c>
      <c r="GQ142" s="76">
        <v>941</v>
      </c>
      <c r="GR142" s="76">
        <v>17661</v>
      </c>
      <c r="GS142" s="76">
        <v>0</v>
      </c>
      <c r="GT142" s="76">
        <v>0</v>
      </c>
      <c r="GU142" s="76">
        <v>2726</v>
      </c>
      <c r="GV142" s="76">
        <v>0</v>
      </c>
      <c r="GW142" s="76">
        <v>12029</v>
      </c>
      <c r="GX142" s="76">
        <v>74358</v>
      </c>
      <c r="GY142" s="76">
        <v>10095</v>
      </c>
      <c r="GZ142" s="76">
        <v>187</v>
      </c>
      <c r="HA142" s="76">
        <v>18323</v>
      </c>
      <c r="HB142" s="76">
        <v>26273</v>
      </c>
      <c r="HC142" s="76">
        <v>54878</v>
      </c>
      <c r="HD142" s="76">
        <v>0</v>
      </c>
      <c r="HE142" s="76">
        <v>1730</v>
      </c>
      <c r="HF142" s="76">
        <v>1730</v>
      </c>
      <c r="HG142" s="76">
        <v>51289</v>
      </c>
      <c r="HH142" s="76">
        <v>678</v>
      </c>
      <c r="HI142" s="76">
        <v>529</v>
      </c>
      <c r="HJ142" s="76">
        <v>55</v>
      </c>
      <c r="HK142" s="76">
        <v>0</v>
      </c>
      <c r="HL142" s="76">
        <v>-1998</v>
      </c>
      <c r="HM142" s="76">
        <v>50553</v>
      </c>
      <c r="HN142" s="76">
        <v>17501</v>
      </c>
      <c r="HO142" s="76">
        <v>31091</v>
      </c>
      <c r="HP142" s="76">
        <v>1798</v>
      </c>
      <c r="HQ142" s="76">
        <v>1584</v>
      </c>
      <c r="HR142" s="76">
        <v>-199</v>
      </c>
      <c r="HS142" s="76">
        <v>-7</v>
      </c>
      <c r="HT142" s="76">
        <v>40562</v>
      </c>
      <c r="HU142" s="76">
        <v>1</v>
      </c>
      <c r="HV142" s="76">
        <v>0</v>
      </c>
      <c r="HW142" s="76">
        <v>0</v>
      </c>
      <c r="HX142" s="76">
        <v>48</v>
      </c>
    </row>
    <row r="143" spans="1:232" x14ac:dyDescent="0.2">
      <c r="A143" s="74" t="s">
        <v>579</v>
      </c>
      <c r="B143" s="74" t="s">
        <v>580</v>
      </c>
      <c r="C143" s="75" t="s">
        <v>200</v>
      </c>
      <c r="D143" s="75">
        <v>12</v>
      </c>
      <c r="E143" s="76">
        <v>59329</v>
      </c>
      <c r="F143" s="76">
        <v>-7757</v>
      </c>
      <c r="G143" s="76">
        <v>-32681</v>
      </c>
      <c r="H143" s="76">
        <v>18891</v>
      </c>
      <c r="I143" s="76">
        <v>5673</v>
      </c>
      <c r="J143" s="76">
        <v>0</v>
      </c>
      <c r="K143" s="76">
        <v>0</v>
      </c>
      <c r="L143" s="76">
        <v>0</v>
      </c>
      <c r="M143" s="76">
        <v>44</v>
      </c>
      <c r="N143" s="76">
        <v>-12826</v>
      </c>
      <c r="O143" s="76">
        <v>11563</v>
      </c>
      <c r="P143" s="76">
        <v>19836</v>
      </c>
      <c r="Q143" s="76">
        <v>0</v>
      </c>
      <c r="R143" s="76">
        <v>0</v>
      </c>
      <c r="S143" s="76">
        <v>43181</v>
      </c>
      <c r="T143" s="76">
        <v>-48</v>
      </c>
      <c r="U143" s="76">
        <v>43133</v>
      </c>
      <c r="V143" s="76">
        <v>0</v>
      </c>
      <c r="W143" s="76">
        <v>0</v>
      </c>
      <c r="X143" s="76">
        <v>0</v>
      </c>
      <c r="Y143" s="76">
        <v>0</v>
      </c>
      <c r="Z143" s="76">
        <v>43133</v>
      </c>
      <c r="AA143" s="76">
        <v>34571</v>
      </c>
      <c r="AB143" s="76">
        <v>5043</v>
      </c>
      <c r="AC143" s="76">
        <v>39614</v>
      </c>
      <c r="AD143" s="76">
        <v>1797</v>
      </c>
      <c r="AE143" s="76">
        <v>0</v>
      </c>
      <c r="AF143" s="76">
        <v>0</v>
      </c>
      <c r="AG143" s="76">
        <v>3266</v>
      </c>
      <c r="AH143" s="76">
        <v>44677</v>
      </c>
      <c r="AI143" s="76">
        <v>4787</v>
      </c>
      <c r="AJ143" s="76">
        <v>5434</v>
      </c>
      <c r="AK143" s="76">
        <v>3706</v>
      </c>
      <c r="AL143" s="76">
        <v>3627</v>
      </c>
      <c r="AM143" s="76">
        <v>0</v>
      </c>
      <c r="AN143" s="76">
        <v>309</v>
      </c>
      <c r="AO143" s="76">
        <v>4503</v>
      </c>
      <c r="AP143" s="76">
        <v>-190</v>
      </c>
      <c r="AQ143" s="76">
        <v>5987</v>
      </c>
      <c r="AR143" s="76">
        <v>28163</v>
      </c>
      <c r="AS143" s="76">
        <v>16514</v>
      </c>
      <c r="AT143" s="76">
        <v>903</v>
      </c>
      <c r="AU143" s="76">
        <v>697418</v>
      </c>
      <c r="AV143" s="76">
        <v>0</v>
      </c>
      <c r="AW143" s="76">
        <v>2829</v>
      </c>
      <c r="AX143" s="76">
        <v>0</v>
      </c>
      <c r="AY143" s="76">
        <v>2778</v>
      </c>
      <c r="AZ143" s="76">
        <v>63145</v>
      </c>
      <c r="BA143" s="76">
        <v>0</v>
      </c>
      <c r="BB143" s="76">
        <v>0</v>
      </c>
      <c r="BC143" s="76">
        <v>0</v>
      </c>
      <c r="BD143" s="76">
        <v>0</v>
      </c>
      <c r="BE143" s="76">
        <v>766170</v>
      </c>
      <c r="BF143" s="76">
        <v>27289</v>
      </c>
      <c r="BG143" s="76">
        <v>6610</v>
      </c>
      <c r="BH143" s="76">
        <v>17884</v>
      </c>
      <c r="BI143" s="76">
        <v>0</v>
      </c>
      <c r="BJ143" s="76">
        <v>0</v>
      </c>
      <c r="BK143" s="76">
        <v>51783</v>
      </c>
      <c r="BL143" s="76">
        <v>18445</v>
      </c>
      <c r="BM143" s="76">
        <v>0</v>
      </c>
      <c r="BN143" s="76">
        <v>6</v>
      </c>
      <c r="BO143" s="76">
        <v>17298</v>
      </c>
      <c r="BP143" s="76">
        <v>35749</v>
      </c>
      <c r="BQ143" s="76">
        <v>16034</v>
      </c>
      <c r="BR143" s="76">
        <v>782204</v>
      </c>
      <c r="BS143" s="76">
        <v>285489</v>
      </c>
      <c r="BT143" s="76">
        <v>0</v>
      </c>
      <c r="BU143" s="76">
        <v>0</v>
      </c>
      <c r="BV143" s="76">
        <v>155570</v>
      </c>
      <c r="BW143" s="76">
        <v>0</v>
      </c>
      <c r="BX143" s="76">
        <v>0</v>
      </c>
      <c r="BY143" s="76">
        <v>3286</v>
      </c>
      <c r="BZ143" s="76">
        <v>444345</v>
      </c>
      <c r="CA143" s="76">
        <v>4813</v>
      </c>
      <c r="CB143" s="76">
        <v>0</v>
      </c>
      <c r="CC143" s="76">
        <v>333046</v>
      </c>
      <c r="CD143" s="76">
        <v>221536</v>
      </c>
      <c r="CE143" s="76">
        <v>111510</v>
      </c>
      <c r="CF143" s="76">
        <v>0</v>
      </c>
      <c r="CG143" s="76">
        <v>0</v>
      </c>
      <c r="CH143" s="76">
        <v>0</v>
      </c>
      <c r="CI143" s="76">
        <v>333046</v>
      </c>
      <c r="CJ143" s="76">
        <v>3330</v>
      </c>
      <c r="CK143" s="76">
        <v>2577</v>
      </c>
      <c r="CL143" s="76">
        <v>250</v>
      </c>
      <c r="CM143" s="76">
        <v>503</v>
      </c>
      <c r="CN143" s="76">
        <v>1664</v>
      </c>
      <c r="CO143" s="76">
        <v>0</v>
      </c>
      <c r="CP143" s="76">
        <v>1452</v>
      </c>
      <c r="CQ143" s="76">
        <v>212</v>
      </c>
      <c r="CR143" s="76">
        <v>27</v>
      </c>
      <c r="CS143" s="76">
        <v>0</v>
      </c>
      <c r="CT143" s="76">
        <v>247</v>
      </c>
      <c r="CU143" s="76">
        <v>-220</v>
      </c>
      <c r="CV143" s="76">
        <v>110</v>
      </c>
      <c r="CW143" s="76">
        <v>0</v>
      </c>
      <c r="CX143" s="76">
        <v>314</v>
      </c>
      <c r="CY143" s="76">
        <v>-204</v>
      </c>
      <c r="CZ143" s="76">
        <v>0</v>
      </c>
      <c r="DA143" s="76">
        <v>0</v>
      </c>
      <c r="DB143" s="76">
        <v>0</v>
      </c>
      <c r="DC143" s="76">
        <v>0</v>
      </c>
      <c r="DD143" s="76">
        <v>5131</v>
      </c>
      <c r="DE143" s="76">
        <v>2577</v>
      </c>
      <c r="DF143" s="76">
        <v>2263</v>
      </c>
      <c r="DG143" s="76">
        <v>291</v>
      </c>
      <c r="DH143" s="76">
        <v>5585</v>
      </c>
      <c r="DI143" s="76">
        <v>5180</v>
      </c>
      <c r="DJ143" s="76">
        <v>124</v>
      </c>
      <c r="DK143" s="76">
        <v>281</v>
      </c>
      <c r="DL143" s="76">
        <v>0</v>
      </c>
      <c r="DM143" s="76">
        <v>0</v>
      </c>
      <c r="DN143" s="76">
        <v>0</v>
      </c>
      <c r="DO143" s="76">
        <v>0</v>
      </c>
      <c r="DP143" s="76">
        <v>0</v>
      </c>
      <c r="DQ143" s="76">
        <v>0</v>
      </c>
      <c r="DR143" s="76">
        <v>0</v>
      </c>
      <c r="DS143" s="76">
        <v>0</v>
      </c>
      <c r="DT143" s="76">
        <v>2777</v>
      </c>
      <c r="DU143" s="76">
        <v>0</v>
      </c>
      <c r="DV143" s="76">
        <v>773</v>
      </c>
      <c r="DW143" s="76">
        <v>2004</v>
      </c>
      <c r="DX143" s="76">
        <v>268</v>
      </c>
      <c r="DY143" s="76">
        <v>0</v>
      </c>
      <c r="DZ143" s="76">
        <v>255</v>
      </c>
      <c r="EA143" s="76">
        <v>13</v>
      </c>
      <c r="EB143" s="76">
        <v>891</v>
      </c>
      <c r="EC143" s="76">
        <v>0</v>
      </c>
      <c r="ED143" s="76">
        <v>1103</v>
      </c>
      <c r="EE143" s="76">
        <v>-212</v>
      </c>
      <c r="EF143" s="76">
        <v>9521</v>
      </c>
      <c r="EG143" s="76">
        <v>5180</v>
      </c>
      <c r="EH143" s="76">
        <v>2255</v>
      </c>
      <c r="EI143" s="76">
        <v>2086</v>
      </c>
      <c r="EJ143" s="76">
        <v>14652</v>
      </c>
      <c r="EK143" s="76">
        <v>7757</v>
      </c>
      <c r="EL143" s="76">
        <v>4518</v>
      </c>
      <c r="EM143" s="76">
        <v>2377</v>
      </c>
      <c r="EN143" s="76">
        <v>3859</v>
      </c>
      <c r="EO143" s="76">
        <v>502</v>
      </c>
      <c r="EP143" s="76">
        <v>0</v>
      </c>
      <c r="EQ143" s="76">
        <v>502</v>
      </c>
      <c r="ER143" s="76">
        <v>738728</v>
      </c>
      <c r="ES143" s="76">
        <v>0</v>
      </c>
      <c r="ET143" s="76">
        <v>738728</v>
      </c>
      <c r="EU143" s="76">
        <v>27554</v>
      </c>
      <c r="EV143" s="76">
        <v>-7835</v>
      </c>
      <c r="EW143" s="76">
        <v>0</v>
      </c>
      <c r="EX143" s="76">
        <v>0</v>
      </c>
      <c r="EY143" s="76">
        <v>-4702</v>
      </c>
      <c r="EZ143" s="76">
        <v>753745</v>
      </c>
      <c r="FA143" s="76">
        <v>54792</v>
      </c>
      <c r="FB143" s="76">
        <v>5161</v>
      </c>
      <c r="FC143" s="76">
        <v>-190</v>
      </c>
      <c r="FD143" s="76">
        <v>0</v>
      </c>
      <c r="FE143" s="76">
        <v>-3436</v>
      </c>
      <c r="FF143" s="76">
        <v>0</v>
      </c>
      <c r="FG143" s="76">
        <v>0</v>
      </c>
      <c r="FH143" s="76">
        <v>56327</v>
      </c>
      <c r="FI143" s="76">
        <v>697418</v>
      </c>
      <c r="FJ143" s="76">
        <v>683936</v>
      </c>
      <c r="FK143" s="76">
        <v>5901</v>
      </c>
      <c r="FL143" s="76">
        <v>3128</v>
      </c>
      <c r="FM143" s="76">
        <v>2773</v>
      </c>
      <c r="FN143" s="76">
        <v>0</v>
      </c>
      <c r="FO143" s="76">
        <v>0</v>
      </c>
      <c r="FP143" s="76">
        <v>0</v>
      </c>
      <c r="FQ143" s="76">
        <v>0</v>
      </c>
      <c r="FR143" s="76">
        <v>0</v>
      </c>
      <c r="FS143" s="76">
        <v>0</v>
      </c>
      <c r="FT143" s="76">
        <v>3841</v>
      </c>
      <c r="FU143" s="76">
        <v>941</v>
      </c>
      <c r="FV143" s="76">
        <v>2900</v>
      </c>
      <c r="FW143" s="76">
        <v>0</v>
      </c>
      <c r="FX143" s="76">
        <v>0</v>
      </c>
      <c r="FY143" s="76">
        <v>0</v>
      </c>
      <c r="FZ143" s="76">
        <v>0</v>
      </c>
      <c r="GA143" s="76">
        <v>0</v>
      </c>
      <c r="GB143" s="76">
        <v>0</v>
      </c>
      <c r="GC143" s="76">
        <v>9742</v>
      </c>
      <c r="GD143" s="76">
        <v>4069</v>
      </c>
      <c r="GE143" s="76">
        <v>5673</v>
      </c>
      <c r="GF143" s="76">
        <v>0</v>
      </c>
      <c r="GG143" s="76">
        <v>0</v>
      </c>
      <c r="GH143" s="76">
        <v>0</v>
      </c>
      <c r="GI143" s="76">
        <v>0</v>
      </c>
      <c r="GJ143" s="76">
        <v>0</v>
      </c>
      <c r="GK143" s="76">
        <v>0</v>
      </c>
      <c r="GL143" s="76">
        <v>0</v>
      </c>
      <c r="GM143" s="76">
        <v>816</v>
      </c>
      <c r="GN143" s="76">
        <v>0</v>
      </c>
      <c r="GO143" s="76">
        <v>0</v>
      </c>
      <c r="GP143" s="76">
        <v>675</v>
      </c>
      <c r="GQ143" s="76">
        <v>0</v>
      </c>
      <c r="GR143" s="76">
        <v>8550</v>
      </c>
      <c r="GS143" s="76">
        <v>0</v>
      </c>
      <c r="GT143" s="76">
        <v>0</v>
      </c>
      <c r="GU143" s="76">
        <v>0</v>
      </c>
      <c r="GV143" s="76">
        <v>0</v>
      </c>
      <c r="GW143" s="76">
        <v>7257</v>
      </c>
      <c r="GX143" s="76">
        <v>17298</v>
      </c>
      <c r="GY143" s="76">
        <v>2863</v>
      </c>
      <c r="GZ143" s="76">
        <v>420</v>
      </c>
      <c r="HA143" s="76">
        <v>0</v>
      </c>
      <c r="HB143" s="76">
        <v>3</v>
      </c>
      <c r="HC143" s="76">
        <v>3286</v>
      </c>
      <c r="HD143" s="76">
        <v>0</v>
      </c>
      <c r="HE143" s="76">
        <v>0</v>
      </c>
      <c r="HF143" s="76">
        <v>0</v>
      </c>
      <c r="HG143" s="76">
        <v>14505</v>
      </c>
      <c r="HH143" s="76">
        <v>310</v>
      </c>
      <c r="HI143" s="76">
        <v>129</v>
      </c>
      <c r="HJ143" s="76">
        <v>0</v>
      </c>
      <c r="HK143" s="76">
        <v>0</v>
      </c>
      <c r="HL143" s="76">
        <v>-2118</v>
      </c>
      <c r="HM143" s="76">
        <v>12826</v>
      </c>
      <c r="HN143" s="76">
        <v>13822</v>
      </c>
      <c r="HO143" s="76">
        <v>5225</v>
      </c>
      <c r="HP143" s="76">
        <v>-190</v>
      </c>
      <c r="HQ143" s="76">
        <v>82</v>
      </c>
      <c r="HR143" s="76">
        <v>-58</v>
      </c>
      <c r="HS143" s="76">
        <v>58</v>
      </c>
      <c r="HT143" s="76">
        <v>5954</v>
      </c>
      <c r="HU143" s="76">
        <v>9</v>
      </c>
      <c r="HV143" s="76">
        <v>0</v>
      </c>
      <c r="HW143" s="76">
        <v>-26</v>
      </c>
      <c r="HX143" s="76">
        <v>540</v>
      </c>
    </row>
    <row r="144" spans="1:232" x14ac:dyDescent="0.2">
      <c r="A144" s="74" t="s">
        <v>137</v>
      </c>
      <c r="B144" s="74" t="s">
        <v>135</v>
      </c>
      <c r="C144" s="75" t="s">
        <v>201</v>
      </c>
      <c r="D144" s="75">
        <v>12</v>
      </c>
      <c r="E144" s="76">
        <v>43049</v>
      </c>
      <c r="F144" s="76">
        <v>-790</v>
      </c>
      <c r="G144" s="76">
        <v>-34088</v>
      </c>
      <c r="H144" s="76">
        <v>8171</v>
      </c>
      <c r="I144" s="76">
        <v>65</v>
      </c>
      <c r="J144" s="76">
        <v>0</v>
      </c>
      <c r="K144" s="76">
        <v>0</v>
      </c>
      <c r="L144" s="76">
        <v>0</v>
      </c>
      <c r="M144" s="76">
        <v>54</v>
      </c>
      <c r="N144" s="76">
        <v>-3410</v>
      </c>
      <c r="O144" s="76">
        <v>0</v>
      </c>
      <c r="P144" s="76">
        <v>0</v>
      </c>
      <c r="Q144" s="76">
        <v>0</v>
      </c>
      <c r="R144" s="76">
        <v>0</v>
      </c>
      <c r="S144" s="76">
        <v>4880</v>
      </c>
      <c r="T144" s="76">
        <v>-3</v>
      </c>
      <c r="U144" s="76">
        <v>4877</v>
      </c>
      <c r="V144" s="76">
        <v>0</v>
      </c>
      <c r="W144" s="76">
        <v>0</v>
      </c>
      <c r="X144" s="76">
        <v>0</v>
      </c>
      <c r="Y144" s="76">
        <v>0</v>
      </c>
      <c r="Z144" s="76">
        <v>4877</v>
      </c>
      <c r="AA144" s="76">
        <v>15469</v>
      </c>
      <c r="AB144" s="76">
        <v>2277</v>
      </c>
      <c r="AC144" s="76">
        <v>17746</v>
      </c>
      <c r="AD144" s="76">
        <v>962</v>
      </c>
      <c r="AE144" s="76">
        <v>0</v>
      </c>
      <c r="AF144" s="76">
        <v>0</v>
      </c>
      <c r="AG144" s="76">
        <v>1091</v>
      </c>
      <c r="AH144" s="76">
        <v>19799</v>
      </c>
      <c r="AI144" s="76">
        <v>4509</v>
      </c>
      <c r="AJ144" s="76">
        <v>1831</v>
      </c>
      <c r="AK144" s="76">
        <v>2225</v>
      </c>
      <c r="AL144" s="76">
        <v>1558</v>
      </c>
      <c r="AM144" s="76">
        <v>0</v>
      </c>
      <c r="AN144" s="76">
        <v>84</v>
      </c>
      <c r="AO144" s="76">
        <v>1717</v>
      </c>
      <c r="AP144" s="76">
        <v>0</v>
      </c>
      <c r="AQ144" s="76">
        <v>316</v>
      </c>
      <c r="AR144" s="76">
        <v>12240</v>
      </c>
      <c r="AS144" s="76">
        <v>7559</v>
      </c>
      <c r="AT144" s="76">
        <v>214</v>
      </c>
      <c r="AU144" s="76">
        <v>204318</v>
      </c>
      <c r="AV144" s="76">
        <v>0</v>
      </c>
      <c r="AW144" s="76">
        <v>2898</v>
      </c>
      <c r="AX144" s="76">
        <v>194</v>
      </c>
      <c r="AY144" s="76">
        <v>0</v>
      </c>
      <c r="AZ144" s="76">
        <v>0</v>
      </c>
      <c r="BA144" s="76">
        <v>0</v>
      </c>
      <c r="BB144" s="76">
        <v>0</v>
      </c>
      <c r="BC144" s="76">
        <v>0</v>
      </c>
      <c r="BD144" s="76">
        <v>382</v>
      </c>
      <c r="BE144" s="76">
        <v>207792</v>
      </c>
      <c r="BF144" s="76">
        <v>0</v>
      </c>
      <c r="BG144" s="76">
        <v>4847</v>
      </c>
      <c r="BH144" s="76">
        <v>6278</v>
      </c>
      <c r="BI144" s="76">
        <v>0</v>
      </c>
      <c r="BJ144" s="76">
        <v>903</v>
      </c>
      <c r="BK144" s="76">
        <v>12028</v>
      </c>
      <c r="BL144" s="76">
        <v>1995</v>
      </c>
      <c r="BM144" s="76">
        <v>0</v>
      </c>
      <c r="BN144" s="76">
        <v>1021</v>
      </c>
      <c r="BO144" s="76">
        <v>7829</v>
      </c>
      <c r="BP144" s="76">
        <v>10845</v>
      </c>
      <c r="BQ144" s="76">
        <v>1183</v>
      </c>
      <c r="BR144" s="76">
        <v>208975</v>
      </c>
      <c r="BS144" s="76">
        <v>82701</v>
      </c>
      <c r="BT144" s="76">
        <v>0</v>
      </c>
      <c r="BU144" s="76">
        <v>0</v>
      </c>
      <c r="BV144" s="76">
        <v>70480</v>
      </c>
      <c r="BW144" s="76">
        <v>0</v>
      </c>
      <c r="BX144" s="76">
        <v>0</v>
      </c>
      <c r="BY144" s="76">
        <v>2597</v>
      </c>
      <c r="BZ144" s="76">
        <v>155778</v>
      </c>
      <c r="CA144" s="76">
        <v>0</v>
      </c>
      <c r="CB144" s="76">
        <v>0</v>
      </c>
      <c r="CC144" s="76">
        <v>53197</v>
      </c>
      <c r="CD144" s="76">
        <v>51483</v>
      </c>
      <c r="CE144" s="76">
        <v>0</v>
      </c>
      <c r="CF144" s="76">
        <v>1714</v>
      </c>
      <c r="CG144" s="76">
        <v>0</v>
      </c>
      <c r="CH144" s="76">
        <v>0</v>
      </c>
      <c r="CI144" s="76">
        <v>53197</v>
      </c>
      <c r="CJ144" s="76">
        <v>898</v>
      </c>
      <c r="CK144" s="76">
        <v>790</v>
      </c>
      <c r="CL144" s="76">
        <v>0</v>
      </c>
      <c r="CM144" s="76">
        <v>108</v>
      </c>
      <c r="CN144" s="76">
        <v>2747</v>
      </c>
      <c r="CO144" s="76">
        <v>0</v>
      </c>
      <c r="CP144" s="76">
        <v>2747</v>
      </c>
      <c r="CQ144" s="76">
        <v>0</v>
      </c>
      <c r="CR144" s="76">
        <v>0</v>
      </c>
      <c r="CS144" s="76">
        <v>0</v>
      </c>
      <c r="CT144" s="76">
        <v>0</v>
      </c>
      <c r="CU144" s="76">
        <v>0</v>
      </c>
      <c r="CV144" s="76">
        <v>0</v>
      </c>
      <c r="CW144" s="76">
        <v>0</v>
      </c>
      <c r="CX144" s="76">
        <v>0</v>
      </c>
      <c r="CY144" s="76">
        <v>0</v>
      </c>
      <c r="CZ144" s="76">
        <v>3592</v>
      </c>
      <c r="DA144" s="76">
        <v>0</v>
      </c>
      <c r="DB144" s="76">
        <v>3341</v>
      </c>
      <c r="DC144" s="76">
        <v>251</v>
      </c>
      <c r="DD144" s="76">
        <v>7237</v>
      </c>
      <c r="DE144" s="76">
        <v>790</v>
      </c>
      <c r="DF144" s="76">
        <v>6088</v>
      </c>
      <c r="DG144" s="76">
        <v>359</v>
      </c>
      <c r="DH144" s="76">
        <v>0</v>
      </c>
      <c r="DI144" s="76">
        <v>0</v>
      </c>
      <c r="DJ144" s="76">
        <v>0</v>
      </c>
      <c r="DK144" s="76">
        <v>0</v>
      </c>
      <c r="DL144" s="76">
        <v>0</v>
      </c>
      <c r="DM144" s="76">
        <v>0</v>
      </c>
      <c r="DN144" s="76">
        <v>0</v>
      </c>
      <c r="DO144" s="76">
        <v>0</v>
      </c>
      <c r="DP144" s="76">
        <v>0</v>
      </c>
      <c r="DQ144" s="76">
        <v>0</v>
      </c>
      <c r="DR144" s="76">
        <v>0</v>
      </c>
      <c r="DS144" s="76">
        <v>0</v>
      </c>
      <c r="DT144" s="76">
        <v>118</v>
      </c>
      <c r="DU144" s="76">
        <v>0</v>
      </c>
      <c r="DV144" s="76">
        <v>113</v>
      </c>
      <c r="DW144" s="76">
        <v>5</v>
      </c>
      <c r="DX144" s="76">
        <v>412</v>
      </c>
      <c r="DY144" s="76">
        <v>0</v>
      </c>
      <c r="DZ144" s="76">
        <v>380</v>
      </c>
      <c r="EA144" s="76">
        <v>32</v>
      </c>
      <c r="EB144" s="76">
        <v>15483</v>
      </c>
      <c r="EC144" s="76">
        <v>0</v>
      </c>
      <c r="ED144" s="76">
        <v>15267</v>
      </c>
      <c r="EE144" s="76">
        <v>216</v>
      </c>
      <c r="EF144" s="76">
        <v>16013</v>
      </c>
      <c r="EG144" s="76">
        <v>0</v>
      </c>
      <c r="EH144" s="76">
        <v>15760</v>
      </c>
      <c r="EI144" s="76">
        <v>253</v>
      </c>
      <c r="EJ144" s="76">
        <v>23250</v>
      </c>
      <c r="EK144" s="76">
        <v>790</v>
      </c>
      <c r="EL144" s="76">
        <v>21848</v>
      </c>
      <c r="EM144" s="76">
        <v>612</v>
      </c>
      <c r="EN144" s="76">
        <v>567</v>
      </c>
      <c r="EO144" s="76">
        <v>168</v>
      </c>
      <c r="EP144" s="76">
        <v>0</v>
      </c>
      <c r="EQ144" s="76">
        <v>168</v>
      </c>
      <c r="ER144" s="76">
        <v>212545</v>
      </c>
      <c r="ES144" s="76">
        <v>0</v>
      </c>
      <c r="ET144" s="76">
        <v>212545</v>
      </c>
      <c r="EU144" s="76">
        <v>1777</v>
      </c>
      <c r="EV144" s="76">
        <v>-1274</v>
      </c>
      <c r="EW144" s="76">
        <v>0</v>
      </c>
      <c r="EX144" s="76">
        <v>0</v>
      </c>
      <c r="EY144" s="76">
        <v>7661</v>
      </c>
      <c r="EZ144" s="76">
        <v>220709</v>
      </c>
      <c r="FA144" s="76">
        <v>15303</v>
      </c>
      <c r="FB144" s="76">
        <v>1466</v>
      </c>
      <c r="FC144" s="76">
        <v>0</v>
      </c>
      <c r="FD144" s="76">
        <v>0</v>
      </c>
      <c r="FE144" s="76">
        <v>-378</v>
      </c>
      <c r="FF144" s="76">
        <v>0</v>
      </c>
      <c r="FG144" s="76">
        <v>0</v>
      </c>
      <c r="FH144" s="76">
        <v>16391</v>
      </c>
      <c r="FI144" s="76">
        <v>204318</v>
      </c>
      <c r="FJ144" s="76">
        <v>197242</v>
      </c>
      <c r="FK144" s="76">
        <v>338</v>
      </c>
      <c r="FL144" s="76">
        <v>230</v>
      </c>
      <c r="FM144" s="76">
        <v>108</v>
      </c>
      <c r="FN144" s="76">
        <v>0</v>
      </c>
      <c r="FO144" s="76">
        <v>0</v>
      </c>
      <c r="FP144" s="76">
        <v>0</v>
      </c>
      <c r="FQ144" s="76">
        <v>0</v>
      </c>
      <c r="FR144" s="76">
        <v>0</v>
      </c>
      <c r="FS144" s="76">
        <v>0</v>
      </c>
      <c r="FT144" s="76">
        <v>154</v>
      </c>
      <c r="FU144" s="76">
        <v>197</v>
      </c>
      <c r="FV144" s="76">
        <v>-43</v>
      </c>
      <c r="FW144" s="76">
        <v>0</v>
      </c>
      <c r="FX144" s="76">
        <v>0</v>
      </c>
      <c r="FY144" s="76">
        <v>0</v>
      </c>
      <c r="FZ144" s="76">
        <v>0</v>
      </c>
      <c r="GA144" s="76">
        <v>0</v>
      </c>
      <c r="GB144" s="76">
        <v>0</v>
      </c>
      <c r="GC144" s="76">
        <v>492</v>
      </c>
      <c r="GD144" s="76">
        <v>427</v>
      </c>
      <c r="GE144" s="76">
        <v>65</v>
      </c>
      <c r="GF144" s="76">
        <v>0</v>
      </c>
      <c r="GG144" s="76">
        <v>41</v>
      </c>
      <c r="GH144" s="76">
        <v>0</v>
      </c>
      <c r="GI144" s="76">
        <v>0</v>
      </c>
      <c r="GJ144" s="76">
        <v>0</v>
      </c>
      <c r="GK144" s="76">
        <v>862</v>
      </c>
      <c r="GL144" s="76">
        <v>903</v>
      </c>
      <c r="GM144" s="76">
        <v>1913</v>
      </c>
      <c r="GN144" s="76">
        <v>288</v>
      </c>
      <c r="GO144" s="76">
        <v>0</v>
      </c>
      <c r="GP144" s="76">
        <v>113</v>
      </c>
      <c r="GQ144" s="76">
        <v>0</v>
      </c>
      <c r="GR144" s="76">
        <v>1932</v>
      </c>
      <c r="GS144" s="76">
        <v>0</v>
      </c>
      <c r="GT144" s="76">
        <v>0</v>
      </c>
      <c r="GU144" s="76">
        <v>0</v>
      </c>
      <c r="GV144" s="76">
        <v>0</v>
      </c>
      <c r="GW144" s="76">
        <v>3583</v>
      </c>
      <c r="GX144" s="76">
        <v>7829</v>
      </c>
      <c r="GY144" s="76">
        <v>396</v>
      </c>
      <c r="GZ144" s="76">
        <v>0</v>
      </c>
      <c r="HA144" s="76">
        <v>2201</v>
      </c>
      <c r="HB144" s="76">
        <v>0</v>
      </c>
      <c r="HC144" s="76">
        <v>2597</v>
      </c>
      <c r="HD144" s="76">
        <v>0</v>
      </c>
      <c r="HE144" s="76">
        <v>0</v>
      </c>
      <c r="HF144" s="76">
        <v>0</v>
      </c>
      <c r="HG144" s="76">
        <v>3309</v>
      </c>
      <c r="HH144" s="76">
        <v>-46</v>
      </c>
      <c r="HI144" s="76">
        <v>143</v>
      </c>
      <c r="HJ144" s="76">
        <v>4</v>
      </c>
      <c r="HK144" s="76">
        <v>0</v>
      </c>
      <c r="HL144" s="76">
        <v>0</v>
      </c>
      <c r="HM144" s="76">
        <v>3410</v>
      </c>
      <c r="HN144" s="76">
        <v>1529</v>
      </c>
      <c r="HO144" s="76">
        <v>1870</v>
      </c>
      <c r="HP144" s="76">
        <v>0</v>
      </c>
      <c r="HQ144" s="76">
        <v>36</v>
      </c>
      <c r="HR144" s="76">
        <v>-4</v>
      </c>
      <c r="HS144" s="76">
        <v>102</v>
      </c>
      <c r="HT144" s="76">
        <v>3693</v>
      </c>
      <c r="HU144" s="76">
        <v>0</v>
      </c>
      <c r="HV144" s="76">
        <v>0</v>
      </c>
      <c r="HW144" s="76">
        <v>-4</v>
      </c>
      <c r="HX144" s="76">
        <v>12</v>
      </c>
    </row>
    <row r="145" spans="1:232" x14ac:dyDescent="0.2">
      <c r="A145" s="74" t="s">
        <v>141</v>
      </c>
      <c r="B145" s="74" t="s">
        <v>140</v>
      </c>
      <c r="C145" s="75" t="s">
        <v>200</v>
      </c>
      <c r="D145" s="75">
        <v>12</v>
      </c>
      <c r="E145" s="76">
        <v>136720</v>
      </c>
      <c r="F145" s="76">
        <v>-34776</v>
      </c>
      <c r="G145" s="76">
        <v>-46222</v>
      </c>
      <c r="H145" s="76">
        <v>55722</v>
      </c>
      <c r="I145" s="76">
        <v>7156</v>
      </c>
      <c r="J145" s="76">
        <v>0</v>
      </c>
      <c r="K145" s="76">
        <v>0</v>
      </c>
      <c r="L145" s="76">
        <v>0</v>
      </c>
      <c r="M145" s="76">
        <v>363</v>
      </c>
      <c r="N145" s="76">
        <v>-29784</v>
      </c>
      <c r="O145" s="76">
        <v>0</v>
      </c>
      <c r="P145" s="76">
        <v>358</v>
      </c>
      <c r="Q145" s="76">
        <v>0</v>
      </c>
      <c r="R145" s="76">
        <v>0</v>
      </c>
      <c r="S145" s="76">
        <v>33815</v>
      </c>
      <c r="T145" s="76">
        <v>-13</v>
      </c>
      <c r="U145" s="76">
        <v>33802</v>
      </c>
      <c r="V145" s="76">
        <v>0</v>
      </c>
      <c r="W145" s="76">
        <v>-224</v>
      </c>
      <c r="X145" s="76">
        <v>0</v>
      </c>
      <c r="Y145" s="76">
        <v>0</v>
      </c>
      <c r="Z145" s="76">
        <v>33578</v>
      </c>
      <c r="AA145" s="76">
        <v>82131</v>
      </c>
      <c r="AB145" s="76">
        <v>3765</v>
      </c>
      <c r="AC145" s="76">
        <v>85896</v>
      </c>
      <c r="AD145" s="76">
        <v>132</v>
      </c>
      <c r="AE145" s="76">
        <v>0</v>
      </c>
      <c r="AF145" s="76">
        <v>36</v>
      </c>
      <c r="AG145" s="76">
        <v>663</v>
      </c>
      <c r="AH145" s="76">
        <v>86727</v>
      </c>
      <c r="AI145" s="76">
        <v>6151</v>
      </c>
      <c r="AJ145" s="76">
        <v>4209</v>
      </c>
      <c r="AK145" s="76">
        <v>7724</v>
      </c>
      <c r="AL145" s="76">
        <v>5852</v>
      </c>
      <c r="AM145" s="76">
        <v>0</v>
      </c>
      <c r="AN145" s="76">
        <v>464</v>
      </c>
      <c r="AO145" s="76">
        <v>11338</v>
      </c>
      <c r="AP145" s="76">
        <v>0</v>
      </c>
      <c r="AQ145" s="76">
        <v>7453</v>
      </c>
      <c r="AR145" s="76">
        <v>43191</v>
      </c>
      <c r="AS145" s="76">
        <v>43536</v>
      </c>
      <c r="AT145" s="76">
        <v>506</v>
      </c>
      <c r="AU145" s="76">
        <v>1201080</v>
      </c>
      <c r="AV145" s="76">
        <v>0</v>
      </c>
      <c r="AW145" s="76">
        <v>11474</v>
      </c>
      <c r="AX145" s="76">
        <v>0</v>
      </c>
      <c r="AY145" s="76">
        <v>0</v>
      </c>
      <c r="AZ145" s="76">
        <v>9781</v>
      </c>
      <c r="BA145" s="76">
        <v>0</v>
      </c>
      <c r="BB145" s="76">
        <v>0</v>
      </c>
      <c r="BC145" s="76">
        <v>0</v>
      </c>
      <c r="BD145" s="76">
        <v>9691</v>
      </c>
      <c r="BE145" s="76">
        <v>1232026</v>
      </c>
      <c r="BF145" s="76">
        <v>47159</v>
      </c>
      <c r="BG145" s="76">
        <v>4550</v>
      </c>
      <c r="BH145" s="76">
        <v>17711</v>
      </c>
      <c r="BI145" s="76">
        <v>50765</v>
      </c>
      <c r="BJ145" s="76">
        <v>9939</v>
      </c>
      <c r="BK145" s="76">
        <v>130124</v>
      </c>
      <c r="BL145" s="76">
        <v>6117</v>
      </c>
      <c r="BM145" s="76">
        <v>0</v>
      </c>
      <c r="BN145" s="76">
        <v>411</v>
      </c>
      <c r="BO145" s="76">
        <v>23305</v>
      </c>
      <c r="BP145" s="76">
        <v>29833</v>
      </c>
      <c r="BQ145" s="76">
        <v>100291</v>
      </c>
      <c r="BR145" s="76">
        <v>1332317</v>
      </c>
      <c r="BS145" s="76">
        <v>744931</v>
      </c>
      <c r="BT145" s="76">
        <v>0</v>
      </c>
      <c r="BU145" s="76">
        <v>0</v>
      </c>
      <c r="BV145" s="76">
        <v>21201</v>
      </c>
      <c r="BW145" s="76">
        <v>0</v>
      </c>
      <c r="BX145" s="76">
        <v>0</v>
      </c>
      <c r="BY145" s="76">
        <v>9669</v>
      </c>
      <c r="BZ145" s="76">
        <v>775801</v>
      </c>
      <c r="CA145" s="76">
        <v>9959</v>
      </c>
      <c r="CB145" s="76">
        <v>145</v>
      </c>
      <c r="CC145" s="76">
        <v>546412</v>
      </c>
      <c r="CD145" s="76">
        <v>441482</v>
      </c>
      <c r="CE145" s="76">
        <v>104698</v>
      </c>
      <c r="CF145" s="76">
        <v>232</v>
      </c>
      <c r="CG145" s="76">
        <v>0</v>
      </c>
      <c r="CH145" s="76">
        <v>0</v>
      </c>
      <c r="CI145" s="76">
        <v>546412</v>
      </c>
      <c r="CJ145" s="76">
        <v>23893</v>
      </c>
      <c r="CK145" s="76">
        <v>13880</v>
      </c>
      <c r="CL145" s="76">
        <v>0</v>
      </c>
      <c r="CM145" s="76">
        <v>10013</v>
      </c>
      <c r="CN145" s="76">
        <v>15</v>
      </c>
      <c r="CO145" s="76">
        <v>0</v>
      </c>
      <c r="CP145" s="76">
        <v>0</v>
      </c>
      <c r="CQ145" s="76">
        <v>15</v>
      </c>
      <c r="CR145" s="76">
        <v>0</v>
      </c>
      <c r="CS145" s="76">
        <v>0</v>
      </c>
      <c r="CT145" s="76">
        <v>254</v>
      </c>
      <c r="CU145" s="76">
        <v>-254</v>
      </c>
      <c r="CV145" s="76">
        <v>0</v>
      </c>
      <c r="CW145" s="76">
        <v>0</v>
      </c>
      <c r="CX145" s="76">
        <v>0</v>
      </c>
      <c r="CY145" s="76">
        <v>0</v>
      </c>
      <c r="CZ145" s="76">
        <v>560</v>
      </c>
      <c r="DA145" s="76">
        <v>0</v>
      </c>
      <c r="DB145" s="76">
        <v>1062</v>
      </c>
      <c r="DC145" s="76">
        <v>-502</v>
      </c>
      <c r="DD145" s="76">
        <v>24468</v>
      </c>
      <c r="DE145" s="76">
        <v>13880</v>
      </c>
      <c r="DF145" s="76">
        <v>1316</v>
      </c>
      <c r="DG145" s="76">
        <v>9272</v>
      </c>
      <c r="DH145" s="76">
        <v>22111</v>
      </c>
      <c r="DI145" s="76">
        <v>20896</v>
      </c>
      <c r="DJ145" s="76">
        <v>0</v>
      </c>
      <c r="DK145" s="76">
        <v>1215</v>
      </c>
      <c r="DL145" s="76">
        <v>0</v>
      </c>
      <c r="DM145" s="76">
        <v>0</v>
      </c>
      <c r="DN145" s="76">
        <v>0</v>
      </c>
      <c r="DO145" s="76">
        <v>0</v>
      </c>
      <c r="DP145" s="76">
        <v>0</v>
      </c>
      <c r="DQ145" s="76">
        <v>0</v>
      </c>
      <c r="DR145" s="76">
        <v>0</v>
      </c>
      <c r="DS145" s="76">
        <v>0</v>
      </c>
      <c r="DT145" s="76">
        <v>3285</v>
      </c>
      <c r="DU145" s="76">
        <v>0</v>
      </c>
      <c r="DV145" s="76">
        <v>1557</v>
      </c>
      <c r="DW145" s="76">
        <v>1728</v>
      </c>
      <c r="DX145" s="76">
        <v>129</v>
      </c>
      <c r="DY145" s="76">
        <v>0</v>
      </c>
      <c r="DZ145" s="76">
        <v>123</v>
      </c>
      <c r="EA145" s="76">
        <v>6</v>
      </c>
      <c r="EB145" s="76">
        <v>0</v>
      </c>
      <c r="EC145" s="76">
        <v>0</v>
      </c>
      <c r="ED145" s="76">
        <v>35</v>
      </c>
      <c r="EE145" s="76">
        <v>-35</v>
      </c>
      <c r="EF145" s="76">
        <v>25525</v>
      </c>
      <c r="EG145" s="76">
        <v>20896</v>
      </c>
      <c r="EH145" s="76">
        <v>1715</v>
      </c>
      <c r="EI145" s="76">
        <v>2914</v>
      </c>
      <c r="EJ145" s="76">
        <v>49993</v>
      </c>
      <c r="EK145" s="76">
        <v>34776</v>
      </c>
      <c r="EL145" s="76">
        <v>3031</v>
      </c>
      <c r="EM145" s="76">
        <v>12186</v>
      </c>
      <c r="EN145" s="76">
        <v>4664</v>
      </c>
      <c r="EO145" s="76">
        <v>813</v>
      </c>
      <c r="EP145" s="76">
        <v>114</v>
      </c>
      <c r="EQ145" s="76">
        <v>813</v>
      </c>
      <c r="ER145" s="76">
        <v>1294677</v>
      </c>
      <c r="ES145" s="76">
        <v>0</v>
      </c>
      <c r="ET145" s="76">
        <v>1294677</v>
      </c>
      <c r="EU145" s="76">
        <v>37566</v>
      </c>
      <c r="EV145" s="76">
        <v>-9401</v>
      </c>
      <c r="EW145" s="76">
        <v>0</v>
      </c>
      <c r="EX145" s="76">
        <v>0</v>
      </c>
      <c r="EY145" s="76">
        <v>0</v>
      </c>
      <c r="EZ145" s="76">
        <v>1322842</v>
      </c>
      <c r="FA145" s="76">
        <v>112686</v>
      </c>
      <c r="FB145" s="76">
        <v>10930</v>
      </c>
      <c r="FC145" s="76">
        <v>0</v>
      </c>
      <c r="FD145" s="76">
        <v>0</v>
      </c>
      <c r="FE145" s="76">
        <v>-1854</v>
      </c>
      <c r="FF145" s="76">
        <v>0</v>
      </c>
      <c r="FG145" s="76">
        <v>0</v>
      </c>
      <c r="FH145" s="76">
        <v>121762</v>
      </c>
      <c r="FI145" s="76">
        <v>1201080</v>
      </c>
      <c r="FJ145" s="76">
        <v>1181991</v>
      </c>
      <c r="FK145" s="76">
        <v>12754</v>
      </c>
      <c r="FL145" s="76">
        <v>8079</v>
      </c>
      <c r="FM145" s="76">
        <v>4675</v>
      </c>
      <c r="FN145" s="76">
        <v>0</v>
      </c>
      <c r="FO145" s="76">
        <v>0</v>
      </c>
      <c r="FP145" s="76">
        <v>0</v>
      </c>
      <c r="FQ145" s="76">
        <v>607</v>
      </c>
      <c r="FR145" s="76">
        <v>242</v>
      </c>
      <c r="FS145" s="76">
        <v>365</v>
      </c>
      <c r="FT145" s="76">
        <v>3367</v>
      </c>
      <c r="FU145" s="76">
        <v>1584</v>
      </c>
      <c r="FV145" s="76">
        <v>1783</v>
      </c>
      <c r="FW145" s="76">
        <v>0</v>
      </c>
      <c r="FX145" s="76">
        <v>0</v>
      </c>
      <c r="FY145" s="76">
        <v>0</v>
      </c>
      <c r="FZ145" s="76">
        <v>685</v>
      </c>
      <c r="GA145" s="76">
        <v>352</v>
      </c>
      <c r="GB145" s="76">
        <v>333</v>
      </c>
      <c r="GC145" s="76">
        <v>17413</v>
      </c>
      <c r="GD145" s="76">
        <v>10257</v>
      </c>
      <c r="GE145" s="76">
        <v>7156</v>
      </c>
      <c r="GF145" s="76">
        <v>0</v>
      </c>
      <c r="GG145" s="76">
        <v>0</v>
      </c>
      <c r="GH145" s="76">
        <v>25</v>
      </c>
      <c r="GI145" s="76">
        <v>0</v>
      </c>
      <c r="GJ145" s="76">
        <v>0</v>
      </c>
      <c r="GK145" s="76">
        <v>9914</v>
      </c>
      <c r="GL145" s="76">
        <v>9939</v>
      </c>
      <c r="GM145" s="76">
        <v>2434</v>
      </c>
      <c r="GN145" s="76">
        <v>4126</v>
      </c>
      <c r="GO145" s="76">
        <v>0</v>
      </c>
      <c r="GP145" s="76">
        <v>0</v>
      </c>
      <c r="GQ145" s="76">
        <v>0</v>
      </c>
      <c r="GR145" s="76">
        <v>15417</v>
      </c>
      <c r="GS145" s="76">
        <v>0</v>
      </c>
      <c r="GT145" s="76">
        <v>0</v>
      </c>
      <c r="GU145" s="76">
        <v>0</v>
      </c>
      <c r="GV145" s="76">
        <v>0</v>
      </c>
      <c r="GW145" s="76">
        <v>1328</v>
      </c>
      <c r="GX145" s="76">
        <v>23305</v>
      </c>
      <c r="GY145" s="76">
        <v>7564</v>
      </c>
      <c r="GZ145" s="76">
        <v>1410</v>
      </c>
      <c r="HA145" s="76">
        <v>0</v>
      </c>
      <c r="HB145" s="76">
        <v>695</v>
      </c>
      <c r="HC145" s="76">
        <v>9669</v>
      </c>
      <c r="HD145" s="76">
        <v>0</v>
      </c>
      <c r="HE145" s="76">
        <v>145</v>
      </c>
      <c r="HF145" s="76">
        <v>145</v>
      </c>
      <c r="HG145" s="76">
        <v>30996</v>
      </c>
      <c r="HH145" s="76">
        <v>21</v>
      </c>
      <c r="HI145" s="76">
        <v>241</v>
      </c>
      <c r="HJ145" s="76">
        <v>0</v>
      </c>
      <c r="HK145" s="76">
        <v>1353</v>
      </c>
      <c r="HL145" s="76">
        <v>-2827</v>
      </c>
      <c r="HM145" s="76">
        <v>29784</v>
      </c>
      <c r="HN145" s="76">
        <v>5530</v>
      </c>
      <c r="HO145" s="76">
        <v>11630</v>
      </c>
      <c r="HP145" s="76">
        <v>0</v>
      </c>
      <c r="HQ145" s="76">
        <v>289</v>
      </c>
      <c r="HR145" s="76">
        <v>-89</v>
      </c>
      <c r="HS145" s="76">
        <v>-54</v>
      </c>
      <c r="HT145" s="76">
        <v>14045</v>
      </c>
      <c r="HU145" s="76">
        <v>0</v>
      </c>
      <c r="HV145" s="76">
        <v>0</v>
      </c>
      <c r="HW145" s="76">
        <v>-6</v>
      </c>
      <c r="HX145" s="76">
        <v>186</v>
      </c>
    </row>
    <row r="146" spans="1:232" x14ac:dyDescent="0.2">
      <c r="A146" s="74" t="s">
        <v>582</v>
      </c>
      <c r="B146" s="74" t="s">
        <v>583</v>
      </c>
      <c r="C146" s="75" t="s">
        <v>200</v>
      </c>
      <c r="D146" s="75">
        <v>12</v>
      </c>
      <c r="E146" s="76">
        <v>71842</v>
      </c>
      <c r="F146" s="76">
        <v>-5871</v>
      </c>
      <c r="G146" s="76">
        <v>-39333</v>
      </c>
      <c r="H146" s="76">
        <v>26638</v>
      </c>
      <c r="I146" s="76">
        <v>1485</v>
      </c>
      <c r="J146" s="76">
        <v>0</v>
      </c>
      <c r="K146" s="76">
        <v>0</v>
      </c>
      <c r="L146" s="76">
        <v>0</v>
      </c>
      <c r="M146" s="76">
        <v>269</v>
      </c>
      <c r="N146" s="76">
        <v>-8217</v>
      </c>
      <c r="O146" s="76">
        <v>454</v>
      </c>
      <c r="P146" s="76">
        <v>0</v>
      </c>
      <c r="Q146" s="76">
        <v>0</v>
      </c>
      <c r="R146" s="76">
        <v>0</v>
      </c>
      <c r="S146" s="76">
        <v>20629</v>
      </c>
      <c r="T146" s="76">
        <v>-4</v>
      </c>
      <c r="U146" s="76">
        <v>20625</v>
      </c>
      <c r="V146" s="76">
        <v>0</v>
      </c>
      <c r="W146" s="76">
        <v>-847</v>
      </c>
      <c r="X146" s="76">
        <v>0</v>
      </c>
      <c r="Y146" s="76">
        <v>0</v>
      </c>
      <c r="Z146" s="76">
        <v>19778</v>
      </c>
      <c r="AA146" s="76">
        <v>52974</v>
      </c>
      <c r="AB146" s="76">
        <v>4733</v>
      </c>
      <c r="AC146" s="76">
        <v>57707</v>
      </c>
      <c r="AD146" s="76">
        <v>317</v>
      </c>
      <c r="AE146" s="76">
        <v>331</v>
      </c>
      <c r="AF146" s="76">
        <v>0</v>
      </c>
      <c r="AG146" s="76">
        <v>1708</v>
      </c>
      <c r="AH146" s="76">
        <v>60063</v>
      </c>
      <c r="AI146" s="76">
        <v>10961</v>
      </c>
      <c r="AJ146" s="76">
        <v>4634</v>
      </c>
      <c r="AK146" s="76">
        <v>8299</v>
      </c>
      <c r="AL146" s="76">
        <v>6639</v>
      </c>
      <c r="AM146" s="76">
        <v>0</v>
      </c>
      <c r="AN146" s="76">
        <v>629</v>
      </c>
      <c r="AO146" s="76">
        <v>4985</v>
      </c>
      <c r="AP146" s="76">
        <v>1200</v>
      </c>
      <c r="AQ146" s="76">
        <v>771</v>
      </c>
      <c r="AR146" s="76">
        <v>38118</v>
      </c>
      <c r="AS146" s="76">
        <v>21945</v>
      </c>
      <c r="AT146" s="76">
        <v>1177</v>
      </c>
      <c r="AU146" s="76">
        <v>677856</v>
      </c>
      <c r="AV146" s="76">
        <v>0</v>
      </c>
      <c r="AW146" s="76">
        <v>5791</v>
      </c>
      <c r="AX146" s="76">
        <v>0</v>
      </c>
      <c r="AY146" s="76">
        <v>0</v>
      </c>
      <c r="AZ146" s="76">
        <v>7653</v>
      </c>
      <c r="BA146" s="76">
        <v>0</v>
      </c>
      <c r="BB146" s="76">
        <v>0</v>
      </c>
      <c r="BC146" s="76">
        <v>0</v>
      </c>
      <c r="BD146" s="76">
        <v>0</v>
      </c>
      <c r="BE146" s="76">
        <v>691300</v>
      </c>
      <c r="BF146" s="76">
        <v>14748</v>
      </c>
      <c r="BG146" s="76">
        <v>2478</v>
      </c>
      <c r="BH146" s="76">
        <v>59902</v>
      </c>
      <c r="BI146" s="76">
        <v>0</v>
      </c>
      <c r="BJ146" s="76">
        <v>786</v>
      </c>
      <c r="BK146" s="76">
        <v>77914</v>
      </c>
      <c r="BL146" s="76">
        <v>3450</v>
      </c>
      <c r="BM146" s="76">
        <v>0</v>
      </c>
      <c r="BN146" s="76">
        <v>122</v>
      </c>
      <c r="BO146" s="76">
        <v>17114</v>
      </c>
      <c r="BP146" s="76">
        <v>20686</v>
      </c>
      <c r="BQ146" s="76">
        <v>57228</v>
      </c>
      <c r="BR146" s="76">
        <v>748528</v>
      </c>
      <c r="BS146" s="76">
        <v>350501</v>
      </c>
      <c r="BT146" s="76">
        <v>0</v>
      </c>
      <c r="BU146" s="76">
        <v>0</v>
      </c>
      <c r="BV146" s="76">
        <v>13977</v>
      </c>
      <c r="BW146" s="76">
        <v>0</v>
      </c>
      <c r="BX146" s="76">
        <v>0</v>
      </c>
      <c r="BY146" s="76">
        <v>10976</v>
      </c>
      <c r="BZ146" s="76">
        <v>375454</v>
      </c>
      <c r="CA146" s="76">
        <v>1517</v>
      </c>
      <c r="CB146" s="76">
        <v>616</v>
      </c>
      <c r="CC146" s="76">
        <v>370941</v>
      </c>
      <c r="CD146" s="76">
        <v>123864</v>
      </c>
      <c r="CE146" s="76">
        <v>247077</v>
      </c>
      <c r="CF146" s="76">
        <v>0</v>
      </c>
      <c r="CG146" s="76">
        <v>0</v>
      </c>
      <c r="CH146" s="76">
        <v>0</v>
      </c>
      <c r="CI146" s="76">
        <v>370941</v>
      </c>
      <c r="CJ146" s="76">
        <v>11272</v>
      </c>
      <c r="CK146" s="76">
        <v>5871</v>
      </c>
      <c r="CL146" s="76">
        <v>0</v>
      </c>
      <c r="CM146" s="76">
        <v>5401</v>
      </c>
      <c r="CN146" s="76">
        <v>0</v>
      </c>
      <c r="CO146" s="76">
        <v>0</v>
      </c>
      <c r="CP146" s="76">
        <v>0</v>
      </c>
      <c r="CQ146" s="76">
        <v>0</v>
      </c>
      <c r="CR146" s="76">
        <v>0</v>
      </c>
      <c r="CS146" s="76">
        <v>0</v>
      </c>
      <c r="CT146" s="76">
        <v>0</v>
      </c>
      <c r="CU146" s="76">
        <v>0</v>
      </c>
      <c r="CV146" s="76">
        <v>0</v>
      </c>
      <c r="CW146" s="76">
        <v>0</v>
      </c>
      <c r="CX146" s="76">
        <v>0</v>
      </c>
      <c r="CY146" s="76">
        <v>0</v>
      </c>
      <c r="CZ146" s="76">
        <v>94</v>
      </c>
      <c r="DA146" s="76">
        <v>0</v>
      </c>
      <c r="DB146" s="76">
        <v>151</v>
      </c>
      <c r="DC146" s="76">
        <v>-57</v>
      </c>
      <c r="DD146" s="76">
        <v>11366</v>
      </c>
      <c r="DE146" s="76">
        <v>5871</v>
      </c>
      <c r="DF146" s="76">
        <v>151</v>
      </c>
      <c r="DG146" s="76">
        <v>5344</v>
      </c>
      <c r="DH146" s="76">
        <v>0</v>
      </c>
      <c r="DI146" s="76">
        <v>0</v>
      </c>
      <c r="DJ146" s="76">
        <v>0</v>
      </c>
      <c r="DK146" s="76">
        <v>0</v>
      </c>
      <c r="DL146" s="76">
        <v>0</v>
      </c>
      <c r="DM146" s="76">
        <v>0</v>
      </c>
      <c r="DN146" s="76">
        <v>0</v>
      </c>
      <c r="DO146" s="76">
        <v>0</v>
      </c>
      <c r="DP146" s="76">
        <v>0</v>
      </c>
      <c r="DQ146" s="76">
        <v>0</v>
      </c>
      <c r="DR146" s="76">
        <v>0</v>
      </c>
      <c r="DS146" s="76">
        <v>0</v>
      </c>
      <c r="DT146" s="76">
        <v>150</v>
      </c>
      <c r="DU146" s="76">
        <v>0</v>
      </c>
      <c r="DV146" s="76">
        <v>72</v>
      </c>
      <c r="DW146" s="76">
        <v>78</v>
      </c>
      <c r="DX146" s="76">
        <v>0</v>
      </c>
      <c r="DY146" s="76">
        <v>0</v>
      </c>
      <c r="DZ146" s="76">
        <v>0</v>
      </c>
      <c r="EA146" s="76">
        <v>0</v>
      </c>
      <c r="EB146" s="76">
        <v>263</v>
      </c>
      <c r="EC146" s="76">
        <v>0</v>
      </c>
      <c r="ED146" s="76">
        <v>992</v>
      </c>
      <c r="EE146" s="76">
        <v>-729</v>
      </c>
      <c r="EF146" s="76">
        <v>413</v>
      </c>
      <c r="EG146" s="76">
        <v>0</v>
      </c>
      <c r="EH146" s="76">
        <v>1064</v>
      </c>
      <c r="EI146" s="76">
        <v>-651</v>
      </c>
      <c r="EJ146" s="76">
        <v>11779</v>
      </c>
      <c r="EK146" s="76">
        <v>5871</v>
      </c>
      <c r="EL146" s="76">
        <v>1215</v>
      </c>
      <c r="EM146" s="76">
        <v>4693</v>
      </c>
      <c r="EN146" s="76">
        <v>2361</v>
      </c>
      <c r="EO146" s="76">
        <v>795</v>
      </c>
      <c r="EP146" s="76">
        <v>508</v>
      </c>
      <c r="EQ146" s="76">
        <v>795</v>
      </c>
      <c r="ER146" s="76">
        <v>682063</v>
      </c>
      <c r="ES146" s="76">
        <v>0</v>
      </c>
      <c r="ET146" s="76">
        <v>682063</v>
      </c>
      <c r="EU146" s="76">
        <v>33150</v>
      </c>
      <c r="EV146" s="76">
        <v>-2333</v>
      </c>
      <c r="EW146" s="76">
        <v>0</v>
      </c>
      <c r="EX146" s="76">
        <v>0</v>
      </c>
      <c r="EY146" s="76">
        <v>-3701</v>
      </c>
      <c r="EZ146" s="76">
        <v>709179</v>
      </c>
      <c r="FA146" s="76">
        <v>25373</v>
      </c>
      <c r="FB146" s="76">
        <v>4985</v>
      </c>
      <c r="FC146" s="76">
        <v>1200</v>
      </c>
      <c r="FD146" s="76">
        <v>0</v>
      </c>
      <c r="FE146" s="76">
        <v>-166</v>
      </c>
      <c r="FF146" s="76">
        <v>0</v>
      </c>
      <c r="FG146" s="76">
        <v>-69</v>
      </c>
      <c r="FH146" s="76">
        <v>31323</v>
      </c>
      <c r="FI146" s="76">
        <v>677856</v>
      </c>
      <c r="FJ146" s="76">
        <v>656690</v>
      </c>
      <c r="FK146" s="76">
        <v>2803</v>
      </c>
      <c r="FL146" s="76">
        <v>1841</v>
      </c>
      <c r="FM146" s="76">
        <v>962</v>
      </c>
      <c r="FN146" s="76">
        <v>1144</v>
      </c>
      <c r="FO146" s="76">
        <v>1299</v>
      </c>
      <c r="FP146" s="76">
        <v>-155</v>
      </c>
      <c r="FQ146" s="76">
        <v>0</v>
      </c>
      <c r="FR146" s="76">
        <v>0</v>
      </c>
      <c r="FS146" s="76">
        <v>0</v>
      </c>
      <c r="FT146" s="76">
        <v>1297</v>
      </c>
      <c r="FU146" s="76">
        <v>505</v>
      </c>
      <c r="FV146" s="76">
        <v>792</v>
      </c>
      <c r="FW146" s="76">
        <v>0</v>
      </c>
      <c r="FX146" s="76">
        <v>0</v>
      </c>
      <c r="FY146" s="76">
        <v>0</v>
      </c>
      <c r="FZ146" s="76">
        <v>0</v>
      </c>
      <c r="GA146" s="76">
        <v>114</v>
      </c>
      <c r="GB146" s="76">
        <v>-114</v>
      </c>
      <c r="GC146" s="76">
        <v>5244</v>
      </c>
      <c r="GD146" s="76">
        <v>3759</v>
      </c>
      <c r="GE146" s="76">
        <v>1485</v>
      </c>
      <c r="GF146" s="76">
        <v>0</v>
      </c>
      <c r="GG146" s="76">
        <v>0</v>
      </c>
      <c r="GH146" s="76">
        <v>269</v>
      </c>
      <c r="GI146" s="76">
        <v>0</v>
      </c>
      <c r="GJ146" s="76">
        <v>0</v>
      </c>
      <c r="GK146" s="76">
        <v>517</v>
      </c>
      <c r="GL146" s="76">
        <v>786</v>
      </c>
      <c r="GM146" s="76">
        <v>1525</v>
      </c>
      <c r="GN146" s="76">
        <v>2189</v>
      </c>
      <c r="GO146" s="76">
        <v>0</v>
      </c>
      <c r="GP146" s="76">
        <v>3118</v>
      </c>
      <c r="GQ146" s="76">
        <v>735</v>
      </c>
      <c r="GR146" s="76">
        <v>8134</v>
      </c>
      <c r="GS146" s="76">
        <v>0</v>
      </c>
      <c r="GT146" s="76">
        <v>0</v>
      </c>
      <c r="GU146" s="76">
        <v>723</v>
      </c>
      <c r="GV146" s="76">
        <v>0</v>
      </c>
      <c r="GW146" s="76">
        <v>690</v>
      </c>
      <c r="GX146" s="76">
        <v>17114</v>
      </c>
      <c r="GY146" s="76">
        <v>2706</v>
      </c>
      <c r="GZ146" s="76">
        <v>168</v>
      </c>
      <c r="HA146" s="76">
        <v>5072</v>
      </c>
      <c r="HB146" s="76">
        <v>3030</v>
      </c>
      <c r="HC146" s="76">
        <v>10976</v>
      </c>
      <c r="HD146" s="76">
        <v>0</v>
      </c>
      <c r="HE146" s="76">
        <v>616</v>
      </c>
      <c r="HF146" s="76">
        <v>616</v>
      </c>
      <c r="HG146" s="76">
        <v>10446</v>
      </c>
      <c r="HH146" s="76">
        <v>0</v>
      </c>
      <c r="HI146" s="76">
        <v>24</v>
      </c>
      <c r="HJ146" s="76">
        <v>29</v>
      </c>
      <c r="HK146" s="76">
        <v>396</v>
      </c>
      <c r="HL146" s="76">
        <v>-2678</v>
      </c>
      <c r="HM146" s="76">
        <v>8217</v>
      </c>
      <c r="HN146" s="76">
        <v>2536</v>
      </c>
      <c r="HO146" s="76">
        <v>5563</v>
      </c>
      <c r="HP146" s="76">
        <v>1200</v>
      </c>
      <c r="HQ146" s="76">
        <v>128</v>
      </c>
      <c r="HR146" s="76">
        <v>-48</v>
      </c>
      <c r="HS146" s="76">
        <v>-164</v>
      </c>
      <c r="HT146" s="76">
        <v>8798</v>
      </c>
      <c r="HU146" s="76">
        <v>12</v>
      </c>
      <c r="HV146" s="76">
        <v>-5</v>
      </c>
      <c r="HW146" s="76">
        <v>-4</v>
      </c>
      <c r="HX146" s="76">
        <v>28</v>
      </c>
    </row>
    <row r="147" spans="1:232" x14ac:dyDescent="0.2">
      <c r="A147" s="74" t="s">
        <v>589</v>
      </c>
      <c r="B147" s="74" t="s">
        <v>590</v>
      </c>
      <c r="C147" s="75" t="s">
        <v>200</v>
      </c>
      <c r="D147" s="75">
        <v>12</v>
      </c>
      <c r="E147" s="76">
        <v>292551</v>
      </c>
      <c r="F147" s="76">
        <v>-40959</v>
      </c>
      <c r="G147" s="76">
        <v>-159899</v>
      </c>
      <c r="H147" s="76">
        <v>91693</v>
      </c>
      <c r="I147" s="76">
        <v>18993</v>
      </c>
      <c r="J147" s="76">
        <v>0</v>
      </c>
      <c r="K147" s="76">
        <v>0</v>
      </c>
      <c r="L147" s="76">
        <v>0</v>
      </c>
      <c r="M147" s="76">
        <v>319</v>
      </c>
      <c r="N147" s="76">
        <v>-39473</v>
      </c>
      <c r="O147" s="76">
        <v>19783</v>
      </c>
      <c r="P147" s="76">
        <v>0</v>
      </c>
      <c r="Q147" s="76">
        <v>0</v>
      </c>
      <c r="R147" s="76">
        <v>0</v>
      </c>
      <c r="S147" s="76">
        <v>91315</v>
      </c>
      <c r="T147" s="76">
        <v>-3496</v>
      </c>
      <c r="U147" s="76">
        <v>87819</v>
      </c>
      <c r="V147" s="76">
        <v>0</v>
      </c>
      <c r="W147" s="76">
        <v>-16894</v>
      </c>
      <c r="X147" s="76">
        <v>0</v>
      </c>
      <c r="Y147" s="76">
        <v>0</v>
      </c>
      <c r="Z147" s="76">
        <v>70925</v>
      </c>
      <c r="AA147" s="76">
        <v>170914</v>
      </c>
      <c r="AB147" s="76">
        <v>12071</v>
      </c>
      <c r="AC147" s="76">
        <v>182985</v>
      </c>
      <c r="AD147" s="76">
        <v>0</v>
      </c>
      <c r="AE147" s="76">
        <v>0</v>
      </c>
      <c r="AF147" s="76">
        <v>0</v>
      </c>
      <c r="AG147" s="76">
        <v>5441</v>
      </c>
      <c r="AH147" s="76">
        <v>188426</v>
      </c>
      <c r="AI147" s="76">
        <v>29113</v>
      </c>
      <c r="AJ147" s="76">
        <v>22066</v>
      </c>
      <c r="AK147" s="76">
        <v>26381</v>
      </c>
      <c r="AL147" s="76">
        <v>17847</v>
      </c>
      <c r="AM147" s="76">
        <v>0</v>
      </c>
      <c r="AN147" s="76">
        <v>2321</v>
      </c>
      <c r="AO147" s="76">
        <v>30645</v>
      </c>
      <c r="AP147" s="76">
        <v>0</v>
      </c>
      <c r="AQ147" s="76">
        <v>0</v>
      </c>
      <c r="AR147" s="76">
        <v>128373</v>
      </c>
      <c r="AS147" s="76">
        <v>60053</v>
      </c>
      <c r="AT147" s="76">
        <v>2320</v>
      </c>
      <c r="AU147" s="76">
        <v>2731846</v>
      </c>
      <c r="AV147" s="76">
        <v>0</v>
      </c>
      <c r="AW147" s="76">
        <v>45270</v>
      </c>
      <c r="AX147" s="76">
        <v>10106</v>
      </c>
      <c r="AY147" s="76">
        <v>7067</v>
      </c>
      <c r="AZ147" s="76">
        <v>357968</v>
      </c>
      <c r="BA147" s="76">
        <v>0</v>
      </c>
      <c r="BB147" s="76">
        <v>0</v>
      </c>
      <c r="BC147" s="76">
        <v>0</v>
      </c>
      <c r="BD147" s="76">
        <v>0</v>
      </c>
      <c r="BE147" s="76">
        <v>3152257</v>
      </c>
      <c r="BF147" s="76">
        <v>129106</v>
      </c>
      <c r="BG147" s="76">
        <v>37048</v>
      </c>
      <c r="BH147" s="76">
        <v>118543</v>
      </c>
      <c r="BI147" s="76">
        <v>0</v>
      </c>
      <c r="BJ147" s="76">
        <v>3872</v>
      </c>
      <c r="BK147" s="76">
        <v>288569</v>
      </c>
      <c r="BL147" s="76">
        <v>8000</v>
      </c>
      <c r="BM147" s="76">
        <v>0</v>
      </c>
      <c r="BN147" s="76">
        <v>0</v>
      </c>
      <c r="BO147" s="76">
        <v>91348</v>
      </c>
      <c r="BP147" s="76">
        <v>99348</v>
      </c>
      <c r="BQ147" s="76">
        <v>189221</v>
      </c>
      <c r="BR147" s="76">
        <v>3341478</v>
      </c>
      <c r="BS147" s="76">
        <v>1112546</v>
      </c>
      <c r="BT147" s="76">
        <v>0</v>
      </c>
      <c r="BU147" s="76">
        <v>0</v>
      </c>
      <c r="BV147" s="76">
        <v>267299</v>
      </c>
      <c r="BW147" s="76">
        <v>0</v>
      </c>
      <c r="BX147" s="76">
        <v>0</v>
      </c>
      <c r="BY147" s="76">
        <v>23501</v>
      </c>
      <c r="BZ147" s="76">
        <v>1403346</v>
      </c>
      <c r="CA147" s="76">
        <v>80022</v>
      </c>
      <c r="CB147" s="76">
        <v>21772</v>
      </c>
      <c r="CC147" s="76">
        <v>1836338</v>
      </c>
      <c r="CD147" s="76">
        <v>1113100</v>
      </c>
      <c r="CE147" s="76">
        <v>723238</v>
      </c>
      <c r="CF147" s="76">
        <v>0</v>
      </c>
      <c r="CG147" s="76">
        <v>0</v>
      </c>
      <c r="CH147" s="76">
        <v>0</v>
      </c>
      <c r="CI147" s="76">
        <v>1836338</v>
      </c>
      <c r="CJ147" s="76">
        <v>14940</v>
      </c>
      <c r="CK147" s="76">
        <v>5871</v>
      </c>
      <c r="CL147" s="76">
        <v>67</v>
      </c>
      <c r="CM147" s="76">
        <v>9002</v>
      </c>
      <c r="CN147" s="76">
        <v>0</v>
      </c>
      <c r="CO147" s="76">
        <v>0</v>
      </c>
      <c r="CP147" s="76">
        <v>0</v>
      </c>
      <c r="CQ147" s="76">
        <v>0</v>
      </c>
      <c r="CR147" s="76">
        <v>0</v>
      </c>
      <c r="CS147" s="76">
        <v>0</v>
      </c>
      <c r="CT147" s="76">
        <v>0</v>
      </c>
      <c r="CU147" s="76">
        <v>0</v>
      </c>
      <c r="CV147" s="76">
        <v>0</v>
      </c>
      <c r="CW147" s="76">
        <v>0</v>
      </c>
      <c r="CX147" s="76">
        <v>0</v>
      </c>
      <c r="CY147" s="76">
        <v>0</v>
      </c>
      <c r="CZ147" s="76">
        <v>25</v>
      </c>
      <c r="DA147" s="76">
        <v>0</v>
      </c>
      <c r="DB147" s="76">
        <v>0</v>
      </c>
      <c r="DC147" s="76">
        <v>25</v>
      </c>
      <c r="DD147" s="76">
        <v>14965</v>
      </c>
      <c r="DE147" s="76">
        <v>5871</v>
      </c>
      <c r="DF147" s="76">
        <v>67</v>
      </c>
      <c r="DG147" s="76">
        <v>9027</v>
      </c>
      <c r="DH147" s="76">
        <v>58761</v>
      </c>
      <c r="DI147" s="76">
        <v>35400</v>
      </c>
      <c r="DJ147" s="76">
        <v>963</v>
      </c>
      <c r="DK147" s="76">
        <v>22398</v>
      </c>
      <c r="DL147" s="76">
        <v>0</v>
      </c>
      <c r="DM147" s="76">
        <v>0</v>
      </c>
      <c r="DN147" s="76">
        <v>0</v>
      </c>
      <c r="DO147" s="76">
        <v>0</v>
      </c>
      <c r="DP147" s="76">
        <v>0</v>
      </c>
      <c r="DQ147" s="76">
        <v>0</v>
      </c>
      <c r="DR147" s="76">
        <v>0</v>
      </c>
      <c r="DS147" s="76">
        <v>0</v>
      </c>
      <c r="DT147" s="76">
        <v>6288</v>
      </c>
      <c r="DU147" s="76">
        <v>0</v>
      </c>
      <c r="DV147" s="76">
        <v>3301</v>
      </c>
      <c r="DW147" s="76">
        <v>2987</v>
      </c>
      <c r="DX147" s="76">
        <v>0</v>
      </c>
      <c r="DY147" s="76">
        <v>0</v>
      </c>
      <c r="DZ147" s="76">
        <v>0</v>
      </c>
      <c r="EA147" s="76">
        <v>0</v>
      </c>
      <c r="EB147" s="76">
        <v>24111</v>
      </c>
      <c r="EC147" s="76">
        <v>-312</v>
      </c>
      <c r="ED147" s="76">
        <v>27195</v>
      </c>
      <c r="EE147" s="76">
        <v>-2772</v>
      </c>
      <c r="EF147" s="76">
        <v>89160</v>
      </c>
      <c r="EG147" s="76">
        <v>35088</v>
      </c>
      <c r="EH147" s="76">
        <v>31459</v>
      </c>
      <c r="EI147" s="76">
        <v>22613</v>
      </c>
      <c r="EJ147" s="76">
        <v>104125</v>
      </c>
      <c r="EK147" s="76">
        <v>40959</v>
      </c>
      <c r="EL147" s="76">
        <v>31526</v>
      </c>
      <c r="EM147" s="76">
        <v>31640</v>
      </c>
      <c r="EN147" s="76">
        <v>11528</v>
      </c>
      <c r="EO147" s="76">
        <v>6333</v>
      </c>
      <c r="EP147" s="76">
        <v>4122</v>
      </c>
      <c r="EQ147" s="76">
        <v>6333</v>
      </c>
      <c r="ER147" s="76">
        <v>2857266</v>
      </c>
      <c r="ES147" s="76">
        <v>0</v>
      </c>
      <c r="ET147" s="76">
        <v>2857266</v>
      </c>
      <c r="EU147" s="76">
        <v>129948</v>
      </c>
      <c r="EV147" s="76">
        <v>-45074</v>
      </c>
      <c r="EW147" s="76">
        <v>0</v>
      </c>
      <c r="EX147" s="76">
        <v>0</v>
      </c>
      <c r="EY147" s="76">
        <v>-14824</v>
      </c>
      <c r="EZ147" s="76">
        <v>2927316</v>
      </c>
      <c r="FA147" s="76">
        <v>186234</v>
      </c>
      <c r="FB147" s="76">
        <v>25273</v>
      </c>
      <c r="FC147" s="76">
        <v>0</v>
      </c>
      <c r="FD147" s="76">
        <v>0</v>
      </c>
      <c r="FE147" s="76">
        <v>-3047</v>
      </c>
      <c r="FF147" s="76">
        <v>0</v>
      </c>
      <c r="FG147" s="76">
        <v>-12990</v>
      </c>
      <c r="FH147" s="76">
        <v>195470</v>
      </c>
      <c r="FI147" s="76">
        <v>2731846</v>
      </c>
      <c r="FJ147" s="76">
        <v>2671032</v>
      </c>
      <c r="FK147" s="76">
        <v>15226</v>
      </c>
      <c r="FL147" s="76">
        <v>7803</v>
      </c>
      <c r="FM147" s="76">
        <v>7423</v>
      </c>
      <c r="FN147" s="76">
        <v>2697</v>
      </c>
      <c r="FO147" s="76">
        <v>1408</v>
      </c>
      <c r="FP147" s="76">
        <v>1289</v>
      </c>
      <c r="FQ147" s="76">
        <v>0</v>
      </c>
      <c r="FR147" s="76">
        <v>0</v>
      </c>
      <c r="FS147" s="76">
        <v>0</v>
      </c>
      <c r="FT147" s="76">
        <v>14065</v>
      </c>
      <c r="FU147" s="76">
        <v>3755</v>
      </c>
      <c r="FV147" s="76">
        <v>10310</v>
      </c>
      <c r="FW147" s="76">
        <v>0</v>
      </c>
      <c r="FX147" s="76">
        <v>0</v>
      </c>
      <c r="FY147" s="76">
        <v>0</v>
      </c>
      <c r="FZ147" s="76">
        <v>0</v>
      </c>
      <c r="GA147" s="76">
        <v>29</v>
      </c>
      <c r="GB147" s="76">
        <v>-29</v>
      </c>
      <c r="GC147" s="76">
        <v>31988</v>
      </c>
      <c r="GD147" s="76">
        <v>12995</v>
      </c>
      <c r="GE147" s="76">
        <v>18993</v>
      </c>
      <c r="GF147" s="76">
        <v>0</v>
      </c>
      <c r="GG147" s="76">
        <v>172</v>
      </c>
      <c r="GH147" s="76">
        <v>0</v>
      </c>
      <c r="GI147" s="76">
        <v>0</v>
      </c>
      <c r="GJ147" s="76">
        <v>0</v>
      </c>
      <c r="GK147" s="76">
        <v>3700</v>
      </c>
      <c r="GL147" s="76">
        <v>3872</v>
      </c>
      <c r="GM147" s="76">
        <v>10318</v>
      </c>
      <c r="GN147" s="76">
        <v>8973</v>
      </c>
      <c r="GO147" s="76">
        <v>0</v>
      </c>
      <c r="GP147" s="76">
        <v>0</v>
      </c>
      <c r="GQ147" s="76">
        <v>0</v>
      </c>
      <c r="GR147" s="76">
        <v>70188</v>
      </c>
      <c r="GS147" s="76">
        <v>0</v>
      </c>
      <c r="GT147" s="76">
        <v>0</v>
      </c>
      <c r="GU147" s="76">
        <v>0</v>
      </c>
      <c r="GV147" s="76">
        <v>0</v>
      </c>
      <c r="GW147" s="76">
        <v>1869</v>
      </c>
      <c r="GX147" s="76">
        <v>91348</v>
      </c>
      <c r="GY147" s="76">
        <v>17489</v>
      </c>
      <c r="GZ147" s="76">
        <v>6012</v>
      </c>
      <c r="HA147" s="76">
        <v>0</v>
      </c>
      <c r="HB147" s="76">
        <v>0</v>
      </c>
      <c r="HC147" s="76">
        <v>23501</v>
      </c>
      <c r="HD147" s="76">
        <v>0</v>
      </c>
      <c r="HE147" s="76">
        <v>21772</v>
      </c>
      <c r="HF147" s="76">
        <v>21772</v>
      </c>
      <c r="HG147" s="76">
        <v>43931</v>
      </c>
      <c r="HH147" s="76">
        <v>521</v>
      </c>
      <c r="HI147" s="76">
        <v>2218</v>
      </c>
      <c r="HJ147" s="76">
        <v>0</v>
      </c>
      <c r="HK147" s="76">
        <v>0</v>
      </c>
      <c r="HL147" s="76">
        <v>-7197</v>
      </c>
      <c r="HM147" s="76">
        <v>39473</v>
      </c>
      <c r="HN147" s="76">
        <v>37382</v>
      </c>
      <c r="HO147" s="76">
        <v>32871</v>
      </c>
      <c r="HP147" s="76">
        <v>0</v>
      </c>
      <c r="HQ147" s="76">
        <v>255</v>
      </c>
      <c r="HR147" s="76">
        <v>-110</v>
      </c>
      <c r="HS147" s="76">
        <v>1142</v>
      </c>
      <c r="HT147" s="76">
        <v>25885</v>
      </c>
      <c r="HU147" s="76">
        <v>16</v>
      </c>
      <c r="HV147" s="76">
        <v>-2</v>
      </c>
      <c r="HW147" s="76">
        <v>-1049</v>
      </c>
      <c r="HX147" s="76">
        <v>3381</v>
      </c>
    </row>
    <row r="148" spans="1:232" x14ac:dyDescent="0.2">
      <c r="A148" s="74" t="s">
        <v>593</v>
      </c>
      <c r="B148" s="74" t="s">
        <v>594</v>
      </c>
      <c r="C148" s="75" t="s">
        <v>200</v>
      </c>
      <c r="D148" s="75">
        <v>12</v>
      </c>
      <c r="E148" s="76">
        <v>33423</v>
      </c>
      <c r="F148" s="76">
        <v>0</v>
      </c>
      <c r="G148" s="76">
        <v>-25236</v>
      </c>
      <c r="H148" s="76">
        <v>8187</v>
      </c>
      <c r="I148" s="76">
        <v>1113</v>
      </c>
      <c r="J148" s="76">
        <v>0</v>
      </c>
      <c r="K148" s="76">
        <v>0</v>
      </c>
      <c r="L148" s="76">
        <v>0</v>
      </c>
      <c r="M148" s="76">
        <v>40</v>
      </c>
      <c r="N148" s="76">
        <v>-2197</v>
      </c>
      <c r="O148" s="76">
        <v>-208</v>
      </c>
      <c r="P148" s="76">
        <v>0</v>
      </c>
      <c r="Q148" s="76">
        <v>0</v>
      </c>
      <c r="R148" s="76">
        <v>0</v>
      </c>
      <c r="S148" s="76">
        <v>6935</v>
      </c>
      <c r="T148" s="76">
        <v>-33</v>
      </c>
      <c r="U148" s="76">
        <v>6902</v>
      </c>
      <c r="V148" s="76">
        <v>0</v>
      </c>
      <c r="W148" s="76">
        <v>-248</v>
      </c>
      <c r="X148" s="76">
        <v>0</v>
      </c>
      <c r="Y148" s="76">
        <v>0</v>
      </c>
      <c r="Z148" s="76">
        <v>6654</v>
      </c>
      <c r="AA148" s="76">
        <v>28895</v>
      </c>
      <c r="AB148" s="76">
        <v>2848</v>
      </c>
      <c r="AC148" s="76">
        <v>31743</v>
      </c>
      <c r="AD148" s="76">
        <v>10</v>
      </c>
      <c r="AE148" s="76">
        <v>0</v>
      </c>
      <c r="AF148" s="76">
        <v>0</v>
      </c>
      <c r="AG148" s="76">
        <v>0</v>
      </c>
      <c r="AH148" s="76">
        <v>31753</v>
      </c>
      <c r="AI148" s="76">
        <v>4894</v>
      </c>
      <c r="AJ148" s="76">
        <v>3930</v>
      </c>
      <c r="AK148" s="76">
        <v>5398</v>
      </c>
      <c r="AL148" s="76">
        <v>2318</v>
      </c>
      <c r="AM148" s="76">
        <v>1745</v>
      </c>
      <c r="AN148" s="76">
        <v>196</v>
      </c>
      <c r="AO148" s="76">
        <v>3145</v>
      </c>
      <c r="AP148" s="76">
        <v>0</v>
      </c>
      <c r="AQ148" s="76">
        <v>1077</v>
      </c>
      <c r="AR148" s="76">
        <v>22703</v>
      </c>
      <c r="AS148" s="76">
        <v>9050</v>
      </c>
      <c r="AT148" s="76">
        <v>125</v>
      </c>
      <c r="AU148" s="76">
        <v>186339</v>
      </c>
      <c r="AV148" s="76">
        <v>0</v>
      </c>
      <c r="AW148" s="76">
        <v>6546</v>
      </c>
      <c r="AX148" s="76">
        <v>870</v>
      </c>
      <c r="AY148" s="76">
        <v>0</v>
      </c>
      <c r="AZ148" s="76">
        <v>577</v>
      </c>
      <c r="BA148" s="76">
        <v>0</v>
      </c>
      <c r="BB148" s="76">
        <v>0</v>
      </c>
      <c r="BC148" s="76">
        <v>0</v>
      </c>
      <c r="BD148" s="76">
        <v>0</v>
      </c>
      <c r="BE148" s="76">
        <v>194332</v>
      </c>
      <c r="BF148" s="76">
        <v>0</v>
      </c>
      <c r="BG148" s="76">
        <v>2396</v>
      </c>
      <c r="BH148" s="76">
        <v>3615</v>
      </c>
      <c r="BI148" s="76">
        <v>0</v>
      </c>
      <c r="BJ148" s="76">
        <v>2128</v>
      </c>
      <c r="BK148" s="76">
        <v>8139</v>
      </c>
      <c r="BL148" s="76">
        <v>0</v>
      </c>
      <c r="BM148" s="76">
        <v>0</v>
      </c>
      <c r="BN148" s="76">
        <v>2642</v>
      </c>
      <c r="BO148" s="76">
        <v>5646</v>
      </c>
      <c r="BP148" s="76">
        <v>8288</v>
      </c>
      <c r="BQ148" s="76">
        <v>-149</v>
      </c>
      <c r="BR148" s="76">
        <v>194183</v>
      </c>
      <c r="BS148" s="76">
        <v>57583</v>
      </c>
      <c r="BT148" s="76">
        <v>0</v>
      </c>
      <c r="BU148" s="76">
        <v>0</v>
      </c>
      <c r="BV148" s="76">
        <v>263</v>
      </c>
      <c r="BW148" s="76">
        <v>0</v>
      </c>
      <c r="BX148" s="76">
        <v>0</v>
      </c>
      <c r="BY148" s="76">
        <v>1036</v>
      </c>
      <c r="BZ148" s="76">
        <v>58882</v>
      </c>
      <c r="CA148" s="76">
        <v>1277</v>
      </c>
      <c r="CB148" s="76">
        <v>0</v>
      </c>
      <c r="CC148" s="76">
        <v>134024</v>
      </c>
      <c r="CD148" s="76">
        <v>83331</v>
      </c>
      <c r="CE148" s="76">
        <v>49443</v>
      </c>
      <c r="CF148" s="76">
        <v>1247</v>
      </c>
      <c r="CG148" s="76">
        <v>0</v>
      </c>
      <c r="CH148" s="76">
        <v>3</v>
      </c>
      <c r="CI148" s="76">
        <v>134024</v>
      </c>
      <c r="CJ148" s="76">
        <v>0</v>
      </c>
      <c r="CK148" s="76">
        <v>0</v>
      </c>
      <c r="CL148" s="76">
        <v>0</v>
      </c>
      <c r="CM148" s="76">
        <v>0</v>
      </c>
      <c r="CN148" s="76">
        <v>0</v>
      </c>
      <c r="CO148" s="76">
        <v>0</v>
      </c>
      <c r="CP148" s="76">
        <v>0</v>
      </c>
      <c r="CQ148" s="76">
        <v>0</v>
      </c>
      <c r="CR148" s="76">
        <v>0</v>
      </c>
      <c r="CS148" s="76">
        <v>0</v>
      </c>
      <c r="CT148" s="76">
        <v>549</v>
      </c>
      <c r="CU148" s="76">
        <v>-549</v>
      </c>
      <c r="CV148" s="76">
        <v>0</v>
      </c>
      <c r="CW148" s="76">
        <v>0</v>
      </c>
      <c r="CX148" s="76">
        <v>0</v>
      </c>
      <c r="CY148" s="76">
        <v>0</v>
      </c>
      <c r="CZ148" s="76">
        <v>375</v>
      </c>
      <c r="DA148" s="76">
        <v>0</v>
      </c>
      <c r="DB148" s="76">
        <v>446</v>
      </c>
      <c r="DC148" s="76">
        <v>-71</v>
      </c>
      <c r="DD148" s="76">
        <v>375</v>
      </c>
      <c r="DE148" s="76">
        <v>0</v>
      </c>
      <c r="DF148" s="76">
        <v>995</v>
      </c>
      <c r="DG148" s="76">
        <v>-620</v>
      </c>
      <c r="DH148" s="76">
        <v>0</v>
      </c>
      <c r="DI148" s="76">
        <v>0</v>
      </c>
      <c r="DJ148" s="76">
        <v>0</v>
      </c>
      <c r="DK148" s="76">
        <v>0</v>
      </c>
      <c r="DL148" s="76">
        <v>0</v>
      </c>
      <c r="DM148" s="76">
        <v>0</v>
      </c>
      <c r="DN148" s="76">
        <v>0</v>
      </c>
      <c r="DO148" s="76">
        <v>0</v>
      </c>
      <c r="DP148" s="76">
        <v>0</v>
      </c>
      <c r="DQ148" s="76">
        <v>0</v>
      </c>
      <c r="DR148" s="76">
        <v>0</v>
      </c>
      <c r="DS148" s="76">
        <v>0</v>
      </c>
      <c r="DT148" s="76">
        <v>0</v>
      </c>
      <c r="DU148" s="76">
        <v>0</v>
      </c>
      <c r="DV148" s="76">
        <v>0</v>
      </c>
      <c r="DW148" s="76">
        <v>0</v>
      </c>
      <c r="DX148" s="76">
        <v>0</v>
      </c>
      <c r="DY148" s="76">
        <v>0</v>
      </c>
      <c r="DZ148" s="76">
        <v>0</v>
      </c>
      <c r="EA148" s="76">
        <v>0</v>
      </c>
      <c r="EB148" s="76">
        <v>1295</v>
      </c>
      <c r="EC148" s="76">
        <v>0</v>
      </c>
      <c r="ED148" s="76">
        <v>1538</v>
      </c>
      <c r="EE148" s="76">
        <v>-243</v>
      </c>
      <c r="EF148" s="76">
        <v>1295</v>
      </c>
      <c r="EG148" s="76">
        <v>0</v>
      </c>
      <c r="EH148" s="76">
        <v>1538</v>
      </c>
      <c r="EI148" s="76">
        <v>-243</v>
      </c>
      <c r="EJ148" s="76">
        <v>1670</v>
      </c>
      <c r="EK148" s="76">
        <v>0</v>
      </c>
      <c r="EL148" s="76">
        <v>2533</v>
      </c>
      <c r="EM148" s="76">
        <v>-863</v>
      </c>
      <c r="EN148" s="76">
        <v>1686</v>
      </c>
      <c r="EO148" s="76">
        <v>359</v>
      </c>
      <c r="EP148" s="76">
        <v>906</v>
      </c>
      <c r="EQ148" s="76">
        <v>359</v>
      </c>
      <c r="ER148" s="76">
        <v>179900</v>
      </c>
      <c r="ES148" s="76">
        <v>0</v>
      </c>
      <c r="ET148" s="76">
        <v>179900</v>
      </c>
      <c r="EU148" s="76">
        <v>16016</v>
      </c>
      <c r="EV148" s="76">
        <v>-468</v>
      </c>
      <c r="EW148" s="76">
        <v>0</v>
      </c>
      <c r="EX148" s="76">
        <v>0</v>
      </c>
      <c r="EY148" s="76">
        <v>245</v>
      </c>
      <c r="EZ148" s="76">
        <v>195693</v>
      </c>
      <c r="FA148" s="76">
        <v>6274</v>
      </c>
      <c r="FB148" s="76">
        <v>3145</v>
      </c>
      <c r="FC148" s="76">
        <v>0</v>
      </c>
      <c r="FD148" s="76">
        <v>0</v>
      </c>
      <c r="FE148" s="76">
        <v>-65</v>
      </c>
      <c r="FF148" s="76">
        <v>0</v>
      </c>
      <c r="FG148" s="76">
        <v>0</v>
      </c>
      <c r="FH148" s="76">
        <v>9354</v>
      </c>
      <c r="FI148" s="76">
        <v>186339</v>
      </c>
      <c r="FJ148" s="76">
        <v>173626</v>
      </c>
      <c r="FK148" s="76">
        <v>0</v>
      </c>
      <c r="FL148" s="76">
        <v>0</v>
      </c>
      <c r="FM148" s="76">
        <v>0</v>
      </c>
      <c r="FN148" s="76">
        <v>1590</v>
      </c>
      <c r="FO148" s="76">
        <v>477</v>
      </c>
      <c r="FP148" s="76">
        <v>1113</v>
      </c>
      <c r="FQ148" s="76">
        <v>0</v>
      </c>
      <c r="FR148" s="76">
        <v>0</v>
      </c>
      <c r="FS148" s="76">
        <v>0</v>
      </c>
      <c r="FT148" s="76">
        <v>0</v>
      </c>
      <c r="FU148" s="76">
        <v>0</v>
      </c>
      <c r="FV148" s="76">
        <v>0</v>
      </c>
      <c r="FW148" s="76">
        <v>0</v>
      </c>
      <c r="FX148" s="76">
        <v>0</v>
      </c>
      <c r="FY148" s="76">
        <v>0</v>
      </c>
      <c r="FZ148" s="76">
        <v>0</v>
      </c>
      <c r="GA148" s="76">
        <v>0</v>
      </c>
      <c r="GB148" s="76">
        <v>0</v>
      </c>
      <c r="GC148" s="76">
        <v>1590</v>
      </c>
      <c r="GD148" s="76">
        <v>477</v>
      </c>
      <c r="GE148" s="76">
        <v>1113</v>
      </c>
      <c r="GF148" s="76">
        <v>0</v>
      </c>
      <c r="GG148" s="76">
        <v>0</v>
      </c>
      <c r="GH148" s="76">
        <v>0</v>
      </c>
      <c r="GI148" s="76">
        <v>0</v>
      </c>
      <c r="GJ148" s="76">
        <v>0</v>
      </c>
      <c r="GK148" s="76">
        <v>2128</v>
      </c>
      <c r="GL148" s="76">
        <v>2128</v>
      </c>
      <c r="GM148" s="76">
        <v>1318</v>
      </c>
      <c r="GN148" s="76">
        <v>1143</v>
      </c>
      <c r="GO148" s="76">
        <v>0</v>
      </c>
      <c r="GP148" s="76">
        <v>0</v>
      </c>
      <c r="GQ148" s="76">
        <v>0</v>
      </c>
      <c r="GR148" s="76">
        <v>2620</v>
      </c>
      <c r="GS148" s="76">
        <v>0</v>
      </c>
      <c r="GT148" s="76">
        <v>0</v>
      </c>
      <c r="GU148" s="76">
        <v>0</v>
      </c>
      <c r="GV148" s="76">
        <v>0</v>
      </c>
      <c r="GW148" s="76">
        <v>565</v>
      </c>
      <c r="GX148" s="76">
        <v>5646</v>
      </c>
      <c r="GY148" s="76">
        <v>0</v>
      </c>
      <c r="GZ148" s="76">
        <v>741</v>
      </c>
      <c r="HA148" s="76">
        <v>138</v>
      </c>
      <c r="HB148" s="76">
        <v>157</v>
      </c>
      <c r="HC148" s="76">
        <v>1036</v>
      </c>
      <c r="HD148" s="76">
        <v>0</v>
      </c>
      <c r="HE148" s="76">
        <v>0</v>
      </c>
      <c r="HF148" s="76">
        <v>0</v>
      </c>
      <c r="HG148" s="76">
        <v>2256</v>
      </c>
      <c r="HH148" s="76">
        <v>33</v>
      </c>
      <c r="HI148" s="76">
        <v>35</v>
      </c>
      <c r="HJ148" s="76">
        <v>0</v>
      </c>
      <c r="HK148" s="76">
        <v>2</v>
      </c>
      <c r="HL148" s="76">
        <v>-129</v>
      </c>
      <c r="HM148" s="76">
        <v>2197</v>
      </c>
      <c r="HN148" s="76">
        <v>6538</v>
      </c>
      <c r="HO148" s="76">
        <v>4020</v>
      </c>
      <c r="HP148" s="76">
        <v>0</v>
      </c>
      <c r="HQ148" s="76">
        <v>0</v>
      </c>
      <c r="HR148" s="76">
        <v>-12</v>
      </c>
      <c r="HS148" s="76">
        <v>0</v>
      </c>
      <c r="HT148" s="76">
        <v>5357</v>
      </c>
      <c r="HU148" s="76">
        <v>0</v>
      </c>
      <c r="HV148" s="76">
        <v>0</v>
      </c>
      <c r="HW148" s="76">
        <v>0</v>
      </c>
      <c r="HX148" s="76">
        <v>0</v>
      </c>
    </row>
    <row r="149" spans="1:232" x14ac:dyDescent="0.2">
      <c r="A149" s="74" t="s">
        <v>143</v>
      </c>
      <c r="B149" s="74" t="s">
        <v>142</v>
      </c>
      <c r="C149" s="75" t="s">
        <v>200</v>
      </c>
      <c r="D149" s="75">
        <v>12</v>
      </c>
      <c r="E149" s="76">
        <v>7572</v>
      </c>
      <c r="F149" s="76">
        <v>0</v>
      </c>
      <c r="G149" s="76">
        <v>-5746</v>
      </c>
      <c r="H149" s="76">
        <v>1826</v>
      </c>
      <c r="I149" s="76">
        <v>0</v>
      </c>
      <c r="J149" s="76">
        <v>0</v>
      </c>
      <c r="K149" s="76">
        <v>29</v>
      </c>
      <c r="L149" s="76">
        <v>0</v>
      </c>
      <c r="M149" s="76">
        <v>101</v>
      </c>
      <c r="N149" s="76">
        <v>-368</v>
      </c>
      <c r="O149" s="76">
        <v>0</v>
      </c>
      <c r="P149" s="76">
        <v>74</v>
      </c>
      <c r="Q149" s="76">
        <v>0</v>
      </c>
      <c r="R149" s="76">
        <v>0</v>
      </c>
      <c r="S149" s="76">
        <v>1662</v>
      </c>
      <c r="T149" s="76">
        <v>0</v>
      </c>
      <c r="U149" s="76">
        <v>1662</v>
      </c>
      <c r="V149" s="76">
        <v>0</v>
      </c>
      <c r="W149" s="76">
        <v>-138</v>
      </c>
      <c r="X149" s="76">
        <v>0</v>
      </c>
      <c r="Y149" s="76">
        <v>0</v>
      </c>
      <c r="Z149" s="76">
        <v>1524</v>
      </c>
      <c r="AA149" s="76">
        <v>5566</v>
      </c>
      <c r="AB149" s="76">
        <v>1463</v>
      </c>
      <c r="AC149" s="76">
        <v>7029</v>
      </c>
      <c r="AD149" s="76">
        <v>315</v>
      </c>
      <c r="AE149" s="76">
        <v>0</v>
      </c>
      <c r="AF149" s="76">
        <v>151</v>
      </c>
      <c r="AG149" s="76">
        <v>0</v>
      </c>
      <c r="AH149" s="76">
        <v>7495</v>
      </c>
      <c r="AI149" s="76">
        <v>1659</v>
      </c>
      <c r="AJ149" s="76">
        <v>1260</v>
      </c>
      <c r="AK149" s="76">
        <v>688</v>
      </c>
      <c r="AL149" s="76">
        <v>623</v>
      </c>
      <c r="AM149" s="76">
        <v>331</v>
      </c>
      <c r="AN149" s="76">
        <v>7</v>
      </c>
      <c r="AO149" s="76">
        <v>1109</v>
      </c>
      <c r="AP149" s="76">
        <v>0</v>
      </c>
      <c r="AQ149" s="76">
        <v>77</v>
      </c>
      <c r="AR149" s="76">
        <v>5754</v>
      </c>
      <c r="AS149" s="76">
        <v>1741</v>
      </c>
      <c r="AT149" s="76">
        <v>35</v>
      </c>
      <c r="AU149" s="76">
        <v>60444</v>
      </c>
      <c r="AV149" s="76">
        <v>0</v>
      </c>
      <c r="AW149" s="76">
        <v>884</v>
      </c>
      <c r="AX149" s="76">
        <v>0</v>
      </c>
      <c r="AY149" s="76">
        <v>0</v>
      </c>
      <c r="AZ149" s="76">
        <v>0</v>
      </c>
      <c r="BA149" s="76">
        <v>0</v>
      </c>
      <c r="BB149" s="76">
        <v>0</v>
      </c>
      <c r="BC149" s="76">
        <v>0</v>
      </c>
      <c r="BD149" s="76">
        <v>0</v>
      </c>
      <c r="BE149" s="76">
        <v>61328</v>
      </c>
      <c r="BF149" s="76">
        <v>0</v>
      </c>
      <c r="BG149" s="76">
        <v>712</v>
      </c>
      <c r="BH149" s="76">
        <v>12890</v>
      </c>
      <c r="BI149" s="76">
        <v>910</v>
      </c>
      <c r="BJ149" s="76">
        <v>0</v>
      </c>
      <c r="BK149" s="76">
        <v>14512</v>
      </c>
      <c r="BL149" s="76">
        <v>484</v>
      </c>
      <c r="BM149" s="76">
        <v>0</v>
      </c>
      <c r="BN149" s="76">
        <v>323</v>
      </c>
      <c r="BO149" s="76">
        <v>1975</v>
      </c>
      <c r="BP149" s="76">
        <v>2782</v>
      </c>
      <c r="BQ149" s="76">
        <v>11730</v>
      </c>
      <c r="BR149" s="76">
        <v>73058</v>
      </c>
      <c r="BS149" s="76">
        <v>15845</v>
      </c>
      <c r="BT149" s="76">
        <v>0</v>
      </c>
      <c r="BU149" s="76">
        <v>0</v>
      </c>
      <c r="BV149" s="76">
        <v>30875</v>
      </c>
      <c r="BW149" s="76">
        <v>0</v>
      </c>
      <c r="BX149" s="76">
        <v>0</v>
      </c>
      <c r="BY149" s="76">
        <v>120</v>
      </c>
      <c r="BZ149" s="76">
        <v>46840</v>
      </c>
      <c r="CA149" s="76">
        <v>596</v>
      </c>
      <c r="CB149" s="76">
        <v>0</v>
      </c>
      <c r="CC149" s="76">
        <v>25622</v>
      </c>
      <c r="CD149" s="76">
        <v>25483</v>
      </c>
      <c r="CE149" s="76">
        <v>139</v>
      </c>
      <c r="CF149" s="76">
        <v>0</v>
      </c>
      <c r="CG149" s="76">
        <v>0</v>
      </c>
      <c r="CH149" s="76">
        <v>0</v>
      </c>
      <c r="CI149" s="76">
        <v>25622</v>
      </c>
      <c r="CJ149" s="76">
        <v>0</v>
      </c>
      <c r="CK149" s="76">
        <v>0</v>
      </c>
      <c r="CL149" s="76">
        <v>0</v>
      </c>
      <c r="CM149" s="76">
        <v>0</v>
      </c>
      <c r="CN149" s="76">
        <v>0</v>
      </c>
      <c r="CO149" s="76">
        <v>0</v>
      </c>
      <c r="CP149" s="76">
        <v>0</v>
      </c>
      <c r="CQ149" s="76">
        <v>0</v>
      </c>
      <c r="CR149" s="76">
        <v>0</v>
      </c>
      <c r="CS149" s="76">
        <v>0</v>
      </c>
      <c r="CT149" s="76">
        <v>0</v>
      </c>
      <c r="CU149" s="76">
        <v>0</v>
      </c>
      <c r="CV149" s="76">
        <v>0</v>
      </c>
      <c r="CW149" s="76">
        <v>0</v>
      </c>
      <c r="CX149" s="76">
        <v>0</v>
      </c>
      <c r="CY149" s="76">
        <v>0</v>
      </c>
      <c r="CZ149" s="76">
        <v>77</v>
      </c>
      <c r="DA149" s="76">
        <v>0</v>
      </c>
      <c r="DB149" s="76">
        <v>-8</v>
      </c>
      <c r="DC149" s="76">
        <v>85</v>
      </c>
      <c r="DD149" s="76">
        <v>77</v>
      </c>
      <c r="DE149" s="76">
        <v>0</v>
      </c>
      <c r="DF149" s="76">
        <v>-8</v>
      </c>
      <c r="DG149" s="76">
        <v>85</v>
      </c>
      <c r="DH149" s="76">
        <v>0</v>
      </c>
      <c r="DI149" s="76">
        <v>0</v>
      </c>
      <c r="DJ149" s="76">
        <v>0</v>
      </c>
      <c r="DK149" s="76">
        <v>0</v>
      </c>
      <c r="DL149" s="76">
        <v>0</v>
      </c>
      <c r="DM149" s="76">
        <v>0</v>
      </c>
      <c r="DN149" s="76">
        <v>0</v>
      </c>
      <c r="DO149" s="76">
        <v>0</v>
      </c>
      <c r="DP149" s="76">
        <v>0</v>
      </c>
      <c r="DQ149" s="76">
        <v>0</v>
      </c>
      <c r="DR149" s="76">
        <v>0</v>
      </c>
      <c r="DS149" s="76">
        <v>0</v>
      </c>
      <c r="DT149" s="76">
        <v>0</v>
      </c>
      <c r="DU149" s="76">
        <v>0</v>
      </c>
      <c r="DV149" s="76">
        <v>0</v>
      </c>
      <c r="DW149" s="76">
        <v>0</v>
      </c>
      <c r="DX149" s="76">
        <v>0</v>
      </c>
      <c r="DY149" s="76">
        <v>0</v>
      </c>
      <c r="DZ149" s="76">
        <v>0</v>
      </c>
      <c r="EA149" s="76">
        <v>0</v>
      </c>
      <c r="EB149" s="76">
        <v>0</v>
      </c>
      <c r="EC149" s="76">
        <v>0</v>
      </c>
      <c r="ED149" s="76">
        <v>0</v>
      </c>
      <c r="EE149" s="76">
        <v>0</v>
      </c>
      <c r="EF149" s="76">
        <v>0</v>
      </c>
      <c r="EG149" s="76">
        <v>0</v>
      </c>
      <c r="EH149" s="76">
        <v>0</v>
      </c>
      <c r="EI149" s="76">
        <v>0</v>
      </c>
      <c r="EJ149" s="76">
        <v>77</v>
      </c>
      <c r="EK149" s="76">
        <v>0</v>
      </c>
      <c r="EL149" s="76">
        <v>-8</v>
      </c>
      <c r="EM149" s="76">
        <v>85</v>
      </c>
      <c r="EN149" s="76">
        <v>33</v>
      </c>
      <c r="EO149" s="76">
        <v>9</v>
      </c>
      <c r="EP149" s="76">
        <v>0</v>
      </c>
      <c r="EQ149" s="76">
        <v>6</v>
      </c>
      <c r="ER149" s="76">
        <v>66233</v>
      </c>
      <c r="ES149" s="76">
        <v>0</v>
      </c>
      <c r="ET149" s="76">
        <v>66233</v>
      </c>
      <c r="EU149" s="76">
        <v>6312</v>
      </c>
      <c r="EV149" s="76">
        <v>-379</v>
      </c>
      <c r="EW149" s="76">
        <v>0</v>
      </c>
      <c r="EX149" s="76">
        <v>0</v>
      </c>
      <c r="EY149" s="76">
        <v>0</v>
      </c>
      <c r="EZ149" s="76">
        <v>72166</v>
      </c>
      <c r="FA149" s="76">
        <v>10992</v>
      </c>
      <c r="FB149" s="76">
        <v>1109</v>
      </c>
      <c r="FC149" s="76">
        <v>0</v>
      </c>
      <c r="FD149" s="76">
        <v>0</v>
      </c>
      <c r="FE149" s="76">
        <v>-379</v>
      </c>
      <c r="FF149" s="76">
        <v>0</v>
      </c>
      <c r="FG149" s="76">
        <v>0</v>
      </c>
      <c r="FH149" s="76">
        <v>11722</v>
      </c>
      <c r="FI149" s="76">
        <v>60444</v>
      </c>
      <c r="FJ149" s="76">
        <v>55241</v>
      </c>
      <c r="FK149" s="76">
        <v>0</v>
      </c>
      <c r="FL149" s="76">
        <v>0</v>
      </c>
      <c r="FM149" s="76">
        <v>0</v>
      </c>
      <c r="FN149" s="76">
        <v>0</v>
      </c>
      <c r="FO149" s="76">
        <v>0</v>
      </c>
      <c r="FP149" s="76">
        <v>0</v>
      </c>
      <c r="FQ149" s="76">
        <v>0</v>
      </c>
      <c r="FR149" s="76">
        <v>0</v>
      </c>
      <c r="FS149" s="76">
        <v>0</v>
      </c>
      <c r="FT149" s="76">
        <v>0</v>
      </c>
      <c r="FU149" s="76">
        <v>0</v>
      </c>
      <c r="FV149" s="76">
        <v>0</v>
      </c>
      <c r="FW149" s="76">
        <v>0</v>
      </c>
      <c r="FX149" s="76">
        <v>0</v>
      </c>
      <c r="FY149" s="76">
        <v>0</v>
      </c>
      <c r="FZ149" s="76">
        <v>0</v>
      </c>
      <c r="GA149" s="76">
        <v>0</v>
      </c>
      <c r="GB149" s="76">
        <v>0</v>
      </c>
      <c r="GC149" s="76">
        <v>0</v>
      </c>
      <c r="GD149" s="76">
        <v>0</v>
      </c>
      <c r="GE149" s="76">
        <v>0</v>
      </c>
      <c r="GF149" s="76">
        <v>0</v>
      </c>
      <c r="GG149" s="76">
        <v>0</v>
      </c>
      <c r="GH149" s="76">
        <v>0</v>
      </c>
      <c r="GI149" s="76">
        <v>0</v>
      </c>
      <c r="GJ149" s="76">
        <v>0</v>
      </c>
      <c r="GK149" s="76">
        <v>0</v>
      </c>
      <c r="GL149" s="76">
        <v>0</v>
      </c>
      <c r="GM149" s="76">
        <v>1620</v>
      </c>
      <c r="GN149" s="76">
        <v>97</v>
      </c>
      <c r="GO149" s="76">
        <v>0</v>
      </c>
      <c r="GP149" s="76">
        <v>0</v>
      </c>
      <c r="GQ149" s="76">
        <v>0</v>
      </c>
      <c r="GR149" s="76">
        <v>89</v>
      </c>
      <c r="GS149" s="76">
        <v>0</v>
      </c>
      <c r="GT149" s="76">
        <v>0</v>
      </c>
      <c r="GU149" s="76">
        <v>0</v>
      </c>
      <c r="GV149" s="76">
        <v>0</v>
      </c>
      <c r="GW149" s="76">
        <v>169</v>
      </c>
      <c r="GX149" s="76">
        <v>1975</v>
      </c>
      <c r="GY149" s="76">
        <v>0</v>
      </c>
      <c r="GZ149" s="76">
        <v>0</v>
      </c>
      <c r="HA149" s="76">
        <v>0</v>
      </c>
      <c r="HB149" s="76">
        <v>120</v>
      </c>
      <c r="HC149" s="76">
        <v>120</v>
      </c>
      <c r="HD149" s="76">
        <v>0</v>
      </c>
      <c r="HE149" s="76">
        <v>0</v>
      </c>
      <c r="HF149" s="76">
        <v>0</v>
      </c>
      <c r="HG149" s="76">
        <v>338</v>
      </c>
      <c r="HH149" s="76">
        <v>15</v>
      </c>
      <c r="HI149" s="76">
        <v>15</v>
      </c>
      <c r="HJ149" s="76">
        <v>0</v>
      </c>
      <c r="HK149" s="76">
        <v>0</v>
      </c>
      <c r="HL149" s="76">
        <v>0</v>
      </c>
      <c r="HM149" s="76">
        <v>368</v>
      </c>
      <c r="HN149" s="76">
        <v>935</v>
      </c>
      <c r="HO149" s="76">
        <v>1163</v>
      </c>
      <c r="HP149" s="76">
        <v>0</v>
      </c>
      <c r="HQ149" s="76">
        <v>17</v>
      </c>
      <c r="HR149" s="76">
        <v>0</v>
      </c>
      <c r="HS149" s="76">
        <v>0</v>
      </c>
      <c r="HT149" s="76">
        <v>1278</v>
      </c>
      <c r="HU149" s="76">
        <v>0</v>
      </c>
      <c r="HV149" s="76">
        <v>0</v>
      </c>
      <c r="HW149" s="76">
        <v>0</v>
      </c>
      <c r="HX149" s="76">
        <v>0</v>
      </c>
    </row>
    <row r="150" spans="1:232" x14ac:dyDescent="0.2">
      <c r="A150" s="74" t="s">
        <v>596</v>
      </c>
      <c r="B150" s="74" t="s">
        <v>597</v>
      </c>
      <c r="C150" s="75" t="s">
        <v>200</v>
      </c>
      <c r="D150" s="75">
        <v>12</v>
      </c>
      <c r="E150" s="76">
        <v>8929</v>
      </c>
      <c r="F150" s="76">
        <v>0</v>
      </c>
      <c r="G150" s="76">
        <v>-5943</v>
      </c>
      <c r="H150" s="76">
        <v>2986</v>
      </c>
      <c r="I150" s="76">
        <v>28</v>
      </c>
      <c r="J150" s="76">
        <v>0</v>
      </c>
      <c r="K150" s="76">
        <v>0</v>
      </c>
      <c r="L150" s="76">
        <v>0</v>
      </c>
      <c r="M150" s="76">
        <v>23</v>
      </c>
      <c r="N150" s="76">
        <v>-651</v>
      </c>
      <c r="O150" s="76">
        <v>-371</v>
      </c>
      <c r="P150" s="76">
        <v>0</v>
      </c>
      <c r="Q150" s="76">
        <v>0</v>
      </c>
      <c r="R150" s="76">
        <v>0</v>
      </c>
      <c r="S150" s="76">
        <v>2015</v>
      </c>
      <c r="T150" s="76">
        <v>-556</v>
      </c>
      <c r="U150" s="76">
        <v>1459</v>
      </c>
      <c r="V150" s="76">
        <v>0</v>
      </c>
      <c r="W150" s="76">
        <v>0</v>
      </c>
      <c r="X150" s="76">
        <v>0</v>
      </c>
      <c r="Y150" s="76">
        <v>0</v>
      </c>
      <c r="Z150" s="76">
        <v>1459</v>
      </c>
      <c r="AA150" s="76">
        <v>6833</v>
      </c>
      <c r="AB150" s="76">
        <v>551</v>
      </c>
      <c r="AC150" s="76">
        <v>7384</v>
      </c>
      <c r="AD150" s="76">
        <v>552</v>
      </c>
      <c r="AE150" s="76">
        <v>0</v>
      </c>
      <c r="AF150" s="76">
        <v>0</v>
      </c>
      <c r="AG150" s="76">
        <v>14</v>
      </c>
      <c r="AH150" s="76">
        <v>7950</v>
      </c>
      <c r="AI150" s="76">
        <v>1158</v>
      </c>
      <c r="AJ150" s="76">
        <v>435</v>
      </c>
      <c r="AK150" s="76">
        <v>1547</v>
      </c>
      <c r="AL150" s="76">
        <v>0</v>
      </c>
      <c r="AM150" s="76">
        <v>1063</v>
      </c>
      <c r="AN150" s="76">
        <v>62</v>
      </c>
      <c r="AO150" s="76">
        <v>1079</v>
      </c>
      <c r="AP150" s="76">
        <v>0</v>
      </c>
      <c r="AQ150" s="76">
        <v>5</v>
      </c>
      <c r="AR150" s="76">
        <v>5349</v>
      </c>
      <c r="AS150" s="76">
        <v>2601</v>
      </c>
      <c r="AT150" s="76">
        <v>102</v>
      </c>
      <c r="AU150" s="76">
        <v>62846</v>
      </c>
      <c r="AV150" s="76">
        <v>0</v>
      </c>
      <c r="AW150" s="76">
        <v>780</v>
      </c>
      <c r="AX150" s="76">
        <v>0</v>
      </c>
      <c r="AY150" s="76">
        <v>0</v>
      </c>
      <c r="AZ150" s="76">
        <v>4925</v>
      </c>
      <c r="BA150" s="76">
        <v>0</v>
      </c>
      <c r="BB150" s="76">
        <v>0</v>
      </c>
      <c r="BC150" s="76">
        <v>0</v>
      </c>
      <c r="BD150" s="76">
        <v>0</v>
      </c>
      <c r="BE150" s="76">
        <v>68551</v>
      </c>
      <c r="BF150" s="76">
        <v>0</v>
      </c>
      <c r="BG150" s="76">
        <v>263</v>
      </c>
      <c r="BH150" s="76">
        <v>8403</v>
      </c>
      <c r="BI150" s="76">
        <v>0</v>
      </c>
      <c r="BJ150" s="76">
        <v>198</v>
      </c>
      <c r="BK150" s="76">
        <v>8864</v>
      </c>
      <c r="BL150" s="76">
        <v>1764</v>
      </c>
      <c r="BM150" s="76">
        <v>0</v>
      </c>
      <c r="BN150" s="76">
        <v>546</v>
      </c>
      <c r="BO150" s="76">
        <v>2624</v>
      </c>
      <c r="BP150" s="76">
        <v>4934</v>
      </c>
      <c r="BQ150" s="76">
        <v>3930</v>
      </c>
      <c r="BR150" s="76">
        <v>72481</v>
      </c>
      <c r="BS150" s="76">
        <v>16880</v>
      </c>
      <c r="BT150" s="76">
        <v>0</v>
      </c>
      <c r="BU150" s="76">
        <v>0</v>
      </c>
      <c r="BV150" s="76">
        <v>41636</v>
      </c>
      <c r="BW150" s="76">
        <v>0</v>
      </c>
      <c r="BX150" s="76">
        <v>0</v>
      </c>
      <c r="BY150" s="76">
        <v>1531</v>
      </c>
      <c r="BZ150" s="76">
        <v>60047</v>
      </c>
      <c r="CA150" s="76">
        <v>0</v>
      </c>
      <c r="CB150" s="76">
        <v>521</v>
      </c>
      <c r="CC150" s="76">
        <v>11913</v>
      </c>
      <c r="CD150" s="76">
        <v>11913</v>
      </c>
      <c r="CE150" s="76">
        <v>0</v>
      </c>
      <c r="CF150" s="76">
        <v>0</v>
      </c>
      <c r="CG150" s="76">
        <v>0</v>
      </c>
      <c r="CH150" s="76">
        <v>0</v>
      </c>
      <c r="CI150" s="76">
        <v>11913</v>
      </c>
      <c r="CJ150" s="76">
        <v>0</v>
      </c>
      <c r="CK150" s="76">
        <v>0</v>
      </c>
      <c r="CL150" s="76">
        <v>0</v>
      </c>
      <c r="CM150" s="76">
        <v>0</v>
      </c>
      <c r="CN150" s="76">
        <v>0</v>
      </c>
      <c r="CO150" s="76">
        <v>0</v>
      </c>
      <c r="CP150" s="76">
        <v>0</v>
      </c>
      <c r="CQ150" s="76">
        <v>0</v>
      </c>
      <c r="CR150" s="76">
        <v>0</v>
      </c>
      <c r="CS150" s="76">
        <v>0</v>
      </c>
      <c r="CT150" s="76">
        <v>0</v>
      </c>
      <c r="CU150" s="76">
        <v>0</v>
      </c>
      <c r="CV150" s="76">
        <v>0</v>
      </c>
      <c r="CW150" s="76">
        <v>0</v>
      </c>
      <c r="CX150" s="76">
        <v>0</v>
      </c>
      <c r="CY150" s="76">
        <v>0</v>
      </c>
      <c r="CZ150" s="76">
        <v>0</v>
      </c>
      <c r="DA150" s="76">
        <v>0</v>
      </c>
      <c r="DB150" s="76">
        <v>0</v>
      </c>
      <c r="DC150" s="76">
        <v>0</v>
      </c>
      <c r="DD150" s="76">
        <v>0</v>
      </c>
      <c r="DE150" s="76">
        <v>0</v>
      </c>
      <c r="DF150" s="76">
        <v>0</v>
      </c>
      <c r="DG150" s="76">
        <v>0</v>
      </c>
      <c r="DH150" s="76">
        <v>0</v>
      </c>
      <c r="DI150" s="76">
        <v>0</v>
      </c>
      <c r="DJ150" s="76">
        <v>0</v>
      </c>
      <c r="DK150" s="76">
        <v>0</v>
      </c>
      <c r="DL150" s="76">
        <v>268</v>
      </c>
      <c r="DM150" s="76">
        <v>0</v>
      </c>
      <c r="DN150" s="76">
        <v>216</v>
      </c>
      <c r="DO150" s="76">
        <v>52</v>
      </c>
      <c r="DP150" s="76">
        <v>0</v>
      </c>
      <c r="DQ150" s="76">
        <v>0</v>
      </c>
      <c r="DR150" s="76">
        <v>0</v>
      </c>
      <c r="DS150" s="76">
        <v>0</v>
      </c>
      <c r="DT150" s="76">
        <v>0</v>
      </c>
      <c r="DU150" s="76">
        <v>0</v>
      </c>
      <c r="DV150" s="76">
        <v>0</v>
      </c>
      <c r="DW150" s="76">
        <v>0</v>
      </c>
      <c r="DX150" s="76">
        <v>0</v>
      </c>
      <c r="DY150" s="76">
        <v>0</v>
      </c>
      <c r="DZ150" s="76">
        <v>0</v>
      </c>
      <c r="EA150" s="76">
        <v>0</v>
      </c>
      <c r="EB150" s="76">
        <v>710</v>
      </c>
      <c r="EC150" s="76">
        <v>0</v>
      </c>
      <c r="ED150" s="76">
        <v>377</v>
      </c>
      <c r="EE150" s="76">
        <v>333</v>
      </c>
      <c r="EF150" s="76">
        <v>978</v>
      </c>
      <c r="EG150" s="76">
        <v>0</v>
      </c>
      <c r="EH150" s="76">
        <v>593</v>
      </c>
      <c r="EI150" s="76">
        <v>385</v>
      </c>
      <c r="EJ150" s="76">
        <v>978</v>
      </c>
      <c r="EK150" s="76">
        <v>0</v>
      </c>
      <c r="EL150" s="76">
        <v>593</v>
      </c>
      <c r="EM150" s="76">
        <v>385</v>
      </c>
      <c r="EN150" s="76">
        <v>383</v>
      </c>
      <c r="EO150" s="76">
        <v>179</v>
      </c>
      <c r="EP150" s="76">
        <v>120</v>
      </c>
      <c r="EQ150" s="76">
        <v>179</v>
      </c>
      <c r="ER150" s="76">
        <v>68032</v>
      </c>
      <c r="ES150" s="76">
        <v>0</v>
      </c>
      <c r="ET150" s="76">
        <v>68032</v>
      </c>
      <c r="EU150" s="76">
        <v>2519</v>
      </c>
      <c r="EV150" s="76">
        <v>-193</v>
      </c>
      <c r="EW150" s="76">
        <v>0</v>
      </c>
      <c r="EX150" s="76">
        <v>0</v>
      </c>
      <c r="EY150" s="76">
        <v>0</v>
      </c>
      <c r="EZ150" s="76">
        <v>70358</v>
      </c>
      <c r="FA150" s="76">
        <v>6574</v>
      </c>
      <c r="FB150" s="76">
        <v>984</v>
      </c>
      <c r="FC150" s="76">
        <v>0</v>
      </c>
      <c r="FD150" s="76">
        <v>0</v>
      </c>
      <c r="FE150" s="76">
        <v>-46</v>
      </c>
      <c r="FF150" s="76">
        <v>0</v>
      </c>
      <c r="FG150" s="76">
        <v>0</v>
      </c>
      <c r="FH150" s="76">
        <v>7512</v>
      </c>
      <c r="FI150" s="76">
        <v>62846</v>
      </c>
      <c r="FJ150" s="76">
        <v>61458</v>
      </c>
      <c r="FK150" s="76">
        <v>96</v>
      </c>
      <c r="FL150" s="76">
        <v>68</v>
      </c>
      <c r="FM150" s="76">
        <v>28</v>
      </c>
      <c r="FN150" s="76">
        <v>0</v>
      </c>
      <c r="FO150" s="76">
        <v>0</v>
      </c>
      <c r="FP150" s="76">
        <v>0</v>
      </c>
      <c r="FQ150" s="76">
        <v>0</v>
      </c>
      <c r="FR150" s="76">
        <v>0</v>
      </c>
      <c r="FS150" s="76">
        <v>0</v>
      </c>
      <c r="FT150" s="76">
        <v>0</v>
      </c>
      <c r="FU150" s="76">
        <v>0</v>
      </c>
      <c r="FV150" s="76">
        <v>0</v>
      </c>
      <c r="FW150" s="76">
        <v>0</v>
      </c>
      <c r="FX150" s="76">
        <v>0</v>
      </c>
      <c r="FY150" s="76">
        <v>0</v>
      </c>
      <c r="FZ150" s="76">
        <v>0</v>
      </c>
      <c r="GA150" s="76">
        <v>0</v>
      </c>
      <c r="GB150" s="76">
        <v>0</v>
      </c>
      <c r="GC150" s="76">
        <v>96</v>
      </c>
      <c r="GD150" s="76">
        <v>68</v>
      </c>
      <c r="GE150" s="76">
        <v>28</v>
      </c>
      <c r="GF150" s="76">
        <v>0</v>
      </c>
      <c r="GG150" s="76">
        <v>0</v>
      </c>
      <c r="GH150" s="76">
        <v>0</v>
      </c>
      <c r="GI150" s="76">
        <v>0</v>
      </c>
      <c r="GJ150" s="76">
        <v>0</v>
      </c>
      <c r="GK150" s="76">
        <v>198</v>
      </c>
      <c r="GL150" s="76">
        <v>198</v>
      </c>
      <c r="GM150" s="76">
        <v>419</v>
      </c>
      <c r="GN150" s="76">
        <v>0</v>
      </c>
      <c r="GO150" s="76">
        <v>0</v>
      </c>
      <c r="GP150" s="76">
        <v>84</v>
      </c>
      <c r="GQ150" s="76">
        <v>12</v>
      </c>
      <c r="GR150" s="76">
        <v>1455</v>
      </c>
      <c r="GS150" s="76">
        <v>0</v>
      </c>
      <c r="GT150" s="76">
        <v>0</v>
      </c>
      <c r="GU150" s="76">
        <v>201</v>
      </c>
      <c r="GV150" s="76">
        <v>0</v>
      </c>
      <c r="GW150" s="76">
        <v>453</v>
      </c>
      <c r="GX150" s="76">
        <v>2624</v>
      </c>
      <c r="GY150" s="76">
        <v>57</v>
      </c>
      <c r="GZ150" s="76">
        <v>58</v>
      </c>
      <c r="HA150" s="76">
        <v>1416</v>
      </c>
      <c r="HB150" s="76">
        <v>0</v>
      </c>
      <c r="HC150" s="76">
        <v>1531</v>
      </c>
      <c r="HD150" s="76">
        <v>0</v>
      </c>
      <c r="HE150" s="76">
        <v>521</v>
      </c>
      <c r="HF150" s="76">
        <v>521</v>
      </c>
      <c r="HG150" s="76">
        <v>618</v>
      </c>
      <c r="HH150" s="76">
        <v>0</v>
      </c>
      <c r="HI150" s="76">
        <v>34</v>
      </c>
      <c r="HJ150" s="76">
        <v>0</v>
      </c>
      <c r="HK150" s="76">
        <v>0</v>
      </c>
      <c r="HL150" s="76">
        <v>-1</v>
      </c>
      <c r="HM150" s="76">
        <v>651</v>
      </c>
      <c r="HN150" s="76">
        <v>493</v>
      </c>
      <c r="HO150" s="76">
        <v>1175</v>
      </c>
      <c r="HP150" s="76">
        <v>66</v>
      </c>
      <c r="HQ150" s="76">
        <v>4</v>
      </c>
      <c r="HR150" s="76">
        <v>-2</v>
      </c>
      <c r="HS150" s="76">
        <v>24</v>
      </c>
      <c r="HT150" s="76">
        <v>1555</v>
      </c>
      <c r="HU150" s="76">
        <v>0</v>
      </c>
      <c r="HV150" s="76">
        <v>-1</v>
      </c>
      <c r="HW150" s="76">
        <v>0</v>
      </c>
      <c r="HX150" s="76">
        <v>256</v>
      </c>
    </row>
    <row r="151" spans="1:232" x14ac:dyDescent="0.2">
      <c r="A151" s="74" t="s">
        <v>598</v>
      </c>
      <c r="B151" s="74" t="s">
        <v>599</v>
      </c>
      <c r="C151" s="75" t="s">
        <v>200</v>
      </c>
      <c r="D151" s="75">
        <v>12</v>
      </c>
      <c r="E151" s="76">
        <v>795055</v>
      </c>
      <c r="F151" s="76">
        <v>-230726</v>
      </c>
      <c r="G151" s="76">
        <v>-405637</v>
      </c>
      <c r="H151" s="76">
        <v>158692</v>
      </c>
      <c r="I151" s="76">
        <v>5811</v>
      </c>
      <c r="J151" s="76">
        <v>0</v>
      </c>
      <c r="K151" s="76">
        <v>42039</v>
      </c>
      <c r="L151" s="76">
        <v>9225</v>
      </c>
      <c r="M151" s="76">
        <v>14879</v>
      </c>
      <c r="N151" s="76">
        <v>-109016</v>
      </c>
      <c r="O151" s="76">
        <v>224</v>
      </c>
      <c r="P151" s="76">
        <v>-1521</v>
      </c>
      <c r="Q151" s="76">
        <v>0</v>
      </c>
      <c r="R151" s="76">
        <v>0</v>
      </c>
      <c r="S151" s="76">
        <v>120333</v>
      </c>
      <c r="T151" s="76">
        <v>-7227</v>
      </c>
      <c r="U151" s="76">
        <v>113106</v>
      </c>
      <c r="V151" s="76">
        <v>0</v>
      </c>
      <c r="W151" s="76">
        <v>-8537</v>
      </c>
      <c r="X151" s="76">
        <v>-6445</v>
      </c>
      <c r="Y151" s="76">
        <v>13</v>
      </c>
      <c r="Z151" s="76">
        <v>98137</v>
      </c>
      <c r="AA151" s="76">
        <v>230899</v>
      </c>
      <c r="AB151" s="76">
        <v>25684</v>
      </c>
      <c r="AC151" s="76">
        <v>256583</v>
      </c>
      <c r="AD151" s="76">
        <v>15233</v>
      </c>
      <c r="AE151" s="76">
        <v>0</v>
      </c>
      <c r="AF151" s="76">
        <v>5419</v>
      </c>
      <c r="AG151" s="76">
        <v>7797</v>
      </c>
      <c r="AH151" s="76">
        <v>285032</v>
      </c>
      <c r="AI151" s="76">
        <v>39974</v>
      </c>
      <c r="AJ151" s="76">
        <v>25122</v>
      </c>
      <c r="AK151" s="76">
        <v>34332</v>
      </c>
      <c r="AL151" s="76">
        <v>12773</v>
      </c>
      <c r="AM151" s="76">
        <v>3808</v>
      </c>
      <c r="AN151" s="76">
        <v>1387</v>
      </c>
      <c r="AO151" s="76">
        <v>37332</v>
      </c>
      <c r="AP151" s="76">
        <v>0</v>
      </c>
      <c r="AQ151" s="76">
        <v>13689</v>
      </c>
      <c r="AR151" s="76">
        <v>168417</v>
      </c>
      <c r="AS151" s="76">
        <v>116615</v>
      </c>
      <c r="AT151" s="76">
        <v>2630</v>
      </c>
      <c r="AU151" s="76">
        <v>2794003</v>
      </c>
      <c r="AV151" s="76">
        <v>0</v>
      </c>
      <c r="AW151" s="76">
        <v>72293</v>
      </c>
      <c r="AX151" s="76">
        <v>4057</v>
      </c>
      <c r="AY151" s="76">
        <v>93779</v>
      </c>
      <c r="AZ151" s="76">
        <v>498073</v>
      </c>
      <c r="BA151" s="76">
        <v>6999</v>
      </c>
      <c r="BB151" s="76">
        <v>0</v>
      </c>
      <c r="BC151" s="76">
        <v>0</v>
      </c>
      <c r="BD151" s="76">
        <v>227360</v>
      </c>
      <c r="BE151" s="76">
        <v>3696564</v>
      </c>
      <c r="BF151" s="76">
        <v>256883</v>
      </c>
      <c r="BG151" s="76">
        <v>85003</v>
      </c>
      <c r="BH151" s="76">
        <v>95804</v>
      </c>
      <c r="BI151" s="76">
        <v>88968</v>
      </c>
      <c r="BJ151" s="76">
        <v>58533</v>
      </c>
      <c r="BK151" s="76">
        <v>585191</v>
      </c>
      <c r="BL151" s="76">
        <v>120992</v>
      </c>
      <c r="BM151" s="76">
        <v>0</v>
      </c>
      <c r="BN151" s="76">
        <v>15921</v>
      </c>
      <c r="BO151" s="76">
        <v>245412</v>
      </c>
      <c r="BP151" s="76">
        <v>382325</v>
      </c>
      <c r="BQ151" s="76">
        <v>202866</v>
      </c>
      <c r="BR151" s="76">
        <v>3899430</v>
      </c>
      <c r="BS151" s="76">
        <v>2166366</v>
      </c>
      <c r="BT151" s="76">
        <v>0</v>
      </c>
      <c r="BU151" s="76">
        <v>69623</v>
      </c>
      <c r="BV151" s="76">
        <v>1143671</v>
      </c>
      <c r="BW151" s="76">
        <v>55609</v>
      </c>
      <c r="BX151" s="76">
        <v>23508</v>
      </c>
      <c r="BY151" s="76">
        <v>51174</v>
      </c>
      <c r="BZ151" s="76">
        <v>3509951</v>
      </c>
      <c r="CA151" s="76">
        <v>8233</v>
      </c>
      <c r="CB151" s="76">
        <v>2287</v>
      </c>
      <c r="CC151" s="76">
        <v>378959</v>
      </c>
      <c r="CD151" s="76">
        <v>378774</v>
      </c>
      <c r="CE151" s="76">
        <v>0</v>
      </c>
      <c r="CF151" s="76">
        <v>185</v>
      </c>
      <c r="CG151" s="76">
        <v>0</v>
      </c>
      <c r="CH151" s="76">
        <v>0</v>
      </c>
      <c r="CI151" s="76">
        <v>378959</v>
      </c>
      <c r="CJ151" s="76">
        <v>5360</v>
      </c>
      <c r="CK151" s="76">
        <v>3416</v>
      </c>
      <c r="CL151" s="76">
        <v>762</v>
      </c>
      <c r="CM151" s="76">
        <v>1182</v>
      </c>
      <c r="CN151" s="76">
        <v>10653</v>
      </c>
      <c r="CO151" s="76">
        <v>0</v>
      </c>
      <c r="CP151" s="76">
        <v>9213</v>
      </c>
      <c r="CQ151" s="76">
        <v>1440</v>
      </c>
      <c r="CR151" s="76">
        <v>0</v>
      </c>
      <c r="CS151" s="76">
        <v>0</v>
      </c>
      <c r="CT151" s="76">
        <v>0</v>
      </c>
      <c r="CU151" s="76">
        <v>0</v>
      </c>
      <c r="CV151" s="76">
        <v>0</v>
      </c>
      <c r="CW151" s="76">
        <v>0</v>
      </c>
      <c r="CX151" s="76">
        <v>0</v>
      </c>
      <c r="CY151" s="76">
        <v>0</v>
      </c>
      <c r="CZ151" s="76">
        <v>13342</v>
      </c>
      <c r="DA151" s="76">
        <v>9404</v>
      </c>
      <c r="DB151" s="76">
        <v>2341</v>
      </c>
      <c r="DC151" s="76">
        <v>1597</v>
      </c>
      <c r="DD151" s="76">
        <v>29355</v>
      </c>
      <c r="DE151" s="76">
        <v>12820</v>
      </c>
      <c r="DF151" s="76">
        <v>12316</v>
      </c>
      <c r="DG151" s="76">
        <v>4219</v>
      </c>
      <c r="DH151" s="76">
        <v>234192</v>
      </c>
      <c r="DI151" s="76">
        <v>204424</v>
      </c>
      <c r="DJ151" s="76">
        <v>15540</v>
      </c>
      <c r="DK151" s="76">
        <v>14228</v>
      </c>
      <c r="DL151" s="76">
        <v>1493</v>
      </c>
      <c r="DM151" s="76">
        <v>0</v>
      </c>
      <c r="DN151" s="76">
        <v>478</v>
      </c>
      <c r="DO151" s="76">
        <v>1015</v>
      </c>
      <c r="DP151" s="76">
        <v>0</v>
      </c>
      <c r="DQ151" s="76">
        <v>0</v>
      </c>
      <c r="DR151" s="76">
        <v>0</v>
      </c>
      <c r="DS151" s="76">
        <v>0</v>
      </c>
      <c r="DT151" s="76">
        <v>38224</v>
      </c>
      <c r="DU151" s="76">
        <v>0</v>
      </c>
      <c r="DV151" s="76">
        <v>12688</v>
      </c>
      <c r="DW151" s="76">
        <v>25536</v>
      </c>
      <c r="DX151" s="76">
        <v>0</v>
      </c>
      <c r="DY151" s="76">
        <v>0</v>
      </c>
      <c r="DZ151" s="76">
        <v>0</v>
      </c>
      <c r="EA151" s="76">
        <v>0</v>
      </c>
      <c r="EB151" s="76">
        <v>206759</v>
      </c>
      <c r="EC151" s="76">
        <v>13482</v>
      </c>
      <c r="ED151" s="76">
        <v>196198</v>
      </c>
      <c r="EE151" s="76">
        <v>-2921</v>
      </c>
      <c r="EF151" s="76">
        <v>480668</v>
      </c>
      <c r="EG151" s="76">
        <v>217906</v>
      </c>
      <c r="EH151" s="76">
        <v>224904</v>
      </c>
      <c r="EI151" s="76">
        <v>37858</v>
      </c>
      <c r="EJ151" s="76">
        <v>510023</v>
      </c>
      <c r="EK151" s="76">
        <v>230726</v>
      </c>
      <c r="EL151" s="76">
        <v>237220</v>
      </c>
      <c r="EM151" s="76">
        <v>42077</v>
      </c>
      <c r="EN151" s="76">
        <v>10956</v>
      </c>
      <c r="EO151" s="76">
        <v>2076</v>
      </c>
      <c r="EP151" s="76">
        <v>3162</v>
      </c>
      <c r="EQ151" s="76">
        <v>1974</v>
      </c>
      <c r="ER151" s="76">
        <v>2594908</v>
      </c>
      <c r="ES151" s="76">
        <v>0</v>
      </c>
      <c r="ET151" s="76">
        <v>2594908</v>
      </c>
      <c r="EU151" s="76">
        <v>114034</v>
      </c>
      <c r="EV151" s="76">
        <v>-16003</v>
      </c>
      <c r="EW151" s="76">
        <v>497553</v>
      </c>
      <c r="EX151" s="76">
        <v>0</v>
      </c>
      <c r="EY151" s="76">
        <v>-6222</v>
      </c>
      <c r="EZ151" s="76">
        <v>3184270</v>
      </c>
      <c r="FA151" s="76">
        <v>355151</v>
      </c>
      <c r="FB151" s="76">
        <v>36622</v>
      </c>
      <c r="FC151" s="76">
        <v>0</v>
      </c>
      <c r="FD151" s="76">
        <v>0</v>
      </c>
      <c r="FE151" s="76">
        <v>-1177</v>
      </c>
      <c r="FF151" s="76">
        <v>0</v>
      </c>
      <c r="FG151" s="76">
        <v>-329</v>
      </c>
      <c r="FH151" s="76">
        <v>390267</v>
      </c>
      <c r="FI151" s="76">
        <v>2794003</v>
      </c>
      <c r="FJ151" s="76">
        <v>2239757</v>
      </c>
      <c r="FK151" s="76">
        <v>11762</v>
      </c>
      <c r="FL151" s="76">
        <v>7186</v>
      </c>
      <c r="FM151" s="76">
        <v>4576</v>
      </c>
      <c r="FN151" s="76">
        <v>1174</v>
      </c>
      <c r="FO151" s="76">
        <v>691</v>
      </c>
      <c r="FP151" s="76">
        <v>483</v>
      </c>
      <c r="FQ151" s="76">
        <v>471</v>
      </c>
      <c r="FR151" s="76">
        <v>457</v>
      </c>
      <c r="FS151" s="76">
        <v>14</v>
      </c>
      <c r="FT151" s="76">
        <v>3093</v>
      </c>
      <c r="FU151" s="76">
        <v>5246</v>
      </c>
      <c r="FV151" s="76">
        <v>-2153</v>
      </c>
      <c r="FW151" s="76">
        <v>444</v>
      </c>
      <c r="FX151" s="76">
        <v>993</v>
      </c>
      <c r="FY151" s="76">
        <v>-549</v>
      </c>
      <c r="FZ151" s="76">
        <v>3474</v>
      </c>
      <c r="GA151" s="76">
        <v>34</v>
      </c>
      <c r="GB151" s="76">
        <v>3440</v>
      </c>
      <c r="GC151" s="76">
        <v>20418</v>
      </c>
      <c r="GD151" s="76">
        <v>14607</v>
      </c>
      <c r="GE151" s="76">
        <v>5811</v>
      </c>
      <c r="GF151" s="76">
        <v>0</v>
      </c>
      <c r="GG151" s="76">
        <v>60</v>
      </c>
      <c r="GH151" s="76">
        <v>0</v>
      </c>
      <c r="GI151" s="76">
        <v>0</v>
      </c>
      <c r="GJ151" s="76">
        <v>20962</v>
      </c>
      <c r="GK151" s="76">
        <v>37511</v>
      </c>
      <c r="GL151" s="76">
        <v>58533</v>
      </c>
      <c r="GM151" s="76">
        <v>9758</v>
      </c>
      <c r="GN151" s="76">
        <v>4976</v>
      </c>
      <c r="GO151" s="76">
        <v>0</v>
      </c>
      <c r="GP151" s="76">
        <v>3416</v>
      </c>
      <c r="GQ151" s="76">
        <v>0</v>
      </c>
      <c r="GR151" s="76">
        <v>99481</v>
      </c>
      <c r="GS151" s="76">
        <v>1265</v>
      </c>
      <c r="GT151" s="76">
        <v>0</v>
      </c>
      <c r="GU151" s="76">
        <v>1549</v>
      </c>
      <c r="GV151" s="76">
        <v>26555</v>
      </c>
      <c r="GW151" s="76">
        <v>98412</v>
      </c>
      <c r="GX151" s="76">
        <v>245412</v>
      </c>
      <c r="GY151" s="76">
        <v>42332</v>
      </c>
      <c r="GZ151" s="76">
        <v>279</v>
      </c>
      <c r="HA151" s="76">
        <v>10298</v>
      </c>
      <c r="HB151" s="76">
        <v>-1735</v>
      </c>
      <c r="HC151" s="76">
        <v>51174</v>
      </c>
      <c r="HD151" s="76">
        <v>0</v>
      </c>
      <c r="HE151" s="76">
        <v>2287</v>
      </c>
      <c r="HF151" s="76">
        <v>2287</v>
      </c>
      <c r="HG151" s="76">
        <v>105630</v>
      </c>
      <c r="HH151" s="76">
        <v>43</v>
      </c>
      <c r="HI151" s="76">
        <v>1530</v>
      </c>
      <c r="HJ151" s="76">
        <v>125</v>
      </c>
      <c r="HK151" s="76">
        <v>3450</v>
      </c>
      <c r="HL151" s="76">
        <v>-1762</v>
      </c>
      <c r="HM151" s="76">
        <v>109016</v>
      </c>
      <c r="HN151" s="76">
        <v>37410</v>
      </c>
      <c r="HO151" s="76">
        <v>49090</v>
      </c>
      <c r="HP151" s="76">
        <v>460</v>
      </c>
      <c r="HQ151" s="76">
        <v>374</v>
      </c>
      <c r="HR151" s="76">
        <v>0</v>
      </c>
      <c r="HS151" s="76">
        <v>7705</v>
      </c>
      <c r="HT151" s="76">
        <v>60117</v>
      </c>
      <c r="HU151" s="76">
        <v>621</v>
      </c>
      <c r="HV151" s="76">
        <v>0</v>
      </c>
      <c r="HW151" s="76">
        <v>22213</v>
      </c>
      <c r="HX151" s="76">
        <v>121199</v>
      </c>
    </row>
    <row r="152" spans="1:232" x14ac:dyDescent="0.2">
      <c r="A152" s="74" t="s">
        <v>610</v>
      </c>
      <c r="B152" s="74" t="s">
        <v>611</v>
      </c>
      <c r="C152" s="75" t="s">
        <v>200</v>
      </c>
      <c r="D152" s="75">
        <v>12</v>
      </c>
      <c r="E152" s="76">
        <v>94369</v>
      </c>
      <c r="F152" s="76">
        <v>-22674</v>
      </c>
      <c r="G152" s="76">
        <v>-47044</v>
      </c>
      <c r="H152" s="76">
        <v>24651</v>
      </c>
      <c r="I152" s="76">
        <v>412</v>
      </c>
      <c r="J152" s="76">
        <v>0</v>
      </c>
      <c r="K152" s="76">
        <v>0</v>
      </c>
      <c r="L152" s="76">
        <v>13</v>
      </c>
      <c r="M152" s="76">
        <v>27</v>
      </c>
      <c r="N152" s="76">
        <v>-13870</v>
      </c>
      <c r="O152" s="76">
        <v>0</v>
      </c>
      <c r="P152" s="76">
        <v>0</v>
      </c>
      <c r="Q152" s="76">
        <v>0</v>
      </c>
      <c r="R152" s="76">
        <v>0</v>
      </c>
      <c r="S152" s="76">
        <v>11233</v>
      </c>
      <c r="T152" s="76">
        <v>-315</v>
      </c>
      <c r="U152" s="76">
        <v>10918</v>
      </c>
      <c r="V152" s="76">
        <v>0</v>
      </c>
      <c r="W152" s="76">
        <v>-2837</v>
      </c>
      <c r="X152" s="76">
        <v>0</v>
      </c>
      <c r="Y152" s="76">
        <v>166</v>
      </c>
      <c r="Z152" s="76">
        <v>8247</v>
      </c>
      <c r="AA152" s="76">
        <v>59026</v>
      </c>
      <c r="AB152" s="76">
        <v>2460</v>
      </c>
      <c r="AC152" s="76">
        <v>61486</v>
      </c>
      <c r="AD152" s="76">
        <v>2950</v>
      </c>
      <c r="AE152" s="76">
        <v>0</v>
      </c>
      <c r="AF152" s="76">
        <v>360</v>
      </c>
      <c r="AG152" s="76">
        <v>38</v>
      </c>
      <c r="AH152" s="76">
        <v>64834</v>
      </c>
      <c r="AI152" s="76">
        <v>11689</v>
      </c>
      <c r="AJ152" s="76">
        <v>3205</v>
      </c>
      <c r="AK152" s="76">
        <v>12870</v>
      </c>
      <c r="AL152" s="76">
        <v>0</v>
      </c>
      <c r="AM152" s="76">
        <v>2494</v>
      </c>
      <c r="AN152" s="76">
        <v>375</v>
      </c>
      <c r="AO152" s="76">
        <v>11493</v>
      </c>
      <c r="AP152" s="76">
        <v>0</v>
      </c>
      <c r="AQ152" s="76">
        <v>40</v>
      </c>
      <c r="AR152" s="76">
        <v>42166</v>
      </c>
      <c r="AS152" s="76">
        <v>22668</v>
      </c>
      <c r="AT152" s="76">
        <v>753</v>
      </c>
      <c r="AU152" s="76">
        <v>579865</v>
      </c>
      <c r="AV152" s="76">
        <v>0</v>
      </c>
      <c r="AW152" s="76">
        <v>4639</v>
      </c>
      <c r="AX152" s="76">
        <v>0</v>
      </c>
      <c r="AY152" s="76">
        <v>1492</v>
      </c>
      <c r="AZ152" s="76">
        <v>5980</v>
      </c>
      <c r="BA152" s="76">
        <v>43</v>
      </c>
      <c r="BB152" s="76">
        <v>0</v>
      </c>
      <c r="BC152" s="76">
        <v>0</v>
      </c>
      <c r="BD152" s="76">
        <v>107</v>
      </c>
      <c r="BE152" s="76">
        <v>592126</v>
      </c>
      <c r="BF152" s="76">
        <v>2615</v>
      </c>
      <c r="BG152" s="76">
        <v>6154</v>
      </c>
      <c r="BH152" s="76">
        <v>8688</v>
      </c>
      <c r="BI152" s="76">
        <v>0</v>
      </c>
      <c r="BJ152" s="76">
        <v>5974</v>
      </c>
      <c r="BK152" s="76">
        <v>23431</v>
      </c>
      <c r="BL152" s="76">
        <v>2437</v>
      </c>
      <c r="BM152" s="76">
        <v>0</v>
      </c>
      <c r="BN152" s="76">
        <v>3017</v>
      </c>
      <c r="BO152" s="76">
        <v>19350</v>
      </c>
      <c r="BP152" s="76">
        <v>24804</v>
      </c>
      <c r="BQ152" s="76">
        <v>-1373</v>
      </c>
      <c r="BR152" s="76">
        <v>590753</v>
      </c>
      <c r="BS152" s="76">
        <v>292967</v>
      </c>
      <c r="BT152" s="76">
        <v>0</v>
      </c>
      <c r="BU152" s="76">
        <v>1</v>
      </c>
      <c r="BV152" s="76">
        <v>235164</v>
      </c>
      <c r="BW152" s="76">
        <v>1020</v>
      </c>
      <c r="BX152" s="76">
        <v>0</v>
      </c>
      <c r="BY152" s="76">
        <v>3418</v>
      </c>
      <c r="BZ152" s="76">
        <v>532570</v>
      </c>
      <c r="CA152" s="76">
        <v>10870</v>
      </c>
      <c r="CB152" s="76">
        <v>0</v>
      </c>
      <c r="CC152" s="76">
        <v>47313</v>
      </c>
      <c r="CD152" s="76">
        <v>47313</v>
      </c>
      <c r="CE152" s="76">
        <v>0</v>
      </c>
      <c r="CF152" s="76">
        <v>0</v>
      </c>
      <c r="CG152" s="76">
        <v>0</v>
      </c>
      <c r="CH152" s="76">
        <v>0</v>
      </c>
      <c r="CI152" s="76">
        <v>47313</v>
      </c>
      <c r="CJ152" s="76">
        <v>1724</v>
      </c>
      <c r="CK152" s="76">
        <v>1248</v>
      </c>
      <c r="CL152" s="76">
        <v>0</v>
      </c>
      <c r="CM152" s="76">
        <v>476</v>
      </c>
      <c r="CN152" s="76">
        <v>615</v>
      </c>
      <c r="CO152" s="76">
        <v>0</v>
      </c>
      <c r="CP152" s="76">
        <v>578</v>
      </c>
      <c r="CQ152" s="76">
        <v>37</v>
      </c>
      <c r="CR152" s="76">
        <v>1576</v>
      </c>
      <c r="CS152" s="76">
        <v>0</v>
      </c>
      <c r="CT152" s="76">
        <v>1089</v>
      </c>
      <c r="CU152" s="76">
        <v>487</v>
      </c>
      <c r="CV152" s="76">
        <v>0</v>
      </c>
      <c r="CW152" s="76">
        <v>0</v>
      </c>
      <c r="CX152" s="76">
        <v>269</v>
      </c>
      <c r="CY152" s="76">
        <v>-269</v>
      </c>
      <c r="CZ152" s="76">
        <v>1072</v>
      </c>
      <c r="DA152" s="76">
        <v>0</v>
      </c>
      <c r="DB152" s="76">
        <v>1290</v>
      </c>
      <c r="DC152" s="76">
        <v>-218</v>
      </c>
      <c r="DD152" s="76">
        <v>4987</v>
      </c>
      <c r="DE152" s="76">
        <v>1248</v>
      </c>
      <c r="DF152" s="76">
        <v>3226</v>
      </c>
      <c r="DG152" s="76">
        <v>513</v>
      </c>
      <c r="DH152" s="76">
        <v>5296</v>
      </c>
      <c r="DI152" s="76">
        <v>5065</v>
      </c>
      <c r="DJ152" s="76">
        <v>91</v>
      </c>
      <c r="DK152" s="76">
        <v>140</v>
      </c>
      <c r="DL152" s="76">
        <v>0</v>
      </c>
      <c r="DM152" s="76">
        <v>0</v>
      </c>
      <c r="DN152" s="76">
        <v>0</v>
      </c>
      <c r="DO152" s="76">
        <v>0</v>
      </c>
      <c r="DP152" s="76">
        <v>0</v>
      </c>
      <c r="DQ152" s="76">
        <v>0</v>
      </c>
      <c r="DR152" s="76">
        <v>0</v>
      </c>
      <c r="DS152" s="76">
        <v>0</v>
      </c>
      <c r="DT152" s="76">
        <v>797</v>
      </c>
      <c r="DU152" s="76">
        <v>0</v>
      </c>
      <c r="DV152" s="76">
        <v>746</v>
      </c>
      <c r="DW152" s="76">
        <v>51</v>
      </c>
      <c r="DX152" s="76">
        <v>0</v>
      </c>
      <c r="DY152" s="76">
        <v>0</v>
      </c>
      <c r="DZ152" s="76">
        <v>0</v>
      </c>
      <c r="EA152" s="76">
        <v>0</v>
      </c>
      <c r="EB152" s="76">
        <v>18455</v>
      </c>
      <c r="EC152" s="76">
        <v>16361</v>
      </c>
      <c r="ED152" s="76">
        <v>815</v>
      </c>
      <c r="EE152" s="76">
        <v>1279</v>
      </c>
      <c r="EF152" s="76">
        <v>24548</v>
      </c>
      <c r="EG152" s="76">
        <v>21426</v>
      </c>
      <c r="EH152" s="76">
        <v>1652</v>
      </c>
      <c r="EI152" s="76">
        <v>1470</v>
      </c>
      <c r="EJ152" s="76">
        <v>29535</v>
      </c>
      <c r="EK152" s="76">
        <v>22674</v>
      </c>
      <c r="EL152" s="76">
        <v>4878</v>
      </c>
      <c r="EM152" s="76">
        <v>1983</v>
      </c>
      <c r="EN152" s="76">
        <v>2383</v>
      </c>
      <c r="EO152" s="76">
        <v>1453</v>
      </c>
      <c r="EP152" s="76">
        <v>1145</v>
      </c>
      <c r="EQ152" s="76">
        <v>1453</v>
      </c>
      <c r="ER152" s="76">
        <v>679966</v>
      </c>
      <c r="ES152" s="76">
        <v>0</v>
      </c>
      <c r="ET152" s="76">
        <v>679966</v>
      </c>
      <c r="EU152" s="76">
        <v>18621</v>
      </c>
      <c r="EV152" s="76">
        <v>-3583</v>
      </c>
      <c r="EW152" s="76">
        <v>0</v>
      </c>
      <c r="EX152" s="76">
        <v>0</v>
      </c>
      <c r="EY152" s="76">
        <v>-1328</v>
      </c>
      <c r="EZ152" s="76">
        <v>693676</v>
      </c>
      <c r="FA152" s="76">
        <v>103902</v>
      </c>
      <c r="FB152" s="76">
        <v>11796</v>
      </c>
      <c r="FC152" s="76">
        <v>0</v>
      </c>
      <c r="FD152" s="76">
        <v>0</v>
      </c>
      <c r="FE152" s="76">
        <v>-1887</v>
      </c>
      <c r="FF152" s="76">
        <v>0</v>
      </c>
      <c r="FG152" s="76">
        <v>0</v>
      </c>
      <c r="FH152" s="76">
        <v>113811</v>
      </c>
      <c r="FI152" s="76">
        <v>579865</v>
      </c>
      <c r="FJ152" s="76">
        <v>576064</v>
      </c>
      <c r="FK152" s="76">
        <v>817</v>
      </c>
      <c r="FL152" s="76">
        <v>529</v>
      </c>
      <c r="FM152" s="76">
        <v>288</v>
      </c>
      <c r="FN152" s="76">
        <v>394</v>
      </c>
      <c r="FO152" s="76">
        <v>315</v>
      </c>
      <c r="FP152" s="76">
        <v>79</v>
      </c>
      <c r="FQ152" s="76">
        <v>230</v>
      </c>
      <c r="FR152" s="76">
        <v>220</v>
      </c>
      <c r="FS152" s="76">
        <v>10</v>
      </c>
      <c r="FT152" s="76">
        <v>558</v>
      </c>
      <c r="FU152" s="76">
        <v>293</v>
      </c>
      <c r="FV152" s="76">
        <v>265</v>
      </c>
      <c r="FW152" s="76">
        <v>0</v>
      </c>
      <c r="FX152" s="76">
        <v>0</v>
      </c>
      <c r="FY152" s="76">
        <v>0</v>
      </c>
      <c r="FZ152" s="76">
        <v>1320</v>
      </c>
      <c r="GA152" s="76">
        <v>1550</v>
      </c>
      <c r="GB152" s="76">
        <v>-230</v>
      </c>
      <c r="GC152" s="76">
        <v>3319</v>
      </c>
      <c r="GD152" s="76">
        <v>2907</v>
      </c>
      <c r="GE152" s="76">
        <v>412</v>
      </c>
      <c r="GF152" s="76">
        <v>0</v>
      </c>
      <c r="GG152" s="76">
        <v>27</v>
      </c>
      <c r="GH152" s="76">
        <v>0</v>
      </c>
      <c r="GI152" s="76">
        <v>0</v>
      </c>
      <c r="GJ152" s="76">
        <v>0</v>
      </c>
      <c r="GK152" s="76">
        <v>5947</v>
      </c>
      <c r="GL152" s="76">
        <v>5974</v>
      </c>
      <c r="GM152" s="76">
        <v>2559</v>
      </c>
      <c r="GN152" s="76">
        <v>2269</v>
      </c>
      <c r="GO152" s="76">
        <v>0</v>
      </c>
      <c r="GP152" s="76">
        <v>1712</v>
      </c>
      <c r="GQ152" s="76">
        <v>160</v>
      </c>
      <c r="GR152" s="76">
        <v>6975</v>
      </c>
      <c r="GS152" s="76">
        <v>23</v>
      </c>
      <c r="GT152" s="76">
        <v>0</v>
      </c>
      <c r="GU152" s="76">
        <v>325</v>
      </c>
      <c r="GV152" s="76">
        <v>0</v>
      </c>
      <c r="GW152" s="76">
        <v>5327</v>
      </c>
      <c r="GX152" s="76">
        <v>19350</v>
      </c>
      <c r="GY152" s="76">
        <v>971</v>
      </c>
      <c r="GZ152" s="76">
        <v>442</v>
      </c>
      <c r="HA152" s="76">
        <v>2005</v>
      </c>
      <c r="HB152" s="76">
        <v>0</v>
      </c>
      <c r="HC152" s="76">
        <v>3418</v>
      </c>
      <c r="HD152" s="76">
        <v>0</v>
      </c>
      <c r="HE152" s="76">
        <v>0</v>
      </c>
      <c r="HF152" s="76">
        <v>0</v>
      </c>
      <c r="HG152" s="76">
        <v>13087</v>
      </c>
      <c r="HH152" s="76">
        <v>379</v>
      </c>
      <c r="HI152" s="76">
        <v>518</v>
      </c>
      <c r="HJ152" s="76">
        <v>13</v>
      </c>
      <c r="HK152" s="76">
        <v>52</v>
      </c>
      <c r="HL152" s="76">
        <v>-179</v>
      </c>
      <c r="HM152" s="76">
        <v>13870</v>
      </c>
      <c r="HN152" s="76">
        <v>6268</v>
      </c>
      <c r="HO152" s="76">
        <v>12776</v>
      </c>
      <c r="HP152" s="76">
        <v>21</v>
      </c>
      <c r="HQ152" s="76">
        <v>90</v>
      </c>
      <c r="HR152" s="76">
        <v>-33</v>
      </c>
      <c r="HS152" s="76">
        <v>-1</v>
      </c>
      <c r="HT152" s="76">
        <v>12946</v>
      </c>
      <c r="HU152" s="76">
        <v>0</v>
      </c>
      <c r="HV152" s="76">
        <v>0</v>
      </c>
      <c r="HW152" s="76">
        <v>1</v>
      </c>
      <c r="HX152" s="76">
        <v>382</v>
      </c>
    </row>
    <row r="153" spans="1:232" x14ac:dyDescent="0.2">
      <c r="A153" s="74" t="s">
        <v>612</v>
      </c>
      <c r="B153" s="74" t="s">
        <v>144</v>
      </c>
      <c r="C153" s="75" t="s">
        <v>200</v>
      </c>
      <c r="D153" s="75">
        <v>12</v>
      </c>
      <c r="E153" s="76">
        <v>66444</v>
      </c>
      <c r="F153" s="76">
        <v>-1623</v>
      </c>
      <c r="G153" s="76">
        <v>-52416</v>
      </c>
      <c r="H153" s="76">
        <v>12405</v>
      </c>
      <c r="I153" s="76">
        <v>-1469</v>
      </c>
      <c r="J153" s="76">
        <v>0</v>
      </c>
      <c r="K153" s="76">
        <v>0</v>
      </c>
      <c r="L153" s="76">
        <v>0</v>
      </c>
      <c r="M153" s="76">
        <v>74</v>
      </c>
      <c r="N153" s="76">
        <v>-5314</v>
      </c>
      <c r="O153" s="76">
        <v>-7</v>
      </c>
      <c r="P153" s="76">
        <v>0</v>
      </c>
      <c r="Q153" s="76">
        <v>0</v>
      </c>
      <c r="R153" s="76">
        <v>0</v>
      </c>
      <c r="S153" s="76">
        <v>5689</v>
      </c>
      <c r="T153" s="76">
        <v>0</v>
      </c>
      <c r="U153" s="76">
        <v>5689</v>
      </c>
      <c r="V153" s="76">
        <v>0</v>
      </c>
      <c r="W153" s="76">
        <v>-17932</v>
      </c>
      <c r="X153" s="76">
        <v>0</v>
      </c>
      <c r="Y153" s="76">
        <v>0</v>
      </c>
      <c r="Z153" s="76">
        <v>-12243</v>
      </c>
      <c r="AA153" s="76">
        <v>55192</v>
      </c>
      <c r="AB153" s="76">
        <v>3806</v>
      </c>
      <c r="AC153" s="76">
        <v>58998</v>
      </c>
      <c r="AD153" s="76">
        <v>589</v>
      </c>
      <c r="AE153" s="76">
        <v>0</v>
      </c>
      <c r="AF153" s="76">
        <v>0</v>
      </c>
      <c r="AG153" s="76">
        <v>0</v>
      </c>
      <c r="AH153" s="76">
        <v>59587</v>
      </c>
      <c r="AI153" s="76">
        <v>8183</v>
      </c>
      <c r="AJ153" s="76">
        <v>4168</v>
      </c>
      <c r="AK153" s="76">
        <v>9616</v>
      </c>
      <c r="AL153" s="76">
        <v>5226</v>
      </c>
      <c r="AM153" s="76">
        <v>8120</v>
      </c>
      <c r="AN153" s="76">
        <v>248</v>
      </c>
      <c r="AO153" s="76">
        <v>11374</v>
      </c>
      <c r="AP153" s="76">
        <v>0</v>
      </c>
      <c r="AQ153" s="76">
        <v>2454</v>
      </c>
      <c r="AR153" s="76">
        <v>49389</v>
      </c>
      <c r="AS153" s="76">
        <v>10198</v>
      </c>
      <c r="AT153" s="76">
        <v>222</v>
      </c>
      <c r="AU153" s="76">
        <v>472424</v>
      </c>
      <c r="AV153" s="76">
        <v>0</v>
      </c>
      <c r="AW153" s="76">
        <v>22674</v>
      </c>
      <c r="AX153" s="76">
        <v>0</v>
      </c>
      <c r="AY153" s="76">
        <v>0</v>
      </c>
      <c r="AZ153" s="76">
        <v>13581</v>
      </c>
      <c r="BA153" s="76">
        <v>0</v>
      </c>
      <c r="BB153" s="76">
        <v>0</v>
      </c>
      <c r="BC153" s="76">
        <v>0</v>
      </c>
      <c r="BD153" s="76">
        <v>60</v>
      </c>
      <c r="BE153" s="76">
        <v>508739</v>
      </c>
      <c r="BF153" s="76">
        <v>3270</v>
      </c>
      <c r="BG153" s="76">
        <v>6193</v>
      </c>
      <c r="BH153" s="76">
        <v>12186</v>
      </c>
      <c r="BI153" s="76">
        <v>0</v>
      </c>
      <c r="BJ153" s="76">
        <v>11844</v>
      </c>
      <c r="BK153" s="76">
        <v>33493</v>
      </c>
      <c r="BL153" s="76">
        <v>0</v>
      </c>
      <c r="BM153" s="76">
        <v>0</v>
      </c>
      <c r="BN153" s="76">
        <v>618</v>
      </c>
      <c r="BO153" s="76">
        <v>27535</v>
      </c>
      <c r="BP153" s="76">
        <v>28153</v>
      </c>
      <c r="BQ153" s="76">
        <v>5340</v>
      </c>
      <c r="BR153" s="76">
        <v>514079</v>
      </c>
      <c r="BS153" s="76">
        <v>59479</v>
      </c>
      <c r="BT153" s="76">
        <v>0</v>
      </c>
      <c r="BU153" s="76">
        <v>0</v>
      </c>
      <c r="BV153" s="76">
        <v>24043</v>
      </c>
      <c r="BW153" s="76">
        <v>0</v>
      </c>
      <c r="BX153" s="76">
        <v>0</v>
      </c>
      <c r="BY153" s="76">
        <v>473</v>
      </c>
      <c r="BZ153" s="76">
        <v>83995</v>
      </c>
      <c r="CA153" s="76">
        <v>30890</v>
      </c>
      <c r="CB153" s="76">
        <v>0</v>
      </c>
      <c r="CC153" s="76">
        <v>399194</v>
      </c>
      <c r="CD153" s="76">
        <v>143602</v>
      </c>
      <c r="CE153" s="76">
        <v>286482</v>
      </c>
      <c r="CF153" s="76">
        <v>0</v>
      </c>
      <c r="CG153" s="76">
        <v>0</v>
      </c>
      <c r="CH153" s="76">
        <v>-30890</v>
      </c>
      <c r="CI153" s="76">
        <v>399194</v>
      </c>
      <c r="CJ153" s="76">
        <v>1023</v>
      </c>
      <c r="CK153" s="76">
        <v>894</v>
      </c>
      <c r="CL153" s="76">
        <v>0</v>
      </c>
      <c r="CM153" s="76">
        <v>129</v>
      </c>
      <c r="CN153" s="76">
        <v>0</v>
      </c>
      <c r="CO153" s="76">
        <v>0</v>
      </c>
      <c r="CP153" s="76">
        <v>0</v>
      </c>
      <c r="CQ153" s="76">
        <v>0</v>
      </c>
      <c r="CR153" s="76">
        <v>0</v>
      </c>
      <c r="CS153" s="76">
        <v>0</v>
      </c>
      <c r="CT153" s="76">
        <v>613</v>
      </c>
      <c r="CU153" s="76">
        <v>-613</v>
      </c>
      <c r="CV153" s="76">
        <v>0</v>
      </c>
      <c r="CW153" s="76">
        <v>0</v>
      </c>
      <c r="CX153" s="76">
        <v>714</v>
      </c>
      <c r="CY153" s="76">
        <v>-714</v>
      </c>
      <c r="CZ153" s="76">
        <v>2571</v>
      </c>
      <c r="DA153" s="76">
        <v>0</v>
      </c>
      <c r="DB153" s="76">
        <v>253</v>
      </c>
      <c r="DC153" s="76">
        <v>2318</v>
      </c>
      <c r="DD153" s="76">
        <v>3594</v>
      </c>
      <c r="DE153" s="76">
        <v>894</v>
      </c>
      <c r="DF153" s="76">
        <v>1580</v>
      </c>
      <c r="DG153" s="76">
        <v>1120</v>
      </c>
      <c r="DH153" s="76">
        <v>0</v>
      </c>
      <c r="DI153" s="76">
        <v>0</v>
      </c>
      <c r="DJ153" s="76">
        <v>0</v>
      </c>
      <c r="DK153" s="76">
        <v>0</v>
      </c>
      <c r="DL153" s="76">
        <v>0</v>
      </c>
      <c r="DM153" s="76">
        <v>0</v>
      </c>
      <c r="DN153" s="76">
        <v>0</v>
      </c>
      <c r="DO153" s="76">
        <v>0</v>
      </c>
      <c r="DP153" s="76">
        <v>0</v>
      </c>
      <c r="DQ153" s="76">
        <v>0</v>
      </c>
      <c r="DR153" s="76">
        <v>0</v>
      </c>
      <c r="DS153" s="76">
        <v>0</v>
      </c>
      <c r="DT153" s="76">
        <v>9</v>
      </c>
      <c r="DU153" s="76">
        <v>0</v>
      </c>
      <c r="DV153" s="76">
        <v>16</v>
      </c>
      <c r="DW153" s="76">
        <v>-7</v>
      </c>
      <c r="DX153" s="76">
        <v>0</v>
      </c>
      <c r="DY153" s="76">
        <v>0</v>
      </c>
      <c r="DZ153" s="76">
        <v>0</v>
      </c>
      <c r="EA153" s="76">
        <v>0</v>
      </c>
      <c r="EB153" s="76">
        <v>3254</v>
      </c>
      <c r="EC153" s="76">
        <v>729</v>
      </c>
      <c r="ED153" s="76">
        <v>1431</v>
      </c>
      <c r="EE153" s="76">
        <v>1094</v>
      </c>
      <c r="EF153" s="76">
        <v>3263</v>
      </c>
      <c r="EG153" s="76">
        <v>729</v>
      </c>
      <c r="EH153" s="76">
        <v>1447</v>
      </c>
      <c r="EI153" s="76">
        <v>1087</v>
      </c>
      <c r="EJ153" s="76">
        <v>6857</v>
      </c>
      <c r="EK153" s="76">
        <v>1623</v>
      </c>
      <c r="EL153" s="76">
        <v>3027</v>
      </c>
      <c r="EM153" s="76">
        <v>2207</v>
      </c>
      <c r="EN153" s="76">
        <v>1448</v>
      </c>
      <c r="EO153" s="76">
        <v>912</v>
      </c>
      <c r="EP153" s="76">
        <v>386</v>
      </c>
      <c r="EQ153" s="76">
        <v>912</v>
      </c>
      <c r="ER153" s="76">
        <v>485277</v>
      </c>
      <c r="ES153" s="76">
        <v>0</v>
      </c>
      <c r="ET153" s="76">
        <v>485277</v>
      </c>
      <c r="EU153" s="76">
        <v>31259</v>
      </c>
      <c r="EV153" s="76">
        <v>-4627</v>
      </c>
      <c r="EW153" s="76">
        <v>0</v>
      </c>
      <c r="EX153" s="76">
        <v>0</v>
      </c>
      <c r="EY153" s="76">
        <v>-3270</v>
      </c>
      <c r="EZ153" s="76">
        <v>508639</v>
      </c>
      <c r="FA153" s="76">
        <v>25714</v>
      </c>
      <c r="FB153" s="76">
        <v>11374</v>
      </c>
      <c r="FC153" s="76">
        <v>0</v>
      </c>
      <c r="FD153" s="76">
        <v>0</v>
      </c>
      <c r="FE153" s="76">
        <v>-873</v>
      </c>
      <c r="FF153" s="76">
        <v>0</v>
      </c>
      <c r="FG153" s="76">
        <v>0</v>
      </c>
      <c r="FH153" s="76">
        <v>36215</v>
      </c>
      <c r="FI153" s="76">
        <v>472424</v>
      </c>
      <c r="FJ153" s="76">
        <v>459563</v>
      </c>
      <c r="FK153" s="76">
        <v>48</v>
      </c>
      <c r="FL153" s="76">
        <v>46</v>
      </c>
      <c r="FM153" s="76">
        <v>2</v>
      </c>
      <c r="FN153" s="76">
        <v>4640</v>
      </c>
      <c r="FO153" s="76">
        <v>6614</v>
      </c>
      <c r="FP153" s="76">
        <v>-1974</v>
      </c>
      <c r="FQ153" s="76">
        <v>592</v>
      </c>
      <c r="FR153" s="76">
        <v>741</v>
      </c>
      <c r="FS153" s="76">
        <v>-149</v>
      </c>
      <c r="FT153" s="76">
        <v>1088</v>
      </c>
      <c r="FU153" s="76">
        <v>482</v>
      </c>
      <c r="FV153" s="76">
        <v>606</v>
      </c>
      <c r="FW153" s="76">
        <v>0</v>
      </c>
      <c r="FX153" s="76">
        <v>0</v>
      </c>
      <c r="FY153" s="76">
        <v>0</v>
      </c>
      <c r="FZ153" s="76">
        <v>46</v>
      </c>
      <c r="GA153" s="76">
        <v>0</v>
      </c>
      <c r="GB153" s="76">
        <v>46</v>
      </c>
      <c r="GC153" s="76">
        <v>6414</v>
      </c>
      <c r="GD153" s="76">
        <v>7883</v>
      </c>
      <c r="GE153" s="76">
        <v>-1469</v>
      </c>
      <c r="GF153" s="76">
        <v>0</v>
      </c>
      <c r="GG153" s="76">
        <v>0</v>
      </c>
      <c r="GH153" s="76">
        <v>0</v>
      </c>
      <c r="GI153" s="76">
        <v>0</v>
      </c>
      <c r="GJ153" s="76">
        <v>0</v>
      </c>
      <c r="GK153" s="76">
        <v>11844</v>
      </c>
      <c r="GL153" s="76">
        <v>11844</v>
      </c>
      <c r="GM153" s="76">
        <v>2716</v>
      </c>
      <c r="GN153" s="76">
        <v>2452</v>
      </c>
      <c r="GO153" s="76">
        <v>0</v>
      </c>
      <c r="GP153" s="76">
        <v>0</v>
      </c>
      <c r="GQ153" s="76">
        <v>0</v>
      </c>
      <c r="GR153" s="76">
        <v>8733</v>
      </c>
      <c r="GS153" s="76">
        <v>0</v>
      </c>
      <c r="GT153" s="76">
        <v>0</v>
      </c>
      <c r="GU153" s="76">
        <v>0</v>
      </c>
      <c r="GV153" s="76">
        <v>0</v>
      </c>
      <c r="GW153" s="76">
        <v>13634</v>
      </c>
      <c r="GX153" s="76">
        <v>27535</v>
      </c>
      <c r="GY153" s="76">
        <v>44</v>
      </c>
      <c r="GZ153" s="76">
        <v>429</v>
      </c>
      <c r="HA153" s="76">
        <v>0</v>
      </c>
      <c r="HB153" s="76">
        <v>0</v>
      </c>
      <c r="HC153" s="76">
        <v>473</v>
      </c>
      <c r="HD153" s="76">
        <v>0</v>
      </c>
      <c r="HE153" s="76">
        <v>0</v>
      </c>
      <c r="HF153" s="76">
        <v>0</v>
      </c>
      <c r="HG153" s="76">
        <v>4976</v>
      </c>
      <c r="HH153" s="76">
        <v>164</v>
      </c>
      <c r="HI153" s="76">
        <v>0</v>
      </c>
      <c r="HJ153" s="76">
        <v>0</v>
      </c>
      <c r="HK153" s="76">
        <v>431</v>
      </c>
      <c r="HL153" s="76">
        <v>-257</v>
      </c>
      <c r="HM153" s="76">
        <v>5314</v>
      </c>
      <c r="HN153" s="76">
        <v>7683</v>
      </c>
      <c r="HO153" s="76">
        <v>13377</v>
      </c>
      <c r="HP153" s="76">
        <v>0</v>
      </c>
      <c r="HQ153" s="76">
        <v>60</v>
      </c>
      <c r="HR153" s="76">
        <v>-241</v>
      </c>
      <c r="HS153" s="76">
        <v>79</v>
      </c>
      <c r="HT153" s="76">
        <v>14183</v>
      </c>
      <c r="HU153" s="76">
        <v>0</v>
      </c>
      <c r="HV153" s="76">
        <v>0</v>
      </c>
      <c r="HW153" s="76">
        <v>64</v>
      </c>
      <c r="HX153" s="76">
        <v>1615</v>
      </c>
    </row>
    <row r="154" spans="1:232" x14ac:dyDescent="0.2">
      <c r="A154" s="74" t="s">
        <v>613</v>
      </c>
      <c r="B154" s="74" t="s">
        <v>614</v>
      </c>
      <c r="C154" s="75" t="s">
        <v>200</v>
      </c>
      <c r="D154" s="75">
        <v>12</v>
      </c>
      <c r="E154" s="76">
        <v>59181</v>
      </c>
      <c r="F154" s="76">
        <v>-1844</v>
      </c>
      <c r="G154" s="76">
        <v>-43915</v>
      </c>
      <c r="H154" s="76">
        <v>13422</v>
      </c>
      <c r="I154" s="76">
        <v>8528</v>
      </c>
      <c r="J154" s="76">
        <v>0</v>
      </c>
      <c r="K154" s="76">
        <v>0</v>
      </c>
      <c r="L154" s="76">
        <v>6417</v>
      </c>
      <c r="M154" s="76">
        <v>625</v>
      </c>
      <c r="N154" s="76">
        <v>-13191</v>
      </c>
      <c r="O154" s="76">
        <v>61</v>
      </c>
      <c r="P154" s="76">
        <v>0</v>
      </c>
      <c r="Q154" s="76">
        <v>0</v>
      </c>
      <c r="R154" s="76">
        <v>0</v>
      </c>
      <c r="S154" s="76">
        <v>15862</v>
      </c>
      <c r="T154" s="76">
        <v>-1281</v>
      </c>
      <c r="U154" s="76">
        <v>14581</v>
      </c>
      <c r="V154" s="76">
        <v>0</v>
      </c>
      <c r="W154" s="76">
        <v>-471</v>
      </c>
      <c r="X154" s="76">
        <v>0</v>
      </c>
      <c r="Y154" s="76">
        <v>0</v>
      </c>
      <c r="Z154" s="76">
        <v>14110</v>
      </c>
      <c r="AA154" s="76">
        <v>37749</v>
      </c>
      <c r="AB154" s="76">
        <v>7775</v>
      </c>
      <c r="AC154" s="76">
        <v>45524</v>
      </c>
      <c r="AD154" s="76">
        <v>2952</v>
      </c>
      <c r="AE154" s="76">
        <v>0</v>
      </c>
      <c r="AF154" s="76">
        <v>0</v>
      </c>
      <c r="AG154" s="76">
        <v>0</v>
      </c>
      <c r="AH154" s="76">
        <v>48476</v>
      </c>
      <c r="AI154" s="76">
        <v>9324</v>
      </c>
      <c r="AJ154" s="76">
        <v>7542</v>
      </c>
      <c r="AK154" s="76">
        <v>7417</v>
      </c>
      <c r="AL154" s="76">
        <v>12</v>
      </c>
      <c r="AM154" s="76">
        <v>1981</v>
      </c>
      <c r="AN154" s="76">
        <v>501</v>
      </c>
      <c r="AO154" s="76">
        <v>8524</v>
      </c>
      <c r="AP154" s="76">
        <v>0</v>
      </c>
      <c r="AQ154" s="76">
        <v>0</v>
      </c>
      <c r="AR154" s="76">
        <v>35301</v>
      </c>
      <c r="AS154" s="76">
        <v>13175</v>
      </c>
      <c r="AT154" s="76">
        <v>599</v>
      </c>
      <c r="AU154" s="76">
        <v>401179</v>
      </c>
      <c r="AV154" s="76">
        <v>0</v>
      </c>
      <c r="AW154" s="76">
        <v>3407</v>
      </c>
      <c r="AX154" s="76">
        <v>484</v>
      </c>
      <c r="AY154" s="76">
        <v>0</v>
      </c>
      <c r="AZ154" s="76">
        <v>62573</v>
      </c>
      <c r="BA154" s="76">
        <v>20924</v>
      </c>
      <c r="BB154" s="76">
        <v>0</v>
      </c>
      <c r="BC154" s="76">
        <v>0</v>
      </c>
      <c r="BD154" s="76">
        <v>0</v>
      </c>
      <c r="BE154" s="76">
        <v>488567</v>
      </c>
      <c r="BF154" s="76">
        <v>1392</v>
      </c>
      <c r="BG154" s="76">
        <v>20246</v>
      </c>
      <c r="BH154" s="76">
        <v>15631</v>
      </c>
      <c r="BI154" s="76">
        <v>0</v>
      </c>
      <c r="BJ154" s="76">
        <v>14168</v>
      </c>
      <c r="BK154" s="76">
        <v>51437</v>
      </c>
      <c r="BL154" s="76">
        <v>0</v>
      </c>
      <c r="BM154" s="76">
        <v>0</v>
      </c>
      <c r="BN154" s="76">
        <v>3250</v>
      </c>
      <c r="BO154" s="76">
        <v>36301</v>
      </c>
      <c r="BP154" s="76">
        <v>39551</v>
      </c>
      <c r="BQ154" s="76">
        <v>11886</v>
      </c>
      <c r="BR154" s="76">
        <v>500453</v>
      </c>
      <c r="BS154" s="76">
        <v>252382</v>
      </c>
      <c r="BT154" s="76">
        <v>0</v>
      </c>
      <c r="BU154" s="76">
        <v>52454</v>
      </c>
      <c r="BV154" s="76">
        <v>118083</v>
      </c>
      <c r="BW154" s="76">
        <v>0</v>
      </c>
      <c r="BX154" s="76">
        <v>0</v>
      </c>
      <c r="BY154" s="76">
        <v>5470</v>
      </c>
      <c r="BZ154" s="76">
        <v>428389</v>
      </c>
      <c r="CA154" s="76">
        <v>6950</v>
      </c>
      <c r="CB154" s="76">
        <v>1052</v>
      </c>
      <c r="CC154" s="76">
        <v>64062</v>
      </c>
      <c r="CD154" s="76">
        <v>62555</v>
      </c>
      <c r="CE154" s="76">
        <v>1500</v>
      </c>
      <c r="CF154" s="76">
        <v>0</v>
      </c>
      <c r="CG154" s="76">
        <v>0</v>
      </c>
      <c r="CH154" s="76">
        <v>7</v>
      </c>
      <c r="CI154" s="76">
        <v>64062</v>
      </c>
      <c r="CJ154" s="76">
        <v>3325</v>
      </c>
      <c r="CK154" s="76">
        <v>1844</v>
      </c>
      <c r="CL154" s="76">
        <v>0</v>
      </c>
      <c r="CM154" s="76">
        <v>1481</v>
      </c>
      <c r="CN154" s="76">
        <v>0</v>
      </c>
      <c r="CO154" s="76">
        <v>0</v>
      </c>
      <c r="CP154" s="76">
        <v>0</v>
      </c>
      <c r="CQ154" s="76">
        <v>0</v>
      </c>
      <c r="CR154" s="76">
        <v>0</v>
      </c>
      <c r="CS154" s="76">
        <v>0</v>
      </c>
      <c r="CT154" s="76">
        <v>0</v>
      </c>
      <c r="CU154" s="76">
        <v>0</v>
      </c>
      <c r="CV154" s="76">
        <v>0</v>
      </c>
      <c r="CW154" s="76">
        <v>0</v>
      </c>
      <c r="CX154" s="76">
        <v>0</v>
      </c>
      <c r="CY154" s="76">
        <v>0</v>
      </c>
      <c r="CZ154" s="76">
        <v>0</v>
      </c>
      <c r="DA154" s="76">
        <v>0</v>
      </c>
      <c r="DB154" s="76">
        <v>0</v>
      </c>
      <c r="DC154" s="76">
        <v>0</v>
      </c>
      <c r="DD154" s="76">
        <v>3325</v>
      </c>
      <c r="DE154" s="76">
        <v>1844</v>
      </c>
      <c r="DF154" s="76">
        <v>0</v>
      </c>
      <c r="DG154" s="76">
        <v>1481</v>
      </c>
      <c r="DH154" s="76">
        <v>0</v>
      </c>
      <c r="DI154" s="76">
        <v>0</v>
      </c>
      <c r="DJ154" s="76">
        <v>0</v>
      </c>
      <c r="DK154" s="76">
        <v>0</v>
      </c>
      <c r="DL154" s="76">
        <v>0</v>
      </c>
      <c r="DM154" s="76">
        <v>0</v>
      </c>
      <c r="DN154" s="76">
        <v>0</v>
      </c>
      <c r="DO154" s="76">
        <v>0</v>
      </c>
      <c r="DP154" s="76">
        <v>0</v>
      </c>
      <c r="DQ154" s="76">
        <v>0</v>
      </c>
      <c r="DR154" s="76">
        <v>0</v>
      </c>
      <c r="DS154" s="76">
        <v>0</v>
      </c>
      <c r="DT154" s="76">
        <v>2272</v>
      </c>
      <c r="DU154" s="76">
        <v>0</v>
      </c>
      <c r="DV154" s="76">
        <v>455</v>
      </c>
      <c r="DW154" s="76">
        <v>1817</v>
      </c>
      <c r="DX154" s="76">
        <v>0</v>
      </c>
      <c r="DY154" s="76">
        <v>0</v>
      </c>
      <c r="DZ154" s="76">
        <v>0</v>
      </c>
      <c r="EA154" s="76">
        <v>0</v>
      </c>
      <c r="EB154" s="76">
        <v>5108</v>
      </c>
      <c r="EC154" s="76">
        <v>0</v>
      </c>
      <c r="ED154" s="76">
        <v>8159</v>
      </c>
      <c r="EE154" s="76">
        <v>-3051</v>
      </c>
      <c r="EF154" s="76">
        <v>7380</v>
      </c>
      <c r="EG154" s="76">
        <v>0</v>
      </c>
      <c r="EH154" s="76">
        <v>8614</v>
      </c>
      <c r="EI154" s="76">
        <v>-1234</v>
      </c>
      <c r="EJ154" s="76">
        <v>10705</v>
      </c>
      <c r="EK154" s="76">
        <v>1844</v>
      </c>
      <c r="EL154" s="76">
        <v>8614</v>
      </c>
      <c r="EM154" s="76">
        <v>247</v>
      </c>
      <c r="EN154" s="76">
        <v>2340</v>
      </c>
      <c r="EO154" s="76">
        <v>1330</v>
      </c>
      <c r="EP154" s="76">
        <v>778</v>
      </c>
      <c r="EQ154" s="76">
        <v>1330</v>
      </c>
      <c r="ER154" s="76">
        <v>459304</v>
      </c>
      <c r="ES154" s="76">
        <v>0</v>
      </c>
      <c r="ET154" s="76">
        <v>459304</v>
      </c>
      <c r="EU154" s="76">
        <v>26455</v>
      </c>
      <c r="EV154" s="76">
        <v>-3587</v>
      </c>
      <c r="EW154" s="76">
        <v>0</v>
      </c>
      <c r="EX154" s="76">
        <v>0</v>
      </c>
      <c r="EY154" s="76">
        <v>-11613</v>
      </c>
      <c r="EZ154" s="76">
        <v>470559</v>
      </c>
      <c r="FA154" s="76">
        <v>62284</v>
      </c>
      <c r="FB154" s="76">
        <v>9094</v>
      </c>
      <c r="FC154" s="76">
        <v>0</v>
      </c>
      <c r="FD154" s="76">
        <v>0</v>
      </c>
      <c r="FE154" s="76">
        <v>-420</v>
      </c>
      <c r="FF154" s="76">
        <v>0</v>
      </c>
      <c r="FG154" s="76">
        <v>-1578</v>
      </c>
      <c r="FH154" s="76">
        <v>69380</v>
      </c>
      <c r="FI154" s="76">
        <v>401179</v>
      </c>
      <c r="FJ154" s="76">
        <v>397020</v>
      </c>
      <c r="FK154" s="76">
        <v>9045</v>
      </c>
      <c r="FL154" s="76">
        <v>478</v>
      </c>
      <c r="FM154" s="76">
        <v>8567</v>
      </c>
      <c r="FN154" s="76">
        <v>3253</v>
      </c>
      <c r="FO154" s="76">
        <v>1133</v>
      </c>
      <c r="FP154" s="76">
        <v>2120</v>
      </c>
      <c r="FQ154" s="76">
        <v>0</v>
      </c>
      <c r="FR154" s="76">
        <v>0</v>
      </c>
      <c r="FS154" s="76">
        <v>0</v>
      </c>
      <c r="FT154" s="76">
        <v>0</v>
      </c>
      <c r="FU154" s="76">
        <v>0</v>
      </c>
      <c r="FV154" s="76">
        <v>0</v>
      </c>
      <c r="FW154" s="76">
        <v>0</v>
      </c>
      <c r="FX154" s="76">
        <v>0</v>
      </c>
      <c r="FY154" s="76">
        <v>0</v>
      </c>
      <c r="FZ154" s="76">
        <v>0</v>
      </c>
      <c r="GA154" s="76">
        <v>2159</v>
      </c>
      <c r="GB154" s="76">
        <v>-2159</v>
      </c>
      <c r="GC154" s="76">
        <v>12298</v>
      </c>
      <c r="GD154" s="76">
        <v>3770</v>
      </c>
      <c r="GE154" s="76">
        <v>8528</v>
      </c>
      <c r="GF154" s="76">
        <v>0</v>
      </c>
      <c r="GG154" s="76">
        <v>0</v>
      </c>
      <c r="GH154" s="76">
        <v>0</v>
      </c>
      <c r="GI154" s="76">
        <v>0</v>
      </c>
      <c r="GJ154" s="76">
        <v>0</v>
      </c>
      <c r="GK154" s="76">
        <v>14168</v>
      </c>
      <c r="GL154" s="76">
        <v>14168</v>
      </c>
      <c r="GM154" s="76">
        <v>1325</v>
      </c>
      <c r="GN154" s="76">
        <v>1177</v>
      </c>
      <c r="GO154" s="76">
        <v>0</v>
      </c>
      <c r="GP154" s="76">
        <v>218</v>
      </c>
      <c r="GQ154" s="76">
        <v>1752</v>
      </c>
      <c r="GR154" s="76">
        <v>16812</v>
      </c>
      <c r="GS154" s="76">
        <v>289</v>
      </c>
      <c r="GT154" s="76">
        <v>0</v>
      </c>
      <c r="GU154" s="76">
        <v>505</v>
      </c>
      <c r="GV154" s="76">
        <v>0</v>
      </c>
      <c r="GW154" s="76">
        <v>14223</v>
      </c>
      <c r="GX154" s="76">
        <v>36301</v>
      </c>
      <c r="GY154" s="76">
        <v>234</v>
      </c>
      <c r="GZ154" s="76">
        <v>2239</v>
      </c>
      <c r="HA154" s="76">
        <v>2997</v>
      </c>
      <c r="HB154" s="76">
        <v>0</v>
      </c>
      <c r="HC154" s="76">
        <v>5470</v>
      </c>
      <c r="HD154" s="76">
        <v>0</v>
      </c>
      <c r="HE154" s="76">
        <v>1052</v>
      </c>
      <c r="HF154" s="76">
        <v>1052</v>
      </c>
      <c r="HG154" s="76">
        <v>14517</v>
      </c>
      <c r="HH154" s="76">
        <v>127</v>
      </c>
      <c r="HI154" s="76">
        <v>301</v>
      </c>
      <c r="HJ154" s="76">
        <v>30</v>
      </c>
      <c r="HK154" s="76">
        <v>151</v>
      </c>
      <c r="HL154" s="76">
        <v>-1935</v>
      </c>
      <c r="HM154" s="76">
        <v>13191</v>
      </c>
      <c r="HN154" s="76">
        <v>1135</v>
      </c>
      <c r="HO154" s="76">
        <v>9968</v>
      </c>
      <c r="HP154" s="76">
        <v>0</v>
      </c>
      <c r="HQ154" s="76">
        <v>93</v>
      </c>
      <c r="HR154" s="76">
        <v>-333</v>
      </c>
      <c r="HS154" s="76">
        <v>2</v>
      </c>
      <c r="HT154" s="76">
        <v>8720</v>
      </c>
      <c r="HU154" s="76">
        <v>2</v>
      </c>
      <c r="HV154" s="76">
        <v>0</v>
      </c>
      <c r="HW154" s="76">
        <v>-2</v>
      </c>
      <c r="HX154" s="76">
        <v>183</v>
      </c>
    </row>
    <row r="155" spans="1:232" x14ac:dyDescent="0.2">
      <c r="A155" s="74" t="s">
        <v>620</v>
      </c>
      <c r="B155" s="74" t="s">
        <v>621</v>
      </c>
      <c r="C155" s="75" t="s">
        <v>200</v>
      </c>
      <c r="D155" s="75">
        <v>12</v>
      </c>
      <c r="E155" s="76">
        <v>74513</v>
      </c>
      <c r="F155" s="76">
        <v>-813</v>
      </c>
      <c r="G155" s="76">
        <v>-51853</v>
      </c>
      <c r="H155" s="76">
        <v>21847</v>
      </c>
      <c r="I155" s="76">
        <v>-140</v>
      </c>
      <c r="J155" s="76">
        <v>0</v>
      </c>
      <c r="K155" s="76">
        <v>-25</v>
      </c>
      <c r="L155" s="76">
        <v>59</v>
      </c>
      <c r="M155" s="76">
        <v>259</v>
      </c>
      <c r="N155" s="76">
        <v>-11409</v>
      </c>
      <c r="O155" s="76">
        <v>-441</v>
      </c>
      <c r="P155" s="76">
        <v>0</v>
      </c>
      <c r="Q155" s="76">
        <v>0</v>
      </c>
      <c r="R155" s="76">
        <v>0</v>
      </c>
      <c r="S155" s="76">
        <v>10150</v>
      </c>
      <c r="T155" s="76">
        <v>-444</v>
      </c>
      <c r="U155" s="76">
        <v>9706</v>
      </c>
      <c r="V155" s="76">
        <v>2022</v>
      </c>
      <c r="W155" s="76">
        <v>-4045</v>
      </c>
      <c r="X155" s="76">
        <v>-951</v>
      </c>
      <c r="Y155" s="76">
        <v>-6</v>
      </c>
      <c r="Z155" s="76">
        <v>6726</v>
      </c>
      <c r="AA155" s="76">
        <v>55859</v>
      </c>
      <c r="AB155" s="76">
        <v>8187</v>
      </c>
      <c r="AC155" s="76">
        <v>64046</v>
      </c>
      <c r="AD155" s="76">
        <v>100</v>
      </c>
      <c r="AE155" s="76">
        <v>0</v>
      </c>
      <c r="AF155" s="76">
        <v>5</v>
      </c>
      <c r="AG155" s="76">
        <v>1826</v>
      </c>
      <c r="AH155" s="76">
        <v>65977</v>
      </c>
      <c r="AI155" s="76">
        <v>9330</v>
      </c>
      <c r="AJ155" s="76">
        <v>9221</v>
      </c>
      <c r="AK155" s="76">
        <v>9452</v>
      </c>
      <c r="AL155" s="76">
        <v>2051</v>
      </c>
      <c r="AM155" s="76">
        <v>2751</v>
      </c>
      <c r="AN155" s="76">
        <v>63</v>
      </c>
      <c r="AO155" s="76">
        <v>7291</v>
      </c>
      <c r="AP155" s="76">
        <v>348</v>
      </c>
      <c r="AQ155" s="76">
        <v>7584</v>
      </c>
      <c r="AR155" s="76">
        <v>48091</v>
      </c>
      <c r="AS155" s="76">
        <v>17886</v>
      </c>
      <c r="AT155" s="76">
        <v>3431</v>
      </c>
      <c r="AU155" s="76">
        <v>502435</v>
      </c>
      <c r="AV155" s="76">
        <v>0</v>
      </c>
      <c r="AW155" s="76">
        <v>5973</v>
      </c>
      <c r="AX155" s="76">
        <v>0</v>
      </c>
      <c r="AY155" s="76">
        <v>0</v>
      </c>
      <c r="AZ155" s="76">
        <v>3565</v>
      </c>
      <c r="BA155" s="76">
        <v>0</v>
      </c>
      <c r="BB155" s="76">
        <v>0</v>
      </c>
      <c r="BC155" s="76">
        <v>0</v>
      </c>
      <c r="BD155" s="76">
        <v>0</v>
      </c>
      <c r="BE155" s="76">
        <v>511973</v>
      </c>
      <c r="BF155" s="76">
        <v>537</v>
      </c>
      <c r="BG155" s="76">
        <v>3326</v>
      </c>
      <c r="BH155" s="76">
        <v>1103</v>
      </c>
      <c r="BI155" s="76">
        <v>8990</v>
      </c>
      <c r="BJ155" s="76">
        <v>1888</v>
      </c>
      <c r="BK155" s="76">
        <v>15844</v>
      </c>
      <c r="BL155" s="76">
        <v>3679</v>
      </c>
      <c r="BM155" s="76">
        <v>911</v>
      </c>
      <c r="BN155" s="76">
        <v>106</v>
      </c>
      <c r="BO155" s="76">
        <v>9786</v>
      </c>
      <c r="BP155" s="76">
        <v>14482</v>
      </c>
      <c r="BQ155" s="76">
        <v>1362</v>
      </c>
      <c r="BR155" s="76">
        <v>513335</v>
      </c>
      <c r="BS155" s="76">
        <v>251319</v>
      </c>
      <c r="BT155" s="76">
        <v>0</v>
      </c>
      <c r="BU155" s="76">
        <v>135</v>
      </c>
      <c r="BV155" s="76">
        <v>8389</v>
      </c>
      <c r="BW155" s="76">
        <v>0</v>
      </c>
      <c r="BX155" s="76">
        <v>0</v>
      </c>
      <c r="BY155" s="76">
        <v>0</v>
      </c>
      <c r="BZ155" s="76">
        <v>259843</v>
      </c>
      <c r="CA155" s="76">
        <v>12374</v>
      </c>
      <c r="CB155" s="76">
        <v>3088</v>
      </c>
      <c r="CC155" s="76">
        <v>238030</v>
      </c>
      <c r="CD155" s="76">
        <v>77335</v>
      </c>
      <c r="CE155" s="76">
        <v>160548</v>
      </c>
      <c r="CF155" s="76">
        <v>0</v>
      </c>
      <c r="CG155" s="76">
        <v>0</v>
      </c>
      <c r="CH155" s="76">
        <v>147</v>
      </c>
      <c r="CI155" s="76">
        <v>238030</v>
      </c>
      <c r="CJ155" s="76">
        <v>1131</v>
      </c>
      <c r="CK155" s="76">
        <v>813</v>
      </c>
      <c r="CL155" s="76">
        <v>0</v>
      </c>
      <c r="CM155" s="76">
        <v>318</v>
      </c>
      <c r="CN155" s="76">
        <v>200</v>
      </c>
      <c r="CO155" s="76">
        <v>0</v>
      </c>
      <c r="CP155" s="76">
        <v>176</v>
      </c>
      <c r="CQ155" s="76">
        <v>24</v>
      </c>
      <c r="CR155" s="76">
        <v>0</v>
      </c>
      <c r="CS155" s="76">
        <v>0</v>
      </c>
      <c r="CT155" s="76">
        <v>0</v>
      </c>
      <c r="CU155" s="76">
        <v>0</v>
      </c>
      <c r="CV155" s="76">
        <v>0</v>
      </c>
      <c r="CW155" s="76">
        <v>0</v>
      </c>
      <c r="CX155" s="76">
        <v>0</v>
      </c>
      <c r="CY155" s="76">
        <v>0</v>
      </c>
      <c r="CZ155" s="76">
        <v>0</v>
      </c>
      <c r="DA155" s="76">
        <v>0</v>
      </c>
      <c r="DB155" s="76">
        <v>0</v>
      </c>
      <c r="DC155" s="76">
        <v>0</v>
      </c>
      <c r="DD155" s="76">
        <v>1331</v>
      </c>
      <c r="DE155" s="76">
        <v>813</v>
      </c>
      <c r="DF155" s="76">
        <v>176</v>
      </c>
      <c r="DG155" s="76">
        <v>342</v>
      </c>
      <c r="DH155" s="76">
        <v>0</v>
      </c>
      <c r="DI155" s="76">
        <v>0</v>
      </c>
      <c r="DJ155" s="76">
        <v>0</v>
      </c>
      <c r="DK155" s="76">
        <v>0</v>
      </c>
      <c r="DL155" s="76">
        <v>0</v>
      </c>
      <c r="DM155" s="76">
        <v>0</v>
      </c>
      <c r="DN155" s="76">
        <v>0</v>
      </c>
      <c r="DO155" s="76">
        <v>0</v>
      </c>
      <c r="DP155" s="76">
        <v>0</v>
      </c>
      <c r="DQ155" s="76">
        <v>0</v>
      </c>
      <c r="DR155" s="76">
        <v>0</v>
      </c>
      <c r="DS155" s="76">
        <v>0</v>
      </c>
      <c r="DT155" s="76">
        <v>148</v>
      </c>
      <c r="DU155" s="76">
        <v>0</v>
      </c>
      <c r="DV155" s="76">
        <v>127</v>
      </c>
      <c r="DW155" s="76">
        <v>21</v>
      </c>
      <c r="DX155" s="76">
        <v>369</v>
      </c>
      <c r="DY155" s="76">
        <v>0</v>
      </c>
      <c r="DZ155" s="76">
        <v>363</v>
      </c>
      <c r="EA155" s="76">
        <v>6</v>
      </c>
      <c r="EB155" s="76">
        <v>6688</v>
      </c>
      <c r="EC155" s="76">
        <v>0</v>
      </c>
      <c r="ED155" s="76">
        <v>3096</v>
      </c>
      <c r="EE155" s="76">
        <v>3592</v>
      </c>
      <c r="EF155" s="76">
        <v>7205</v>
      </c>
      <c r="EG155" s="76">
        <v>0</v>
      </c>
      <c r="EH155" s="76">
        <v>3586</v>
      </c>
      <c r="EI155" s="76">
        <v>3619</v>
      </c>
      <c r="EJ155" s="76">
        <v>8536</v>
      </c>
      <c r="EK155" s="76">
        <v>813</v>
      </c>
      <c r="EL155" s="76">
        <v>3762</v>
      </c>
      <c r="EM155" s="76">
        <v>3961</v>
      </c>
      <c r="EN155" s="76">
        <v>2428</v>
      </c>
      <c r="EO155" s="76">
        <v>762</v>
      </c>
      <c r="EP155" s="76">
        <v>568</v>
      </c>
      <c r="EQ155" s="76">
        <v>755</v>
      </c>
      <c r="ER155" s="76">
        <v>594335</v>
      </c>
      <c r="ES155" s="76">
        <v>0</v>
      </c>
      <c r="ET155" s="76">
        <v>594335</v>
      </c>
      <c r="EU155" s="76">
        <v>8469</v>
      </c>
      <c r="EV155" s="76">
        <v>-2126</v>
      </c>
      <c r="EW155" s="76">
        <v>0</v>
      </c>
      <c r="EX155" s="76">
        <v>0</v>
      </c>
      <c r="EY155" s="76">
        <v>-1012</v>
      </c>
      <c r="EZ155" s="76">
        <v>599666</v>
      </c>
      <c r="FA155" s="76">
        <v>89997</v>
      </c>
      <c r="FB155" s="76">
        <v>7950</v>
      </c>
      <c r="FC155" s="76">
        <v>348</v>
      </c>
      <c r="FD155" s="76">
        <v>0</v>
      </c>
      <c r="FE155" s="76">
        <v>-1064</v>
      </c>
      <c r="FF155" s="76">
        <v>0</v>
      </c>
      <c r="FG155" s="76">
        <v>0</v>
      </c>
      <c r="FH155" s="76">
        <v>97231</v>
      </c>
      <c r="FI155" s="76">
        <v>502435</v>
      </c>
      <c r="FJ155" s="76">
        <v>504338</v>
      </c>
      <c r="FK155" s="76">
        <v>0</v>
      </c>
      <c r="FL155" s="76">
        <v>0</v>
      </c>
      <c r="FM155" s="76">
        <v>0</v>
      </c>
      <c r="FN155" s="76">
        <v>215</v>
      </c>
      <c r="FO155" s="76">
        <v>280</v>
      </c>
      <c r="FP155" s="76">
        <v>-65</v>
      </c>
      <c r="FQ155" s="76">
        <v>0</v>
      </c>
      <c r="FR155" s="76">
        <v>0</v>
      </c>
      <c r="FS155" s="76">
        <v>0</v>
      </c>
      <c r="FT155" s="76">
        <v>597</v>
      </c>
      <c r="FU155" s="76">
        <v>649</v>
      </c>
      <c r="FV155" s="76">
        <v>-52</v>
      </c>
      <c r="FW155" s="76">
        <v>0</v>
      </c>
      <c r="FX155" s="76">
        <v>0</v>
      </c>
      <c r="FY155" s="76">
        <v>0</v>
      </c>
      <c r="FZ155" s="76">
        <v>142</v>
      </c>
      <c r="GA155" s="76">
        <v>165</v>
      </c>
      <c r="GB155" s="76">
        <v>-23</v>
      </c>
      <c r="GC155" s="76">
        <v>954</v>
      </c>
      <c r="GD155" s="76">
        <v>1094</v>
      </c>
      <c r="GE155" s="76">
        <v>-140</v>
      </c>
      <c r="GF155" s="76">
        <v>0</v>
      </c>
      <c r="GG155" s="76">
        <v>0</v>
      </c>
      <c r="GH155" s="76">
        <v>0</v>
      </c>
      <c r="GI155" s="76">
        <v>0</v>
      </c>
      <c r="GJ155" s="76">
        <v>0</v>
      </c>
      <c r="GK155" s="76">
        <v>1888</v>
      </c>
      <c r="GL155" s="76">
        <v>1888</v>
      </c>
      <c r="GM155" s="76">
        <v>1863</v>
      </c>
      <c r="GN155" s="76">
        <v>1132</v>
      </c>
      <c r="GO155" s="76">
        <v>0</v>
      </c>
      <c r="GP155" s="76">
        <v>8</v>
      </c>
      <c r="GQ155" s="76">
        <v>19</v>
      </c>
      <c r="GR155" s="76">
        <v>5426</v>
      </c>
      <c r="GS155" s="76">
        <v>56</v>
      </c>
      <c r="GT155" s="76">
        <v>0</v>
      </c>
      <c r="GU155" s="76">
        <v>248</v>
      </c>
      <c r="GV155" s="76">
        <v>0</v>
      </c>
      <c r="GW155" s="76">
        <v>1034</v>
      </c>
      <c r="GX155" s="76">
        <v>9786</v>
      </c>
      <c r="GY155" s="76">
        <v>0</v>
      </c>
      <c r="GZ155" s="76">
        <v>0</v>
      </c>
      <c r="HA155" s="76">
        <v>0</v>
      </c>
      <c r="HB155" s="76">
        <v>0</v>
      </c>
      <c r="HC155" s="76">
        <v>0</v>
      </c>
      <c r="HD155" s="76">
        <v>0</v>
      </c>
      <c r="HE155" s="76">
        <v>3088</v>
      </c>
      <c r="HF155" s="76">
        <v>3088</v>
      </c>
      <c r="HG155" s="76">
        <v>11135</v>
      </c>
      <c r="HH155" s="76">
        <v>52</v>
      </c>
      <c r="HI155" s="76">
        <v>298</v>
      </c>
      <c r="HJ155" s="76">
        <v>0</v>
      </c>
      <c r="HK155" s="76">
        <v>4</v>
      </c>
      <c r="HL155" s="76">
        <v>-80</v>
      </c>
      <c r="HM155" s="76">
        <v>11409</v>
      </c>
      <c r="HN155" s="76">
        <v>3407</v>
      </c>
      <c r="HO155" s="76">
        <v>9036</v>
      </c>
      <c r="HP155" s="76">
        <v>348</v>
      </c>
      <c r="HQ155" s="76">
        <v>81</v>
      </c>
      <c r="HR155" s="76">
        <v>-41</v>
      </c>
      <c r="HS155" s="76">
        <v>-18</v>
      </c>
      <c r="HT155" s="76">
        <v>9570</v>
      </c>
      <c r="HU155" s="76">
        <v>0</v>
      </c>
      <c r="HV155" s="76">
        <v>-2</v>
      </c>
      <c r="HW155" s="76">
        <v>-11</v>
      </c>
      <c r="HX155" s="76">
        <v>690</v>
      </c>
    </row>
    <row r="156" spans="1:232" x14ac:dyDescent="0.2">
      <c r="A156" s="74" t="s">
        <v>622</v>
      </c>
      <c r="B156" s="74" t="s">
        <v>623</v>
      </c>
      <c r="C156" s="75" t="s">
        <v>200</v>
      </c>
      <c r="D156" s="75">
        <v>12</v>
      </c>
      <c r="E156" s="76">
        <v>137270</v>
      </c>
      <c r="F156" s="76">
        <v>-6260</v>
      </c>
      <c r="G156" s="76">
        <v>-76350</v>
      </c>
      <c r="H156" s="76">
        <v>54660</v>
      </c>
      <c r="I156" s="76">
        <v>4919</v>
      </c>
      <c r="J156" s="76">
        <v>0</v>
      </c>
      <c r="K156" s="76">
        <v>0</v>
      </c>
      <c r="L156" s="76">
        <v>228</v>
      </c>
      <c r="M156" s="76">
        <v>1341</v>
      </c>
      <c r="N156" s="76">
        <v>-28555</v>
      </c>
      <c r="O156" s="76">
        <v>2103</v>
      </c>
      <c r="P156" s="76">
        <v>-19</v>
      </c>
      <c r="Q156" s="76">
        <v>0</v>
      </c>
      <c r="R156" s="76">
        <v>0</v>
      </c>
      <c r="S156" s="76">
        <v>34677</v>
      </c>
      <c r="T156" s="76">
        <v>-91</v>
      </c>
      <c r="U156" s="76">
        <v>34586</v>
      </c>
      <c r="V156" s="76">
        <v>0</v>
      </c>
      <c r="W156" s="76">
        <v>-7783</v>
      </c>
      <c r="X156" s="76">
        <v>0</v>
      </c>
      <c r="Y156" s="76">
        <v>0</v>
      </c>
      <c r="Z156" s="76">
        <v>26803</v>
      </c>
      <c r="AA156" s="76">
        <v>109577</v>
      </c>
      <c r="AB156" s="76">
        <v>4901</v>
      </c>
      <c r="AC156" s="76">
        <v>114478</v>
      </c>
      <c r="AD156" s="76">
        <v>4463</v>
      </c>
      <c r="AE156" s="76">
        <v>0</v>
      </c>
      <c r="AF156" s="76">
        <v>0</v>
      </c>
      <c r="AG156" s="76">
        <v>0</v>
      </c>
      <c r="AH156" s="76">
        <v>118941</v>
      </c>
      <c r="AI156" s="76">
        <v>18993</v>
      </c>
      <c r="AJ156" s="76">
        <v>5483</v>
      </c>
      <c r="AK156" s="76">
        <v>11272</v>
      </c>
      <c r="AL156" s="76">
        <v>4401</v>
      </c>
      <c r="AM156" s="76">
        <v>10000</v>
      </c>
      <c r="AN156" s="76">
        <v>281</v>
      </c>
      <c r="AO156" s="76">
        <v>14410</v>
      </c>
      <c r="AP156" s="76">
        <v>-1321</v>
      </c>
      <c r="AQ156" s="76">
        <v>-914</v>
      </c>
      <c r="AR156" s="76">
        <v>62605</v>
      </c>
      <c r="AS156" s="76">
        <v>56336</v>
      </c>
      <c r="AT156" s="76">
        <v>745</v>
      </c>
      <c r="AU156" s="76">
        <v>1175970</v>
      </c>
      <c r="AV156" s="76">
        <v>0</v>
      </c>
      <c r="AW156" s="76">
        <v>13347</v>
      </c>
      <c r="AX156" s="76">
        <v>0</v>
      </c>
      <c r="AY156" s="76">
        <v>48247</v>
      </c>
      <c r="AZ156" s="76">
        <v>44439</v>
      </c>
      <c r="BA156" s="76">
        <v>2363</v>
      </c>
      <c r="BB156" s="76">
        <v>0</v>
      </c>
      <c r="BC156" s="76">
        <v>0</v>
      </c>
      <c r="BD156" s="76">
        <v>0</v>
      </c>
      <c r="BE156" s="76">
        <v>1284366</v>
      </c>
      <c r="BF156" s="76">
        <v>15395</v>
      </c>
      <c r="BG156" s="76">
        <v>5389</v>
      </c>
      <c r="BH156" s="76">
        <v>75134</v>
      </c>
      <c r="BI156" s="76">
        <v>0</v>
      </c>
      <c r="BJ156" s="76">
        <v>91786</v>
      </c>
      <c r="BK156" s="76">
        <v>187704</v>
      </c>
      <c r="BL156" s="76">
        <v>6504</v>
      </c>
      <c r="BM156" s="76">
        <v>0</v>
      </c>
      <c r="BN156" s="76">
        <v>4546</v>
      </c>
      <c r="BO156" s="76">
        <v>37117</v>
      </c>
      <c r="BP156" s="76">
        <v>48167</v>
      </c>
      <c r="BQ156" s="76">
        <v>139537</v>
      </c>
      <c r="BR156" s="76">
        <v>1423903</v>
      </c>
      <c r="BS156" s="76">
        <v>729991</v>
      </c>
      <c r="BT156" s="76">
        <v>0</v>
      </c>
      <c r="BU156" s="76">
        <v>0</v>
      </c>
      <c r="BV156" s="76">
        <v>400150</v>
      </c>
      <c r="BW156" s="76">
        <v>39733</v>
      </c>
      <c r="BX156" s="76">
        <v>0</v>
      </c>
      <c r="BY156" s="76">
        <v>35160</v>
      </c>
      <c r="BZ156" s="76">
        <v>1205034</v>
      </c>
      <c r="CA156" s="76">
        <v>29010</v>
      </c>
      <c r="CB156" s="76">
        <v>723</v>
      </c>
      <c r="CC156" s="76">
        <v>189136</v>
      </c>
      <c r="CD156" s="76">
        <v>188849</v>
      </c>
      <c r="CE156" s="76">
        <v>0</v>
      </c>
      <c r="CF156" s="76">
        <v>287</v>
      </c>
      <c r="CG156" s="76">
        <v>0</v>
      </c>
      <c r="CH156" s="76">
        <v>0</v>
      </c>
      <c r="CI156" s="76">
        <v>189136</v>
      </c>
      <c r="CJ156" s="76">
        <v>10723</v>
      </c>
      <c r="CK156" s="76">
        <v>6260</v>
      </c>
      <c r="CL156" s="76">
        <v>2257</v>
      </c>
      <c r="CM156" s="76">
        <v>2206</v>
      </c>
      <c r="CN156" s="76">
        <v>0</v>
      </c>
      <c r="CO156" s="76">
        <v>0</v>
      </c>
      <c r="CP156" s="76">
        <v>0</v>
      </c>
      <c r="CQ156" s="76">
        <v>0</v>
      </c>
      <c r="CR156" s="76">
        <v>0</v>
      </c>
      <c r="CS156" s="76">
        <v>0</v>
      </c>
      <c r="CT156" s="76">
        <v>5610</v>
      </c>
      <c r="CU156" s="76">
        <v>-5610</v>
      </c>
      <c r="CV156" s="76">
        <v>0</v>
      </c>
      <c r="CW156" s="76">
        <v>0</v>
      </c>
      <c r="CX156" s="76">
        <v>0</v>
      </c>
      <c r="CY156" s="76">
        <v>0</v>
      </c>
      <c r="CZ156" s="76">
        <v>1942</v>
      </c>
      <c r="DA156" s="76">
        <v>0</v>
      </c>
      <c r="DB156" s="76">
        <v>1562</v>
      </c>
      <c r="DC156" s="76">
        <v>380</v>
      </c>
      <c r="DD156" s="76">
        <v>12665</v>
      </c>
      <c r="DE156" s="76">
        <v>6260</v>
      </c>
      <c r="DF156" s="76">
        <v>9429</v>
      </c>
      <c r="DG156" s="76">
        <v>-3024</v>
      </c>
      <c r="DH156" s="76">
        <v>0</v>
      </c>
      <c r="DI156" s="76">
        <v>0</v>
      </c>
      <c r="DJ156" s="76">
        <v>0</v>
      </c>
      <c r="DK156" s="76">
        <v>0</v>
      </c>
      <c r="DL156" s="76">
        <v>0</v>
      </c>
      <c r="DM156" s="76">
        <v>0</v>
      </c>
      <c r="DN156" s="76">
        <v>0</v>
      </c>
      <c r="DO156" s="76">
        <v>0</v>
      </c>
      <c r="DP156" s="76">
        <v>0</v>
      </c>
      <c r="DQ156" s="76">
        <v>0</v>
      </c>
      <c r="DR156" s="76">
        <v>0</v>
      </c>
      <c r="DS156" s="76">
        <v>0</v>
      </c>
      <c r="DT156" s="76">
        <v>2159</v>
      </c>
      <c r="DU156" s="76">
        <v>0</v>
      </c>
      <c r="DV156" s="76">
        <v>721</v>
      </c>
      <c r="DW156" s="76">
        <v>1438</v>
      </c>
      <c r="DX156" s="76">
        <v>796</v>
      </c>
      <c r="DY156" s="76">
        <v>0</v>
      </c>
      <c r="DZ156" s="76">
        <v>782</v>
      </c>
      <c r="EA156" s="76">
        <v>14</v>
      </c>
      <c r="EB156" s="76">
        <v>2709</v>
      </c>
      <c r="EC156" s="76">
        <v>0</v>
      </c>
      <c r="ED156" s="76">
        <v>2813</v>
      </c>
      <c r="EE156" s="76">
        <v>-104</v>
      </c>
      <c r="EF156" s="76">
        <v>5664</v>
      </c>
      <c r="EG156" s="76">
        <v>0</v>
      </c>
      <c r="EH156" s="76">
        <v>4316</v>
      </c>
      <c r="EI156" s="76">
        <v>1348</v>
      </c>
      <c r="EJ156" s="76">
        <v>18329</v>
      </c>
      <c r="EK156" s="76">
        <v>6260</v>
      </c>
      <c r="EL156" s="76">
        <v>13745</v>
      </c>
      <c r="EM156" s="76">
        <v>-1676</v>
      </c>
      <c r="EN156" s="76">
        <v>3831</v>
      </c>
      <c r="EO156" s="76">
        <v>654</v>
      </c>
      <c r="EP156" s="76">
        <v>947</v>
      </c>
      <c r="EQ156" s="76">
        <v>654</v>
      </c>
      <c r="ER156" s="76">
        <v>1279926</v>
      </c>
      <c r="ES156" s="76">
        <v>0</v>
      </c>
      <c r="ET156" s="76">
        <v>1279926</v>
      </c>
      <c r="EU156" s="76">
        <v>61339</v>
      </c>
      <c r="EV156" s="76">
        <v>-10017</v>
      </c>
      <c r="EW156" s="76">
        <v>0</v>
      </c>
      <c r="EX156" s="76">
        <v>0</v>
      </c>
      <c r="EY156" s="76">
        <v>-865</v>
      </c>
      <c r="EZ156" s="76">
        <v>1330383</v>
      </c>
      <c r="FA156" s="76">
        <v>142570</v>
      </c>
      <c r="FB156" s="76">
        <v>14410</v>
      </c>
      <c r="FC156" s="76">
        <v>145</v>
      </c>
      <c r="FD156" s="76">
        <v>0</v>
      </c>
      <c r="FE156" s="76">
        <v>-2712</v>
      </c>
      <c r="FF156" s="76">
        <v>0</v>
      </c>
      <c r="FG156" s="76">
        <v>0</v>
      </c>
      <c r="FH156" s="76">
        <v>154413</v>
      </c>
      <c r="FI156" s="76">
        <v>1175970</v>
      </c>
      <c r="FJ156" s="76">
        <v>1137356</v>
      </c>
      <c r="FK156" s="76">
        <v>6280</v>
      </c>
      <c r="FL156" s="76">
        <v>3707</v>
      </c>
      <c r="FM156" s="76">
        <v>2573</v>
      </c>
      <c r="FN156" s="76">
        <v>1935</v>
      </c>
      <c r="FO156" s="76">
        <v>251</v>
      </c>
      <c r="FP156" s="76">
        <v>1684</v>
      </c>
      <c r="FQ156" s="76">
        <v>195</v>
      </c>
      <c r="FR156" s="76">
        <v>158</v>
      </c>
      <c r="FS156" s="76">
        <v>37</v>
      </c>
      <c r="FT156" s="76">
        <v>1411</v>
      </c>
      <c r="FU156" s="76">
        <v>1420</v>
      </c>
      <c r="FV156" s="76">
        <v>-9</v>
      </c>
      <c r="FW156" s="76">
        <v>0</v>
      </c>
      <c r="FX156" s="76">
        <v>0</v>
      </c>
      <c r="FY156" s="76">
        <v>0</v>
      </c>
      <c r="FZ156" s="76">
        <v>7987</v>
      </c>
      <c r="GA156" s="76">
        <v>7353</v>
      </c>
      <c r="GB156" s="76">
        <v>634</v>
      </c>
      <c r="GC156" s="76">
        <v>17808</v>
      </c>
      <c r="GD156" s="76">
        <v>12889</v>
      </c>
      <c r="GE156" s="76">
        <v>4919</v>
      </c>
      <c r="GF156" s="76">
        <v>0</v>
      </c>
      <c r="GG156" s="76">
        <v>133</v>
      </c>
      <c r="GH156" s="76">
        <v>1260</v>
      </c>
      <c r="GI156" s="76">
        <v>0</v>
      </c>
      <c r="GJ156" s="76">
        <v>0</v>
      </c>
      <c r="GK156" s="76">
        <v>90393</v>
      </c>
      <c r="GL156" s="76">
        <v>91786</v>
      </c>
      <c r="GM156" s="76">
        <v>14898</v>
      </c>
      <c r="GN156" s="76">
        <v>2542</v>
      </c>
      <c r="GO156" s="76">
        <v>0</v>
      </c>
      <c r="GP156" s="76">
        <v>0</v>
      </c>
      <c r="GQ156" s="76">
        <v>0</v>
      </c>
      <c r="GR156" s="76">
        <v>6406</v>
      </c>
      <c r="GS156" s="76">
        <v>0</v>
      </c>
      <c r="GT156" s="76">
        <v>0</v>
      </c>
      <c r="GU156" s="76">
        <v>0</v>
      </c>
      <c r="GV156" s="76">
        <v>0</v>
      </c>
      <c r="GW156" s="76">
        <v>13271</v>
      </c>
      <c r="GX156" s="76">
        <v>37117</v>
      </c>
      <c r="GY156" s="76">
        <v>13816</v>
      </c>
      <c r="GZ156" s="76">
        <v>159</v>
      </c>
      <c r="HA156" s="76">
        <v>0</v>
      </c>
      <c r="HB156" s="76">
        <v>21185</v>
      </c>
      <c r="HC156" s="76">
        <v>35160</v>
      </c>
      <c r="HD156" s="76">
        <v>0</v>
      </c>
      <c r="HE156" s="76">
        <v>723</v>
      </c>
      <c r="HF156" s="76">
        <v>723</v>
      </c>
      <c r="HG156" s="76">
        <v>27499</v>
      </c>
      <c r="HH156" s="76">
        <v>314</v>
      </c>
      <c r="HI156" s="76">
        <v>702</v>
      </c>
      <c r="HJ156" s="76">
        <v>40</v>
      </c>
      <c r="HK156" s="76">
        <v>0</v>
      </c>
      <c r="HL156" s="76">
        <v>0</v>
      </c>
      <c r="HM156" s="76">
        <v>28555</v>
      </c>
      <c r="HN156" s="76">
        <v>5229</v>
      </c>
      <c r="HO156" s="76">
        <v>15471</v>
      </c>
      <c r="HP156" s="76">
        <v>-1321</v>
      </c>
      <c r="HQ156" s="76">
        <v>432</v>
      </c>
      <c r="HR156" s="76">
        <v>-94</v>
      </c>
      <c r="HS156" s="76">
        <v>-62</v>
      </c>
      <c r="HT156" s="76">
        <v>20537</v>
      </c>
      <c r="HU156" s="76">
        <v>0</v>
      </c>
      <c r="HV156" s="76">
        <v>0</v>
      </c>
      <c r="HW156" s="76">
        <v>1</v>
      </c>
      <c r="HX156" s="76">
        <v>276</v>
      </c>
    </row>
    <row r="157" spans="1:232" x14ac:dyDescent="0.2">
      <c r="A157" s="74" t="s">
        <v>147</v>
      </c>
      <c r="B157" s="74" t="s">
        <v>146</v>
      </c>
      <c r="C157" s="75" t="s">
        <v>200</v>
      </c>
      <c r="D157" s="75">
        <v>12</v>
      </c>
      <c r="E157" s="76">
        <v>7010</v>
      </c>
      <c r="F157" s="76">
        <v>0</v>
      </c>
      <c r="G157" s="76">
        <v>-5658</v>
      </c>
      <c r="H157" s="76">
        <v>1352</v>
      </c>
      <c r="I157" s="76">
        <v>0</v>
      </c>
      <c r="J157" s="76">
        <v>0</v>
      </c>
      <c r="K157" s="76">
        <v>0</v>
      </c>
      <c r="L157" s="76">
        <v>0</v>
      </c>
      <c r="M157" s="76">
        <v>39</v>
      </c>
      <c r="N157" s="76">
        <v>-715</v>
      </c>
      <c r="O157" s="76">
        <v>0</v>
      </c>
      <c r="P157" s="76">
        <v>0</v>
      </c>
      <c r="Q157" s="76">
        <v>0</v>
      </c>
      <c r="R157" s="76">
        <v>0</v>
      </c>
      <c r="S157" s="76">
        <v>676</v>
      </c>
      <c r="T157" s="76">
        <v>0</v>
      </c>
      <c r="U157" s="76">
        <v>676</v>
      </c>
      <c r="V157" s="76">
        <v>0</v>
      </c>
      <c r="W157" s="76">
        <v>0</v>
      </c>
      <c r="X157" s="76">
        <v>0</v>
      </c>
      <c r="Y157" s="76">
        <v>0</v>
      </c>
      <c r="Z157" s="76">
        <v>676</v>
      </c>
      <c r="AA157" s="76">
        <v>5708</v>
      </c>
      <c r="AB157" s="76">
        <v>870</v>
      </c>
      <c r="AC157" s="76">
        <v>6578</v>
      </c>
      <c r="AD157" s="76">
        <v>304</v>
      </c>
      <c r="AE157" s="76">
        <v>0</v>
      </c>
      <c r="AF157" s="76">
        <v>0</v>
      </c>
      <c r="AG157" s="76">
        <v>0</v>
      </c>
      <c r="AH157" s="76">
        <v>6882</v>
      </c>
      <c r="AI157" s="76">
        <v>942</v>
      </c>
      <c r="AJ157" s="76">
        <v>859</v>
      </c>
      <c r="AK157" s="76">
        <v>1385</v>
      </c>
      <c r="AL157" s="76">
        <v>124</v>
      </c>
      <c r="AM157" s="76">
        <v>0</v>
      </c>
      <c r="AN157" s="76">
        <v>-4</v>
      </c>
      <c r="AO157" s="76">
        <v>1773</v>
      </c>
      <c r="AP157" s="76">
        <v>456</v>
      </c>
      <c r="AQ157" s="76">
        <v>26</v>
      </c>
      <c r="AR157" s="76">
        <v>5561</v>
      </c>
      <c r="AS157" s="76">
        <v>1321</v>
      </c>
      <c r="AT157" s="76">
        <v>45</v>
      </c>
      <c r="AU157" s="76">
        <v>46667</v>
      </c>
      <c r="AV157" s="76">
        <v>0</v>
      </c>
      <c r="AW157" s="76">
        <v>259</v>
      </c>
      <c r="AX157" s="76">
        <v>117</v>
      </c>
      <c r="AY157" s="76">
        <v>0</v>
      </c>
      <c r="AZ157" s="76">
        <v>0</v>
      </c>
      <c r="BA157" s="76">
        <v>0</v>
      </c>
      <c r="BB157" s="76">
        <v>0</v>
      </c>
      <c r="BC157" s="76">
        <v>0</v>
      </c>
      <c r="BD157" s="76">
        <v>0</v>
      </c>
      <c r="BE157" s="76">
        <v>47043</v>
      </c>
      <c r="BF157" s="76">
        <v>0</v>
      </c>
      <c r="BG157" s="76">
        <v>521</v>
      </c>
      <c r="BH157" s="76">
        <v>8238</v>
      </c>
      <c r="BI157" s="76">
        <v>0</v>
      </c>
      <c r="BJ157" s="76">
        <v>0</v>
      </c>
      <c r="BK157" s="76">
        <v>8759</v>
      </c>
      <c r="BL157" s="76">
        <v>21</v>
      </c>
      <c r="BM157" s="76">
        <v>0</v>
      </c>
      <c r="BN157" s="76">
        <v>304</v>
      </c>
      <c r="BO157" s="76">
        <v>2731</v>
      </c>
      <c r="BP157" s="76">
        <v>3056</v>
      </c>
      <c r="BQ157" s="76">
        <v>5703</v>
      </c>
      <c r="BR157" s="76">
        <v>52746</v>
      </c>
      <c r="BS157" s="76">
        <v>10773</v>
      </c>
      <c r="BT157" s="76">
        <v>0</v>
      </c>
      <c r="BU157" s="76">
        <v>0</v>
      </c>
      <c r="BV157" s="76">
        <v>18537</v>
      </c>
      <c r="BW157" s="76">
        <v>0</v>
      </c>
      <c r="BX157" s="76">
        <v>0</v>
      </c>
      <c r="BY157" s="76">
        <v>1679</v>
      </c>
      <c r="BZ157" s="76">
        <v>30989</v>
      </c>
      <c r="CA157" s="76">
        <v>0</v>
      </c>
      <c r="CB157" s="76">
        <v>0</v>
      </c>
      <c r="CC157" s="76">
        <v>21757</v>
      </c>
      <c r="CD157" s="76">
        <v>5295</v>
      </c>
      <c r="CE157" s="76">
        <v>0</v>
      </c>
      <c r="CF157" s="76">
        <v>0</v>
      </c>
      <c r="CG157" s="76">
        <v>0</v>
      </c>
      <c r="CH157" s="76">
        <v>16462</v>
      </c>
      <c r="CI157" s="76">
        <v>21757</v>
      </c>
      <c r="CJ157" s="76">
        <v>0</v>
      </c>
      <c r="CK157" s="76">
        <v>0</v>
      </c>
      <c r="CL157" s="76">
        <v>0</v>
      </c>
      <c r="CM157" s="76">
        <v>0</v>
      </c>
      <c r="CN157" s="76">
        <v>0</v>
      </c>
      <c r="CO157" s="76">
        <v>0</v>
      </c>
      <c r="CP157" s="76">
        <v>0</v>
      </c>
      <c r="CQ157" s="76">
        <v>0</v>
      </c>
      <c r="CR157" s="76">
        <v>0</v>
      </c>
      <c r="CS157" s="76">
        <v>0</v>
      </c>
      <c r="CT157" s="76">
        <v>0</v>
      </c>
      <c r="CU157" s="76">
        <v>0</v>
      </c>
      <c r="CV157" s="76">
        <v>0</v>
      </c>
      <c r="CW157" s="76">
        <v>0</v>
      </c>
      <c r="CX157" s="76">
        <v>0</v>
      </c>
      <c r="CY157" s="76">
        <v>0</v>
      </c>
      <c r="CZ157" s="76">
        <v>128</v>
      </c>
      <c r="DA157" s="76">
        <v>0</v>
      </c>
      <c r="DB157" s="76">
        <v>97</v>
      </c>
      <c r="DC157" s="76">
        <v>31</v>
      </c>
      <c r="DD157" s="76">
        <v>128</v>
      </c>
      <c r="DE157" s="76">
        <v>0</v>
      </c>
      <c r="DF157" s="76">
        <v>97</v>
      </c>
      <c r="DG157" s="76">
        <v>31</v>
      </c>
      <c r="DH157" s="76">
        <v>0</v>
      </c>
      <c r="DI157" s="76">
        <v>0</v>
      </c>
      <c r="DJ157" s="76">
        <v>0</v>
      </c>
      <c r="DK157" s="76">
        <v>0</v>
      </c>
      <c r="DL157" s="76">
        <v>0</v>
      </c>
      <c r="DM157" s="76">
        <v>0</v>
      </c>
      <c r="DN157" s="76">
        <v>0</v>
      </c>
      <c r="DO157" s="76">
        <v>0</v>
      </c>
      <c r="DP157" s="76">
        <v>0</v>
      </c>
      <c r="DQ157" s="76">
        <v>0</v>
      </c>
      <c r="DR157" s="76">
        <v>0</v>
      </c>
      <c r="DS157" s="76">
        <v>0</v>
      </c>
      <c r="DT157" s="76">
        <v>0</v>
      </c>
      <c r="DU157" s="76">
        <v>0</v>
      </c>
      <c r="DV157" s="76">
        <v>0</v>
      </c>
      <c r="DW157" s="76">
        <v>0</v>
      </c>
      <c r="DX157" s="76">
        <v>0</v>
      </c>
      <c r="DY157" s="76">
        <v>0</v>
      </c>
      <c r="DZ157" s="76">
        <v>0</v>
      </c>
      <c r="EA157" s="76">
        <v>0</v>
      </c>
      <c r="EB157" s="76">
        <v>1</v>
      </c>
      <c r="EC157" s="76">
        <v>0</v>
      </c>
      <c r="ED157" s="76">
        <v>1</v>
      </c>
      <c r="EE157" s="76">
        <v>0</v>
      </c>
      <c r="EF157" s="76">
        <v>1</v>
      </c>
      <c r="EG157" s="76">
        <v>0</v>
      </c>
      <c r="EH157" s="76">
        <v>1</v>
      </c>
      <c r="EI157" s="76">
        <v>0</v>
      </c>
      <c r="EJ157" s="76">
        <v>129</v>
      </c>
      <c r="EK157" s="76">
        <v>0</v>
      </c>
      <c r="EL157" s="76">
        <v>98</v>
      </c>
      <c r="EM157" s="76">
        <v>31</v>
      </c>
      <c r="EN157" s="76">
        <v>111</v>
      </c>
      <c r="EO157" s="76">
        <v>16</v>
      </c>
      <c r="EP157" s="76">
        <v>26</v>
      </c>
      <c r="EQ157" s="76">
        <v>16</v>
      </c>
      <c r="ER157" s="76">
        <v>73044</v>
      </c>
      <c r="ES157" s="76">
        <v>0</v>
      </c>
      <c r="ET157" s="76">
        <v>73044</v>
      </c>
      <c r="EU157" s="76">
        <v>2972</v>
      </c>
      <c r="EV157" s="76">
        <v>0</v>
      </c>
      <c r="EW157" s="76">
        <v>0</v>
      </c>
      <c r="EX157" s="76">
        <v>0</v>
      </c>
      <c r="EY157" s="76">
        <v>2</v>
      </c>
      <c r="EZ157" s="76">
        <v>76018</v>
      </c>
      <c r="FA157" s="76">
        <v>27122</v>
      </c>
      <c r="FB157" s="76">
        <v>1773</v>
      </c>
      <c r="FC157" s="76">
        <v>456</v>
      </c>
      <c r="FD157" s="76">
        <v>0</v>
      </c>
      <c r="FE157" s="76">
        <v>0</v>
      </c>
      <c r="FF157" s="76">
        <v>0</v>
      </c>
      <c r="FG157" s="76">
        <v>0</v>
      </c>
      <c r="FH157" s="76">
        <v>29351</v>
      </c>
      <c r="FI157" s="76">
        <v>46667</v>
      </c>
      <c r="FJ157" s="76">
        <v>45922</v>
      </c>
      <c r="FK157" s="76">
        <v>0</v>
      </c>
      <c r="FL157" s="76">
        <v>0</v>
      </c>
      <c r="FM157" s="76">
        <v>0</v>
      </c>
      <c r="FN157" s="76">
        <v>0</v>
      </c>
      <c r="FO157" s="76">
        <v>0</v>
      </c>
      <c r="FP157" s="76">
        <v>0</v>
      </c>
      <c r="FQ157" s="76">
        <v>0</v>
      </c>
      <c r="FR157" s="76">
        <v>0</v>
      </c>
      <c r="FS157" s="76">
        <v>0</v>
      </c>
      <c r="FT157" s="76">
        <v>0</v>
      </c>
      <c r="FU157" s="76">
        <v>0</v>
      </c>
      <c r="FV157" s="76">
        <v>0</v>
      </c>
      <c r="FW157" s="76">
        <v>0</v>
      </c>
      <c r="FX157" s="76">
        <v>0</v>
      </c>
      <c r="FY157" s="76">
        <v>0</v>
      </c>
      <c r="FZ157" s="76">
        <v>0</v>
      </c>
      <c r="GA157" s="76">
        <v>0</v>
      </c>
      <c r="GB157" s="76">
        <v>0</v>
      </c>
      <c r="GC157" s="76">
        <v>0</v>
      </c>
      <c r="GD157" s="76">
        <v>0</v>
      </c>
      <c r="GE157" s="76">
        <v>0</v>
      </c>
      <c r="GF157" s="76">
        <v>0</v>
      </c>
      <c r="GG157" s="76">
        <v>0</v>
      </c>
      <c r="GH157" s="76">
        <v>0</v>
      </c>
      <c r="GI157" s="76">
        <v>0</v>
      </c>
      <c r="GJ157" s="76">
        <v>0</v>
      </c>
      <c r="GK157" s="76">
        <v>0</v>
      </c>
      <c r="GL157" s="76">
        <v>0</v>
      </c>
      <c r="GM157" s="76">
        <v>998</v>
      </c>
      <c r="GN157" s="76">
        <v>171</v>
      </c>
      <c r="GO157" s="76">
        <v>0</v>
      </c>
      <c r="GP157" s="76">
        <v>0</v>
      </c>
      <c r="GQ157" s="76">
        <v>0</v>
      </c>
      <c r="GR157" s="76">
        <v>1423</v>
      </c>
      <c r="GS157" s="76">
        <v>0</v>
      </c>
      <c r="GT157" s="76">
        <v>0</v>
      </c>
      <c r="GU157" s="76">
        <v>139</v>
      </c>
      <c r="GV157" s="76">
        <v>0</v>
      </c>
      <c r="GW157" s="76">
        <v>0</v>
      </c>
      <c r="GX157" s="76">
        <v>2731</v>
      </c>
      <c r="GY157" s="76">
        <v>0</v>
      </c>
      <c r="GZ157" s="76">
        <v>0</v>
      </c>
      <c r="HA157" s="76">
        <v>929</v>
      </c>
      <c r="HB157" s="76">
        <v>750</v>
      </c>
      <c r="HC157" s="76">
        <v>1679</v>
      </c>
      <c r="HD157" s="76">
        <v>0</v>
      </c>
      <c r="HE157" s="76">
        <v>0</v>
      </c>
      <c r="HF157" s="76">
        <v>0</v>
      </c>
      <c r="HG157" s="76">
        <v>679</v>
      </c>
      <c r="HH157" s="76">
        <v>15</v>
      </c>
      <c r="HI157" s="76">
        <v>22</v>
      </c>
      <c r="HJ157" s="76">
        <v>0</v>
      </c>
      <c r="HK157" s="76">
        <v>0</v>
      </c>
      <c r="HL157" s="76">
        <v>0</v>
      </c>
      <c r="HM157" s="76">
        <v>716</v>
      </c>
      <c r="HN157" s="76">
        <v>1201</v>
      </c>
      <c r="HO157" s="76">
        <v>1840</v>
      </c>
      <c r="HP157" s="76">
        <v>456</v>
      </c>
      <c r="HQ157" s="76">
        <v>0</v>
      </c>
      <c r="HR157" s="76">
        <v>0</v>
      </c>
      <c r="HS157" s="76">
        <v>0</v>
      </c>
      <c r="HT157" s="76">
        <v>1504</v>
      </c>
      <c r="HU157" s="76">
        <v>0</v>
      </c>
      <c r="HV157" s="76">
        <v>0</v>
      </c>
      <c r="HW157" s="76">
        <v>0</v>
      </c>
      <c r="HX157" s="76">
        <v>0</v>
      </c>
    </row>
    <row r="158" spans="1:232" x14ac:dyDescent="0.2">
      <c r="A158" s="74" t="s">
        <v>149</v>
      </c>
      <c r="B158" s="74" t="s">
        <v>148</v>
      </c>
      <c r="C158" s="75" t="s">
        <v>200</v>
      </c>
      <c r="D158" s="75">
        <v>12</v>
      </c>
      <c r="E158" s="76">
        <v>46731</v>
      </c>
      <c r="F158" s="76">
        <v>-4460</v>
      </c>
      <c r="G158" s="76">
        <v>-28559</v>
      </c>
      <c r="H158" s="76">
        <v>13712</v>
      </c>
      <c r="I158" s="76">
        <v>671</v>
      </c>
      <c r="J158" s="76">
        <v>0</v>
      </c>
      <c r="K158" s="76">
        <v>0</v>
      </c>
      <c r="L158" s="76">
        <v>0</v>
      </c>
      <c r="M158" s="76">
        <v>70</v>
      </c>
      <c r="N158" s="76">
        <v>-5641</v>
      </c>
      <c r="O158" s="76">
        <v>1841</v>
      </c>
      <c r="P158" s="76">
        <v>-184</v>
      </c>
      <c r="Q158" s="76">
        <v>0</v>
      </c>
      <c r="R158" s="76">
        <v>0</v>
      </c>
      <c r="S158" s="76">
        <v>10469</v>
      </c>
      <c r="T158" s="76">
        <v>40</v>
      </c>
      <c r="U158" s="76">
        <v>10509</v>
      </c>
      <c r="V158" s="76">
        <v>0</v>
      </c>
      <c r="W158" s="76">
        <v>-736</v>
      </c>
      <c r="X158" s="76">
        <v>0</v>
      </c>
      <c r="Y158" s="76">
        <v>0</v>
      </c>
      <c r="Z158" s="76">
        <v>9773</v>
      </c>
      <c r="AA158" s="76">
        <v>34296</v>
      </c>
      <c r="AB158" s="76">
        <v>2020</v>
      </c>
      <c r="AC158" s="76">
        <v>36316</v>
      </c>
      <c r="AD158" s="76">
        <v>399</v>
      </c>
      <c r="AE158" s="76">
        <v>0</v>
      </c>
      <c r="AF158" s="76">
        <v>0</v>
      </c>
      <c r="AG158" s="76">
        <v>0</v>
      </c>
      <c r="AH158" s="76">
        <v>36715</v>
      </c>
      <c r="AI158" s="76">
        <v>5110</v>
      </c>
      <c r="AJ158" s="76">
        <v>2008</v>
      </c>
      <c r="AK158" s="76">
        <v>3931</v>
      </c>
      <c r="AL158" s="76">
        <v>2558</v>
      </c>
      <c r="AM158" s="76">
        <v>1920</v>
      </c>
      <c r="AN158" s="76">
        <v>-23</v>
      </c>
      <c r="AO158" s="76">
        <v>4417</v>
      </c>
      <c r="AP158" s="76">
        <v>191</v>
      </c>
      <c r="AQ158" s="76">
        <v>4465</v>
      </c>
      <c r="AR158" s="76">
        <v>24577</v>
      </c>
      <c r="AS158" s="76">
        <v>12138</v>
      </c>
      <c r="AT158" s="76">
        <v>247</v>
      </c>
      <c r="AU158" s="76">
        <v>246540</v>
      </c>
      <c r="AV158" s="76">
        <v>0</v>
      </c>
      <c r="AW158" s="76">
        <v>3936</v>
      </c>
      <c r="AX158" s="76">
        <v>0</v>
      </c>
      <c r="AY158" s="76">
        <v>590</v>
      </c>
      <c r="AZ158" s="76">
        <v>3746</v>
      </c>
      <c r="BA158" s="76">
        <v>0</v>
      </c>
      <c r="BB158" s="76">
        <v>0</v>
      </c>
      <c r="BC158" s="76">
        <v>0</v>
      </c>
      <c r="BD158" s="76">
        <v>0</v>
      </c>
      <c r="BE158" s="76">
        <v>254812</v>
      </c>
      <c r="BF158" s="76">
        <v>3305</v>
      </c>
      <c r="BG158" s="76">
        <v>1149</v>
      </c>
      <c r="BH158" s="76">
        <v>5740</v>
      </c>
      <c r="BI158" s="76">
        <v>0</v>
      </c>
      <c r="BJ158" s="76">
        <v>1278</v>
      </c>
      <c r="BK158" s="76">
        <v>11472</v>
      </c>
      <c r="BL158" s="76">
        <v>0</v>
      </c>
      <c r="BM158" s="76">
        <v>0</v>
      </c>
      <c r="BN158" s="76">
        <v>438</v>
      </c>
      <c r="BO158" s="76">
        <v>8032</v>
      </c>
      <c r="BP158" s="76">
        <v>8470</v>
      </c>
      <c r="BQ158" s="76">
        <v>3002</v>
      </c>
      <c r="BR158" s="76">
        <v>257814</v>
      </c>
      <c r="BS158" s="76">
        <v>167798</v>
      </c>
      <c r="BT158" s="76">
        <v>0</v>
      </c>
      <c r="BU158" s="76">
        <v>0</v>
      </c>
      <c r="BV158" s="76">
        <v>38193</v>
      </c>
      <c r="BW158" s="76">
        <v>590</v>
      </c>
      <c r="BX158" s="76">
        <v>0</v>
      </c>
      <c r="BY158" s="76">
        <v>1262</v>
      </c>
      <c r="BZ158" s="76">
        <v>207843</v>
      </c>
      <c r="CA158" s="76">
        <v>933</v>
      </c>
      <c r="CB158" s="76">
        <v>124</v>
      </c>
      <c r="CC158" s="76">
        <v>48914</v>
      </c>
      <c r="CD158" s="76">
        <v>48914</v>
      </c>
      <c r="CE158" s="76">
        <v>0</v>
      </c>
      <c r="CF158" s="76">
        <v>0</v>
      </c>
      <c r="CG158" s="76">
        <v>0</v>
      </c>
      <c r="CH158" s="76">
        <v>0</v>
      </c>
      <c r="CI158" s="76">
        <v>48914</v>
      </c>
      <c r="CJ158" s="76">
        <v>6521</v>
      </c>
      <c r="CK158" s="76">
        <v>4460</v>
      </c>
      <c r="CL158" s="76">
        <v>0</v>
      </c>
      <c r="CM158" s="76">
        <v>2061</v>
      </c>
      <c r="CN158" s="76">
        <v>299</v>
      </c>
      <c r="CO158" s="76">
        <v>0</v>
      </c>
      <c r="CP158" s="76">
        <v>394</v>
      </c>
      <c r="CQ158" s="76">
        <v>-95</v>
      </c>
      <c r="CR158" s="76">
        <v>0</v>
      </c>
      <c r="CS158" s="76">
        <v>0</v>
      </c>
      <c r="CT158" s="76">
        <v>0</v>
      </c>
      <c r="CU158" s="76">
        <v>0</v>
      </c>
      <c r="CV158" s="76">
        <v>103</v>
      </c>
      <c r="CW158" s="76">
        <v>0</v>
      </c>
      <c r="CX158" s="76">
        <v>769</v>
      </c>
      <c r="CY158" s="76">
        <v>-666</v>
      </c>
      <c r="CZ158" s="76">
        <v>495</v>
      </c>
      <c r="DA158" s="76">
        <v>0</v>
      </c>
      <c r="DB158" s="76">
        <v>765</v>
      </c>
      <c r="DC158" s="76">
        <v>-270</v>
      </c>
      <c r="DD158" s="76">
        <v>7418</v>
      </c>
      <c r="DE158" s="76">
        <v>4460</v>
      </c>
      <c r="DF158" s="76">
        <v>1928</v>
      </c>
      <c r="DG158" s="76">
        <v>1030</v>
      </c>
      <c r="DH158" s="76">
        <v>0</v>
      </c>
      <c r="DI158" s="76">
        <v>0</v>
      </c>
      <c r="DJ158" s="76">
        <v>0</v>
      </c>
      <c r="DK158" s="76">
        <v>0</v>
      </c>
      <c r="DL158" s="76">
        <v>0</v>
      </c>
      <c r="DM158" s="76">
        <v>0</v>
      </c>
      <c r="DN158" s="76">
        <v>0</v>
      </c>
      <c r="DO158" s="76">
        <v>0</v>
      </c>
      <c r="DP158" s="76">
        <v>0</v>
      </c>
      <c r="DQ158" s="76">
        <v>0</v>
      </c>
      <c r="DR158" s="76">
        <v>0</v>
      </c>
      <c r="DS158" s="76">
        <v>0</v>
      </c>
      <c r="DT158" s="76">
        <v>0</v>
      </c>
      <c r="DU158" s="76">
        <v>0</v>
      </c>
      <c r="DV158" s="76">
        <v>0</v>
      </c>
      <c r="DW158" s="76">
        <v>0</v>
      </c>
      <c r="DX158" s="76">
        <v>0</v>
      </c>
      <c r="DY158" s="76">
        <v>0</v>
      </c>
      <c r="DZ158" s="76">
        <v>0</v>
      </c>
      <c r="EA158" s="76">
        <v>0</v>
      </c>
      <c r="EB158" s="76">
        <v>2598</v>
      </c>
      <c r="EC158" s="76">
        <v>0</v>
      </c>
      <c r="ED158" s="76">
        <v>2054</v>
      </c>
      <c r="EE158" s="76">
        <v>544</v>
      </c>
      <c r="EF158" s="76">
        <v>2598</v>
      </c>
      <c r="EG158" s="76">
        <v>0</v>
      </c>
      <c r="EH158" s="76">
        <v>2054</v>
      </c>
      <c r="EI158" s="76">
        <v>544</v>
      </c>
      <c r="EJ158" s="76">
        <v>10016</v>
      </c>
      <c r="EK158" s="76">
        <v>4460</v>
      </c>
      <c r="EL158" s="76">
        <v>3982</v>
      </c>
      <c r="EM158" s="76">
        <v>1574</v>
      </c>
      <c r="EN158" s="76">
        <v>452</v>
      </c>
      <c r="EO158" s="76">
        <v>490</v>
      </c>
      <c r="EP158" s="76">
        <v>60</v>
      </c>
      <c r="EQ158" s="76">
        <v>490</v>
      </c>
      <c r="ER158" s="76">
        <v>255070</v>
      </c>
      <c r="ES158" s="76">
        <v>0</v>
      </c>
      <c r="ET158" s="76">
        <v>255070</v>
      </c>
      <c r="EU158" s="76">
        <v>32515</v>
      </c>
      <c r="EV158" s="76">
        <v>-3225</v>
      </c>
      <c r="EW158" s="76">
        <v>0</v>
      </c>
      <c r="EX158" s="76">
        <v>0</v>
      </c>
      <c r="EY158" s="76">
        <v>0</v>
      </c>
      <c r="EZ158" s="76">
        <v>284360</v>
      </c>
      <c r="FA158" s="76">
        <v>33604</v>
      </c>
      <c r="FB158" s="76">
        <v>4417</v>
      </c>
      <c r="FC158" s="76">
        <v>191</v>
      </c>
      <c r="FD158" s="76">
        <v>0</v>
      </c>
      <c r="FE158" s="76">
        <v>-392</v>
      </c>
      <c r="FF158" s="76">
        <v>0</v>
      </c>
      <c r="FG158" s="76">
        <v>0</v>
      </c>
      <c r="FH158" s="76">
        <v>37820</v>
      </c>
      <c r="FI158" s="76">
        <v>246540</v>
      </c>
      <c r="FJ158" s="76">
        <v>221466</v>
      </c>
      <c r="FK158" s="76">
        <v>2040</v>
      </c>
      <c r="FL158" s="76">
        <v>1548</v>
      </c>
      <c r="FM158" s="76">
        <v>492</v>
      </c>
      <c r="FN158" s="76">
        <v>3870</v>
      </c>
      <c r="FO158" s="76">
        <v>3768</v>
      </c>
      <c r="FP158" s="76">
        <v>102</v>
      </c>
      <c r="FQ158" s="76">
        <v>184</v>
      </c>
      <c r="FR158" s="76">
        <v>168</v>
      </c>
      <c r="FS158" s="76">
        <v>16</v>
      </c>
      <c r="FT158" s="76">
        <v>0</v>
      </c>
      <c r="FU158" s="76">
        <v>0</v>
      </c>
      <c r="FV158" s="76">
        <v>0</v>
      </c>
      <c r="FW158" s="76">
        <v>0</v>
      </c>
      <c r="FX158" s="76">
        <v>0</v>
      </c>
      <c r="FY158" s="76">
        <v>0</v>
      </c>
      <c r="FZ158" s="76">
        <v>185</v>
      </c>
      <c r="GA158" s="76">
        <v>124</v>
      </c>
      <c r="GB158" s="76">
        <v>61</v>
      </c>
      <c r="GC158" s="76">
        <v>6279</v>
      </c>
      <c r="GD158" s="76">
        <v>5608</v>
      </c>
      <c r="GE158" s="76">
        <v>671</v>
      </c>
      <c r="GF158" s="76">
        <v>0</v>
      </c>
      <c r="GG158" s="76">
        <v>19</v>
      </c>
      <c r="GH158" s="76">
        <v>47</v>
      </c>
      <c r="GI158" s="76">
        <v>0</v>
      </c>
      <c r="GJ158" s="76">
        <v>0</v>
      </c>
      <c r="GK158" s="76">
        <v>1212</v>
      </c>
      <c r="GL158" s="76">
        <v>1278</v>
      </c>
      <c r="GM158" s="76">
        <v>508</v>
      </c>
      <c r="GN158" s="76">
        <v>1144</v>
      </c>
      <c r="GO158" s="76">
        <v>0</v>
      </c>
      <c r="GP158" s="76">
        <v>192</v>
      </c>
      <c r="GQ158" s="76">
        <v>301</v>
      </c>
      <c r="GR158" s="76">
        <v>4807</v>
      </c>
      <c r="GS158" s="76">
        <v>0</v>
      </c>
      <c r="GT158" s="76">
        <v>0</v>
      </c>
      <c r="GU158" s="76">
        <v>0</v>
      </c>
      <c r="GV158" s="76">
        <v>0</v>
      </c>
      <c r="GW158" s="76">
        <v>1080</v>
      </c>
      <c r="GX158" s="76">
        <v>8032</v>
      </c>
      <c r="GY158" s="76">
        <v>614</v>
      </c>
      <c r="GZ158" s="76">
        <v>648</v>
      </c>
      <c r="HA158" s="76">
        <v>0</v>
      </c>
      <c r="HB158" s="76">
        <v>0</v>
      </c>
      <c r="HC158" s="76">
        <v>1262</v>
      </c>
      <c r="HD158" s="76">
        <v>0</v>
      </c>
      <c r="HE158" s="76">
        <v>124</v>
      </c>
      <c r="HF158" s="76">
        <v>124</v>
      </c>
      <c r="HG158" s="76">
        <v>6335</v>
      </c>
      <c r="HH158" s="76">
        <v>72</v>
      </c>
      <c r="HI158" s="76">
        <v>53</v>
      </c>
      <c r="HJ158" s="76">
        <v>0</v>
      </c>
      <c r="HK158" s="76">
        <v>0</v>
      </c>
      <c r="HL158" s="76">
        <v>-819</v>
      </c>
      <c r="HM158" s="76">
        <v>5641</v>
      </c>
      <c r="HN158" s="76">
        <v>1483</v>
      </c>
      <c r="HO158" s="76">
        <v>4696</v>
      </c>
      <c r="HP158" s="76">
        <v>191</v>
      </c>
      <c r="HQ158" s="76">
        <v>200</v>
      </c>
      <c r="HR158" s="76">
        <v>-23</v>
      </c>
      <c r="HS158" s="76">
        <v>4</v>
      </c>
      <c r="HT158" s="76">
        <v>5775</v>
      </c>
      <c r="HU158" s="76">
        <v>0</v>
      </c>
      <c r="HV158" s="76">
        <v>-2</v>
      </c>
      <c r="HW158" s="76">
        <v>5</v>
      </c>
      <c r="HX158" s="76">
        <v>814</v>
      </c>
    </row>
    <row r="159" spans="1:232" x14ac:dyDescent="0.2">
      <c r="A159" s="74" t="s">
        <v>151</v>
      </c>
      <c r="B159" s="74" t="s">
        <v>150</v>
      </c>
      <c r="C159" s="75" t="s">
        <v>200</v>
      </c>
      <c r="D159" s="75">
        <v>12</v>
      </c>
      <c r="E159" s="76">
        <v>35436</v>
      </c>
      <c r="F159" s="76">
        <v>0</v>
      </c>
      <c r="G159" s="76">
        <v>-28530</v>
      </c>
      <c r="H159" s="76">
        <v>6906</v>
      </c>
      <c r="I159" s="76">
        <v>2942</v>
      </c>
      <c r="J159" s="76">
        <v>0</v>
      </c>
      <c r="K159" s="76">
        <v>761</v>
      </c>
      <c r="L159" s="76">
        <v>0</v>
      </c>
      <c r="M159" s="76">
        <v>40</v>
      </c>
      <c r="N159" s="76">
        <v>-4118</v>
      </c>
      <c r="O159" s="76">
        <v>175</v>
      </c>
      <c r="P159" s="76">
        <v>84</v>
      </c>
      <c r="Q159" s="76">
        <v>0</v>
      </c>
      <c r="R159" s="76">
        <v>0</v>
      </c>
      <c r="S159" s="76">
        <v>6790</v>
      </c>
      <c r="T159" s="76">
        <v>0</v>
      </c>
      <c r="U159" s="76">
        <v>6790</v>
      </c>
      <c r="V159" s="76">
        <v>0</v>
      </c>
      <c r="W159" s="76">
        <v>-1664</v>
      </c>
      <c r="X159" s="76">
        <v>0</v>
      </c>
      <c r="Y159" s="76">
        <v>0</v>
      </c>
      <c r="Z159" s="76">
        <v>5126</v>
      </c>
      <c r="AA159" s="76">
        <v>32332</v>
      </c>
      <c r="AB159" s="76">
        <v>1432</v>
      </c>
      <c r="AC159" s="76">
        <v>33764</v>
      </c>
      <c r="AD159" s="76">
        <v>513</v>
      </c>
      <c r="AE159" s="76">
        <v>0</v>
      </c>
      <c r="AF159" s="76">
        <v>0</v>
      </c>
      <c r="AG159" s="76">
        <v>0</v>
      </c>
      <c r="AH159" s="76">
        <v>34277</v>
      </c>
      <c r="AI159" s="76">
        <v>6639</v>
      </c>
      <c r="AJ159" s="76">
        <v>1527</v>
      </c>
      <c r="AK159" s="76">
        <v>3198</v>
      </c>
      <c r="AL159" s="76">
        <v>2493</v>
      </c>
      <c r="AM159" s="76">
        <v>10046</v>
      </c>
      <c r="AN159" s="76">
        <v>69</v>
      </c>
      <c r="AO159" s="76">
        <v>2163</v>
      </c>
      <c r="AP159" s="76">
        <v>0</v>
      </c>
      <c r="AQ159" s="76">
        <v>-1419</v>
      </c>
      <c r="AR159" s="76">
        <v>24716</v>
      </c>
      <c r="AS159" s="76">
        <v>9561</v>
      </c>
      <c r="AT159" s="76">
        <v>387</v>
      </c>
      <c r="AU159" s="76">
        <v>171935</v>
      </c>
      <c r="AV159" s="76">
        <v>0</v>
      </c>
      <c r="AW159" s="76">
        <v>692</v>
      </c>
      <c r="AX159" s="76">
        <v>-36514</v>
      </c>
      <c r="AY159" s="76">
        <v>0</v>
      </c>
      <c r="AZ159" s="76">
        <v>4260</v>
      </c>
      <c r="BA159" s="76">
        <v>0</v>
      </c>
      <c r="BB159" s="76">
        <v>0</v>
      </c>
      <c r="BC159" s="76">
        <v>0</v>
      </c>
      <c r="BD159" s="76">
        <v>0</v>
      </c>
      <c r="BE159" s="76">
        <v>140373</v>
      </c>
      <c r="BF159" s="76">
        <v>97</v>
      </c>
      <c r="BG159" s="76">
        <v>3533</v>
      </c>
      <c r="BH159" s="76">
        <v>16208</v>
      </c>
      <c r="BI159" s="76">
        <v>0</v>
      </c>
      <c r="BJ159" s="76">
        <v>0</v>
      </c>
      <c r="BK159" s="76">
        <v>19838</v>
      </c>
      <c r="BL159" s="76">
        <v>0</v>
      </c>
      <c r="BM159" s="76">
        <v>0</v>
      </c>
      <c r="BN159" s="76">
        <v>377</v>
      </c>
      <c r="BO159" s="76">
        <v>13212</v>
      </c>
      <c r="BP159" s="76">
        <v>13589</v>
      </c>
      <c r="BQ159" s="76">
        <v>6249</v>
      </c>
      <c r="BR159" s="76">
        <v>146622</v>
      </c>
      <c r="BS159" s="76">
        <v>65507</v>
      </c>
      <c r="BT159" s="76">
        <v>0</v>
      </c>
      <c r="BU159" s="76">
        <v>0</v>
      </c>
      <c r="BV159" s="76">
        <v>16249</v>
      </c>
      <c r="BW159" s="76">
        <v>0</v>
      </c>
      <c r="BX159" s="76">
        <v>0</v>
      </c>
      <c r="BY159" s="76">
        <v>14146</v>
      </c>
      <c r="BZ159" s="76">
        <v>95902</v>
      </c>
      <c r="CA159" s="76">
        <v>7740</v>
      </c>
      <c r="CB159" s="76">
        <v>6</v>
      </c>
      <c r="CC159" s="76">
        <v>42974</v>
      </c>
      <c r="CD159" s="76">
        <v>42871</v>
      </c>
      <c r="CE159" s="76">
        <v>-143</v>
      </c>
      <c r="CF159" s="76">
        <v>246</v>
      </c>
      <c r="CG159" s="76">
        <v>0</v>
      </c>
      <c r="CH159" s="76">
        <v>0</v>
      </c>
      <c r="CI159" s="76">
        <v>42974</v>
      </c>
      <c r="CJ159" s="76">
        <v>0</v>
      </c>
      <c r="CK159" s="76">
        <v>0</v>
      </c>
      <c r="CL159" s="76">
        <v>0</v>
      </c>
      <c r="CM159" s="76">
        <v>0</v>
      </c>
      <c r="CN159" s="76">
        <v>0</v>
      </c>
      <c r="CO159" s="76">
        <v>0</v>
      </c>
      <c r="CP159" s="76">
        <v>5</v>
      </c>
      <c r="CQ159" s="76">
        <v>-5</v>
      </c>
      <c r="CR159" s="76">
        <v>0</v>
      </c>
      <c r="CS159" s="76">
        <v>0</v>
      </c>
      <c r="CT159" s="76">
        <v>0</v>
      </c>
      <c r="CU159" s="76">
        <v>0</v>
      </c>
      <c r="CV159" s="76">
        <v>0</v>
      </c>
      <c r="CW159" s="76">
        <v>0</v>
      </c>
      <c r="CX159" s="76">
        <v>0</v>
      </c>
      <c r="CY159" s="76">
        <v>0</v>
      </c>
      <c r="CZ159" s="76">
        <v>0</v>
      </c>
      <c r="DA159" s="76">
        <v>0</v>
      </c>
      <c r="DB159" s="76">
        <v>0</v>
      </c>
      <c r="DC159" s="76">
        <v>0</v>
      </c>
      <c r="DD159" s="76">
        <v>0</v>
      </c>
      <c r="DE159" s="76">
        <v>0</v>
      </c>
      <c r="DF159" s="76">
        <v>5</v>
      </c>
      <c r="DG159" s="76">
        <v>-5</v>
      </c>
      <c r="DH159" s="76">
        <v>0</v>
      </c>
      <c r="DI159" s="76">
        <v>0</v>
      </c>
      <c r="DJ159" s="76">
        <v>0</v>
      </c>
      <c r="DK159" s="76">
        <v>0</v>
      </c>
      <c r="DL159" s="76">
        <v>0</v>
      </c>
      <c r="DM159" s="76">
        <v>0</v>
      </c>
      <c r="DN159" s="76">
        <v>0</v>
      </c>
      <c r="DO159" s="76">
        <v>0</v>
      </c>
      <c r="DP159" s="76">
        <v>0</v>
      </c>
      <c r="DQ159" s="76">
        <v>0</v>
      </c>
      <c r="DR159" s="76">
        <v>0</v>
      </c>
      <c r="DS159" s="76">
        <v>0</v>
      </c>
      <c r="DT159" s="76">
        <v>742</v>
      </c>
      <c r="DU159" s="76">
        <v>0</v>
      </c>
      <c r="DV159" s="76">
        <v>1407</v>
      </c>
      <c r="DW159" s="76">
        <v>-665</v>
      </c>
      <c r="DX159" s="76">
        <v>0</v>
      </c>
      <c r="DY159" s="76">
        <v>0</v>
      </c>
      <c r="DZ159" s="76">
        <v>0</v>
      </c>
      <c r="EA159" s="76">
        <v>0</v>
      </c>
      <c r="EB159" s="76">
        <v>417</v>
      </c>
      <c r="EC159" s="76">
        <v>0</v>
      </c>
      <c r="ED159" s="76">
        <v>2402</v>
      </c>
      <c r="EE159" s="76">
        <v>-1985</v>
      </c>
      <c r="EF159" s="76">
        <v>1159</v>
      </c>
      <c r="EG159" s="76">
        <v>0</v>
      </c>
      <c r="EH159" s="76">
        <v>3809</v>
      </c>
      <c r="EI159" s="76">
        <v>-2650</v>
      </c>
      <c r="EJ159" s="76">
        <v>1159</v>
      </c>
      <c r="EK159" s="76">
        <v>0</v>
      </c>
      <c r="EL159" s="76">
        <v>3814</v>
      </c>
      <c r="EM159" s="76">
        <v>-2655</v>
      </c>
      <c r="EN159" s="76">
        <v>1338</v>
      </c>
      <c r="EO159" s="76">
        <v>459</v>
      </c>
      <c r="EP159" s="76">
        <v>431</v>
      </c>
      <c r="EQ159" s="76">
        <v>397</v>
      </c>
      <c r="ER159" s="76">
        <v>170829</v>
      </c>
      <c r="ES159" s="76">
        <v>0</v>
      </c>
      <c r="ET159" s="76">
        <v>170829</v>
      </c>
      <c r="EU159" s="76">
        <v>8749</v>
      </c>
      <c r="EV159" s="76">
        <v>-1087</v>
      </c>
      <c r="EW159" s="76">
        <v>0</v>
      </c>
      <c r="EX159" s="76">
        <v>0</v>
      </c>
      <c r="EY159" s="76">
        <v>0</v>
      </c>
      <c r="EZ159" s="76">
        <v>178491</v>
      </c>
      <c r="FA159" s="76">
        <v>4523</v>
      </c>
      <c r="FB159" s="76">
        <v>2163</v>
      </c>
      <c r="FC159" s="76">
        <v>0</v>
      </c>
      <c r="FD159" s="76">
        <v>0</v>
      </c>
      <c r="FE159" s="76">
        <v>-130</v>
      </c>
      <c r="FF159" s="76">
        <v>0</v>
      </c>
      <c r="FG159" s="76">
        <v>0</v>
      </c>
      <c r="FH159" s="76">
        <v>6556</v>
      </c>
      <c r="FI159" s="76">
        <v>171935</v>
      </c>
      <c r="FJ159" s="76">
        <v>166306</v>
      </c>
      <c r="FK159" s="76">
        <v>0</v>
      </c>
      <c r="FL159" s="76">
        <v>0</v>
      </c>
      <c r="FM159" s="76">
        <v>0</v>
      </c>
      <c r="FN159" s="76">
        <v>6044</v>
      </c>
      <c r="FO159" s="76">
        <v>5216</v>
      </c>
      <c r="FP159" s="76">
        <v>828</v>
      </c>
      <c r="FQ159" s="76">
        <v>0</v>
      </c>
      <c r="FR159" s="76">
        <v>0</v>
      </c>
      <c r="FS159" s="76">
        <v>0</v>
      </c>
      <c r="FT159" s="76">
        <v>5123</v>
      </c>
      <c r="FU159" s="76">
        <v>3009</v>
      </c>
      <c r="FV159" s="76">
        <v>2114</v>
      </c>
      <c r="FW159" s="76">
        <v>0</v>
      </c>
      <c r="FX159" s="76">
        <v>0</v>
      </c>
      <c r="FY159" s="76">
        <v>0</v>
      </c>
      <c r="FZ159" s="76">
        <v>0</v>
      </c>
      <c r="GA159" s="76">
        <v>0</v>
      </c>
      <c r="GB159" s="76">
        <v>0</v>
      </c>
      <c r="GC159" s="76">
        <v>11167</v>
      </c>
      <c r="GD159" s="76">
        <v>8225</v>
      </c>
      <c r="GE159" s="76">
        <v>2942</v>
      </c>
      <c r="GF159" s="76">
        <v>0</v>
      </c>
      <c r="GG159" s="76">
        <v>0</v>
      </c>
      <c r="GH159" s="76">
        <v>0</v>
      </c>
      <c r="GI159" s="76">
        <v>0</v>
      </c>
      <c r="GJ159" s="76">
        <v>0</v>
      </c>
      <c r="GK159" s="76">
        <v>0</v>
      </c>
      <c r="GL159" s="76">
        <v>0</v>
      </c>
      <c r="GM159" s="76">
        <v>6661</v>
      </c>
      <c r="GN159" s="76">
        <v>812</v>
      </c>
      <c r="GO159" s="76">
        <v>0</v>
      </c>
      <c r="GP159" s="76">
        <v>0</v>
      </c>
      <c r="GQ159" s="76">
        <v>0</v>
      </c>
      <c r="GR159" s="76">
        <v>1281</v>
      </c>
      <c r="GS159" s="76">
        <v>0</v>
      </c>
      <c r="GT159" s="76">
        <v>0</v>
      </c>
      <c r="GU159" s="76">
        <v>0</v>
      </c>
      <c r="GV159" s="76">
        <v>0</v>
      </c>
      <c r="GW159" s="76">
        <v>4458</v>
      </c>
      <c r="GX159" s="76">
        <v>13212</v>
      </c>
      <c r="GY159" s="76">
        <v>0</v>
      </c>
      <c r="GZ159" s="76">
        <v>0</v>
      </c>
      <c r="HA159" s="76">
        <v>0</v>
      </c>
      <c r="HB159" s="76">
        <v>14146</v>
      </c>
      <c r="HC159" s="76">
        <v>14146</v>
      </c>
      <c r="HD159" s="76">
        <v>0</v>
      </c>
      <c r="HE159" s="76">
        <v>6</v>
      </c>
      <c r="HF159" s="76">
        <v>6</v>
      </c>
      <c r="HG159" s="76">
        <v>3901</v>
      </c>
      <c r="HH159" s="76">
        <v>0</v>
      </c>
      <c r="HI159" s="76">
        <v>217</v>
      </c>
      <c r="HJ159" s="76">
        <v>0</v>
      </c>
      <c r="HK159" s="76">
        <v>0</v>
      </c>
      <c r="HL159" s="76">
        <v>0</v>
      </c>
      <c r="HM159" s="76">
        <v>4118</v>
      </c>
      <c r="HN159" s="76">
        <v>8305</v>
      </c>
      <c r="HO159" s="76">
        <v>2688</v>
      </c>
      <c r="HP159" s="76">
        <v>0</v>
      </c>
      <c r="HQ159" s="76">
        <v>2</v>
      </c>
      <c r="HR159" s="76">
        <v>-82</v>
      </c>
      <c r="HS159" s="76">
        <v>2</v>
      </c>
      <c r="HT159" s="76">
        <v>5840</v>
      </c>
      <c r="HU159" s="76">
        <v>13</v>
      </c>
      <c r="HV159" s="76">
        <v>0</v>
      </c>
      <c r="HW159" s="76">
        <v>2</v>
      </c>
      <c r="HX159" s="76">
        <v>664</v>
      </c>
    </row>
    <row r="160" spans="1:232" x14ac:dyDescent="0.2">
      <c r="A160" s="74" t="s">
        <v>629</v>
      </c>
      <c r="B160" s="74" t="s">
        <v>628</v>
      </c>
      <c r="C160" s="75" t="s">
        <v>200</v>
      </c>
      <c r="D160" s="75">
        <v>12</v>
      </c>
      <c r="E160" s="76">
        <v>63836</v>
      </c>
      <c r="F160" s="76">
        <v>-663</v>
      </c>
      <c r="G160" s="76">
        <v>-42207</v>
      </c>
      <c r="H160" s="76">
        <v>20966</v>
      </c>
      <c r="I160" s="76">
        <v>239</v>
      </c>
      <c r="J160" s="76">
        <v>0</v>
      </c>
      <c r="K160" s="76">
        <v>2151</v>
      </c>
      <c r="L160" s="76">
        <v>0</v>
      </c>
      <c r="M160" s="76">
        <v>86</v>
      </c>
      <c r="N160" s="76">
        <v>-10607</v>
      </c>
      <c r="O160" s="76">
        <v>82</v>
      </c>
      <c r="P160" s="76">
        <v>0</v>
      </c>
      <c r="Q160" s="76">
        <v>0</v>
      </c>
      <c r="R160" s="76">
        <v>0</v>
      </c>
      <c r="S160" s="76">
        <v>12917</v>
      </c>
      <c r="T160" s="76">
        <v>-422</v>
      </c>
      <c r="U160" s="76">
        <v>12495</v>
      </c>
      <c r="V160" s="76">
        <v>0</v>
      </c>
      <c r="W160" s="76">
        <v>-294</v>
      </c>
      <c r="X160" s="76">
        <v>0</v>
      </c>
      <c r="Y160" s="76">
        <v>0</v>
      </c>
      <c r="Z160" s="76">
        <v>12201</v>
      </c>
      <c r="AA160" s="76">
        <v>51790</v>
      </c>
      <c r="AB160" s="76">
        <v>5111</v>
      </c>
      <c r="AC160" s="76">
        <v>56901</v>
      </c>
      <c r="AD160" s="76">
        <v>2764</v>
      </c>
      <c r="AE160" s="76">
        <v>0</v>
      </c>
      <c r="AF160" s="76">
        <v>0</v>
      </c>
      <c r="AG160" s="76">
        <v>36</v>
      </c>
      <c r="AH160" s="76">
        <v>59701</v>
      </c>
      <c r="AI160" s="76">
        <v>10511</v>
      </c>
      <c r="AJ160" s="76">
        <v>4642</v>
      </c>
      <c r="AK160" s="76">
        <v>7281</v>
      </c>
      <c r="AL160" s="76">
        <v>5382</v>
      </c>
      <c r="AM160" s="76">
        <v>329</v>
      </c>
      <c r="AN160" s="76">
        <v>333</v>
      </c>
      <c r="AO160" s="76">
        <v>8057</v>
      </c>
      <c r="AP160" s="76">
        <v>0</v>
      </c>
      <c r="AQ160" s="76">
        <v>581</v>
      </c>
      <c r="AR160" s="76">
        <v>37116</v>
      </c>
      <c r="AS160" s="76">
        <v>22585</v>
      </c>
      <c r="AT160" s="76">
        <v>769</v>
      </c>
      <c r="AU160" s="76">
        <v>474483</v>
      </c>
      <c r="AV160" s="76">
        <v>0</v>
      </c>
      <c r="AW160" s="76">
        <v>10155</v>
      </c>
      <c r="AX160" s="76">
        <v>42</v>
      </c>
      <c r="AY160" s="76">
        <v>0</v>
      </c>
      <c r="AZ160" s="76">
        <v>7194</v>
      </c>
      <c r="BA160" s="76">
        <v>0</v>
      </c>
      <c r="BB160" s="76">
        <v>0</v>
      </c>
      <c r="BC160" s="76">
        <v>0</v>
      </c>
      <c r="BD160" s="76">
        <v>0</v>
      </c>
      <c r="BE160" s="76">
        <v>491874</v>
      </c>
      <c r="BF160" s="76">
        <v>2880</v>
      </c>
      <c r="BG160" s="76">
        <v>1076</v>
      </c>
      <c r="BH160" s="76">
        <v>6509</v>
      </c>
      <c r="BI160" s="76">
        <v>14395</v>
      </c>
      <c r="BJ160" s="76">
        <v>3040</v>
      </c>
      <c r="BK160" s="76">
        <v>27900</v>
      </c>
      <c r="BL160" s="76">
        <v>3301</v>
      </c>
      <c r="BM160" s="76">
        <v>0</v>
      </c>
      <c r="BN160" s="76">
        <v>3067</v>
      </c>
      <c r="BO160" s="76">
        <v>13953</v>
      </c>
      <c r="BP160" s="76">
        <v>20321</v>
      </c>
      <c r="BQ160" s="76">
        <v>7579</v>
      </c>
      <c r="BR160" s="76">
        <v>499453</v>
      </c>
      <c r="BS160" s="76">
        <v>193465</v>
      </c>
      <c r="BT160" s="76">
        <v>0</v>
      </c>
      <c r="BU160" s="76">
        <v>0</v>
      </c>
      <c r="BV160" s="76">
        <v>231053</v>
      </c>
      <c r="BW160" s="76">
        <v>0</v>
      </c>
      <c r="BX160" s="76">
        <v>0</v>
      </c>
      <c r="BY160" s="76">
        <v>9354</v>
      </c>
      <c r="BZ160" s="76">
        <v>433872</v>
      </c>
      <c r="CA160" s="76">
        <v>2214</v>
      </c>
      <c r="CB160" s="76">
        <v>521</v>
      </c>
      <c r="CC160" s="76">
        <v>62846</v>
      </c>
      <c r="CD160" s="76">
        <v>61375</v>
      </c>
      <c r="CE160" s="76">
        <v>0</v>
      </c>
      <c r="CF160" s="76">
        <v>1372</v>
      </c>
      <c r="CG160" s="76">
        <v>0</v>
      </c>
      <c r="CH160" s="76">
        <v>99</v>
      </c>
      <c r="CI160" s="76">
        <v>62846</v>
      </c>
      <c r="CJ160" s="76">
        <v>708</v>
      </c>
      <c r="CK160" s="76">
        <v>663</v>
      </c>
      <c r="CL160" s="76">
        <v>0</v>
      </c>
      <c r="CM160" s="76">
        <v>45</v>
      </c>
      <c r="CN160" s="76">
        <v>234</v>
      </c>
      <c r="CO160" s="76">
        <v>0</v>
      </c>
      <c r="CP160" s="76">
        <v>234</v>
      </c>
      <c r="CQ160" s="76">
        <v>0</v>
      </c>
      <c r="CR160" s="76">
        <v>0</v>
      </c>
      <c r="CS160" s="76">
        <v>0</v>
      </c>
      <c r="CT160" s="76">
        <v>1</v>
      </c>
      <c r="CU160" s="76">
        <v>-1</v>
      </c>
      <c r="CV160" s="76">
        <v>67</v>
      </c>
      <c r="CW160" s="76">
        <v>0</v>
      </c>
      <c r="CX160" s="76">
        <v>1520</v>
      </c>
      <c r="CY160" s="76">
        <v>-1453</v>
      </c>
      <c r="CZ160" s="76">
        <v>1741</v>
      </c>
      <c r="DA160" s="76">
        <v>0</v>
      </c>
      <c r="DB160" s="76">
        <v>1925</v>
      </c>
      <c r="DC160" s="76">
        <v>-184</v>
      </c>
      <c r="DD160" s="76">
        <v>2750</v>
      </c>
      <c r="DE160" s="76">
        <v>663</v>
      </c>
      <c r="DF160" s="76">
        <v>3680</v>
      </c>
      <c r="DG160" s="76">
        <v>-1593</v>
      </c>
      <c r="DH160" s="76">
        <v>0</v>
      </c>
      <c r="DI160" s="76">
        <v>0</v>
      </c>
      <c r="DJ160" s="76">
        <v>0</v>
      </c>
      <c r="DK160" s="76">
        <v>0</v>
      </c>
      <c r="DL160" s="76">
        <v>0</v>
      </c>
      <c r="DM160" s="76">
        <v>0</v>
      </c>
      <c r="DN160" s="76">
        <v>0</v>
      </c>
      <c r="DO160" s="76">
        <v>0</v>
      </c>
      <c r="DP160" s="76">
        <v>0</v>
      </c>
      <c r="DQ160" s="76">
        <v>0</v>
      </c>
      <c r="DR160" s="76">
        <v>0</v>
      </c>
      <c r="DS160" s="76">
        <v>0</v>
      </c>
      <c r="DT160" s="76">
        <v>0</v>
      </c>
      <c r="DU160" s="76">
        <v>0</v>
      </c>
      <c r="DV160" s="76">
        <v>0</v>
      </c>
      <c r="DW160" s="76">
        <v>0</v>
      </c>
      <c r="DX160" s="76">
        <v>0</v>
      </c>
      <c r="DY160" s="76">
        <v>0</v>
      </c>
      <c r="DZ160" s="76">
        <v>0</v>
      </c>
      <c r="EA160" s="76">
        <v>0</v>
      </c>
      <c r="EB160" s="76">
        <v>1385</v>
      </c>
      <c r="EC160" s="76">
        <v>0</v>
      </c>
      <c r="ED160" s="76">
        <v>1411</v>
      </c>
      <c r="EE160" s="76">
        <v>-26</v>
      </c>
      <c r="EF160" s="76">
        <v>1385</v>
      </c>
      <c r="EG160" s="76">
        <v>0</v>
      </c>
      <c r="EH160" s="76">
        <v>1411</v>
      </c>
      <c r="EI160" s="76">
        <v>-26</v>
      </c>
      <c r="EJ160" s="76">
        <v>4135</v>
      </c>
      <c r="EK160" s="76">
        <v>663</v>
      </c>
      <c r="EL160" s="76">
        <v>5091</v>
      </c>
      <c r="EM160" s="76">
        <v>-1619</v>
      </c>
      <c r="EN160" s="76">
        <v>1583</v>
      </c>
      <c r="EO160" s="76">
        <v>1297</v>
      </c>
      <c r="EP160" s="76">
        <v>557</v>
      </c>
      <c r="EQ160" s="76">
        <v>1297</v>
      </c>
      <c r="ER160" s="76">
        <v>542700</v>
      </c>
      <c r="ES160" s="76">
        <v>0</v>
      </c>
      <c r="ET160" s="76">
        <v>542700</v>
      </c>
      <c r="EU160" s="76">
        <v>21330</v>
      </c>
      <c r="EV160" s="76">
        <v>-2216</v>
      </c>
      <c r="EW160" s="76">
        <v>0</v>
      </c>
      <c r="EX160" s="76">
        <v>0</v>
      </c>
      <c r="EY160" s="76">
        <v>0</v>
      </c>
      <c r="EZ160" s="76">
        <v>561814</v>
      </c>
      <c r="FA160" s="76">
        <v>80250</v>
      </c>
      <c r="FB160" s="76">
        <v>8056</v>
      </c>
      <c r="FC160" s="76">
        <v>0</v>
      </c>
      <c r="FD160" s="76">
        <v>0</v>
      </c>
      <c r="FE160" s="76">
        <v>-975</v>
      </c>
      <c r="FF160" s="76">
        <v>0</v>
      </c>
      <c r="FG160" s="76">
        <v>0</v>
      </c>
      <c r="FH160" s="76">
        <v>87331</v>
      </c>
      <c r="FI160" s="76">
        <v>474483</v>
      </c>
      <c r="FJ160" s="76">
        <v>462450</v>
      </c>
      <c r="FK160" s="76">
        <v>642</v>
      </c>
      <c r="FL160" s="76">
        <v>685</v>
      </c>
      <c r="FM160" s="76">
        <v>-43</v>
      </c>
      <c r="FN160" s="76">
        <v>66</v>
      </c>
      <c r="FO160" s="76">
        <v>22</v>
      </c>
      <c r="FP160" s="76">
        <v>44</v>
      </c>
      <c r="FQ160" s="76">
        <v>538</v>
      </c>
      <c r="FR160" s="76">
        <v>323</v>
      </c>
      <c r="FS160" s="76">
        <v>215</v>
      </c>
      <c r="FT160" s="76">
        <v>153</v>
      </c>
      <c r="FU160" s="76">
        <v>130</v>
      </c>
      <c r="FV160" s="76">
        <v>23</v>
      </c>
      <c r="FW160" s="76">
        <v>0</v>
      </c>
      <c r="FX160" s="76">
        <v>0</v>
      </c>
      <c r="FY160" s="76">
        <v>0</v>
      </c>
      <c r="FZ160" s="76">
        <v>0</v>
      </c>
      <c r="GA160" s="76">
        <v>0</v>
      </c>
      <c r="GB160" s="76">
        <v>0</v>
      </c>
      <c r="GC160" s="76">
        <v>1399</v>
      </c>
      <c r="GD160" s="76">
        <v>1160</v>
      </c>
      <c r="GE160" s="76">
        <v>239</v>
      </c>
      <c r="GF160" s="76">
        <v>0</v>
      </c>
      <c r="GG160" s="76">
        <v>0</v>
      </c>
      <c r="GH160" s="76">
        <v>115</v>
      </c>
      <c r="GI160" s="76">
        <v>0</v>
      </c>
      <c r="GJ160" s="76">
        <v>0</v>
      </c>
      <c r="GK160" s="76">
        <v>2925</v>
      </c>
      <c r="GL160" s="76">
        <v>3040</v>
      </c>
      <c r="GM160" s="76">
        <v>648</v>
      </c>
      <c r="GN160" s="76">
        <v>2014</v>
      </c>
      <c r="GO160" s="76">
        <v>0</v>
      </c>
      <c r="GP160" s="76">
        <v>121</v>
      </c>
      <c r="GQ160" s="76">
        <v>92</v>
      </c>
      <c r="GR160" s="76">
        <v>5045</v>
      </c>
      <c r="GS160" s="76">
        <v>0</v>
      </c>
      <c r="GT160" s="76">
        <v>0</v>
      </c>
      <c r="GU160" s="76">
        <v>1131</v>
      </c>
      <c r="GV160" s="76">
        <v>0</v>
      </c>
      <c r="GW160" s="76">
        <v>4902</v>
      </c>
      <c r="GX160" s="76">
        <v>13953</v>
      </c>
      <c r="GY160" s="76">
        <v>975</v>
      </c>
      <c r="GZ160" s="76">
        <v>729</v>
      </c>
      <c r="HA160" s="76">
        <v>7650</v>
      </c>
      <c r="HB160" s="76">
        <v>0</v>
      </c>
      <c r="HC160" s="76">
        <v>9354</v>
      </c>
      <c r="HD160" s="76">
        <v>0</v>
      </c>
      <c r="HE160" s="76">
        <v>521</v>
      </c>
      <c r="HF160" s="76">
        <v>521</v>
      </c>
      <c r="HG160" s="76">
        <v>10074</v>
      </c>
      <c r="HH160" s="76">
        <v>614</v>
      </c>
      <c r="HI160" s="76">
        <v>220</v>
      </c>
      <c r="HJ160" s="76">
        <v>1</v>
      </c>
      <c r="HK160" s="76">
        <v>0</v>
      </c>
      <c r="HL160" s="76">
        <v>-302</v>
      </c>
      <c r="HM160" s="76">
        <v>10607</v>
      </c>
      <c r="HN160" s="76">
        <v>6022</v>
      </c>
      <c r="HO160" s="76">
        <v>9074</v>
      </c>
      <c r="HP160" s="76">
        <v>0</v>
      </c>
      <c r="HQ160" s="76">
        <v>97</v>
      </c>
      <c r="HR160" s="76">
        <v>-27</v>
      </c>
      <c r="HS160" s="76">
        <v>-19</v>
      </c>
      <c r="HT160" s="76">
        <v>12929</v>
      </c>
      <c r="HU160" s="76">
        <v>5</v>
      </c>
      <c r="HV160" s="76">
        <v>0</v>
      </c>
      <c r="HW160" s="76">
        <v>22</v>
      </c>
      <c r="HX160" s="76">
        <v>111</v>
      </c>
    </row>
    <row r="161" spans="1:232" x14ac:dyDescent="0.2">
      <c r="A161" s="74" t="s">
        <v>153</v>
      </c>
      <c r="B161" s="74" t="s">
        <v>152</v>
      </c>
      <c r="C161" s="75" t="s">
        <v>200</v>
      </c>
      <c r="D161" s="75">
        <v>12</v>
      </c>
      <c r="E161" s="76">
        <v>12435</v>
      </c>
      <c r="F161" s="76">
        <v>0</v>
      </c>
      <c r="G161" s="76">
        <v>-11489</v>
      </c>
      <c r="H161" s="76">
        <v>946</v>
      </c>
      <c r="I161" s="76">
        <v>-15</v>
      </c>
      <c r="J161" s="76">
        <v>0</v>
      </c>
      <c r="K161" s="76">
        <v>0</v>
      </c>
      <c r="L161" s="76">
        <v>0</v>
      </c>
      <c r="M161" s="76">
        <v>4</v>
      </c>
      <c r="N161" s="76">
        <v>-61</v>
      </c>
      <c r="O161" s="76">
        <v>0</v>
      </c>
      <c r="P161" s="76">
        <v>217</v>
      </c>
      <c r="Q161" s="76">
        <v>0</v>
      </c>
      <c r="R161" s="76">
        <v>0</v>
      </c>
      <c r="S161" s="76">
        <v>1091</v>
      </c>
      <c r="T161" s="76">
        <v>0</v>
      </c>
      <c r="U161" s="76">
        <v>1091</v>
      </c>
      <c r="V161" s="76">
        <v>291</v>
      </c>
      <c r="W161" s="76">
        <v>0</v>
      </c>
      <c r="X161" s="76">
        <v>0</v>
      </c>
      <c r="Y161" s="76">
        <v>0</v>
      </c>
      <c r="Z161" s="76">
        <v>1382</v>
      </c>
      <c r="AA161" s="76">
        <v>11304</v>
      </c>
      <c r="AB161" s="76">
        <v>623</v>
      </c>
      <c r="AC161" s="76">
        <v>11927</v>
      </c>
      <c r="AD161" s="76">
        <v>0</v>
      </c>
      <c r="AE161" s="76">
        <v>0</v>
      </c>
      <c r="AF161" s="76">
        <v>0</v>
      </c>
      <c r="AG161" s="76">
        <v>105</v>
      </c>
      <c r="AH161" s="76">
        <v>12032</v>
      </c>
      <c r="AI161" s="76">
        <v>1472</v>
      </c>
      <c r="AJ161" s="76">
        <v>685</v>
      </c>
      <c r="AK161" s="76">
        <v>685</v>
      </c>
      <c r="AL161" s="76">
        <v>0</v>
      </c>
      <c r="AM161" s="76">
        <v>40</v>
      </c>
      <c r="AN161" s="76">
        <v>163</v>
      </c>
      <c r="AO161" s="76">
        <v>160</v>
      </c>
      <c r="AP161" s="76">
        <v>391</v>
      </c>
      <c r="AQ161" s="76">
        <v>7509</v>
      </c>
      <c r="AR161" s="76">
        <v>11105</v>
      </c>
      <c r="AS161" s="76">
        <v>927</v>
      </c>
      <c r="AT161" s="76">
        <v>0</v>
      </c>
      <c r="AU161" s="76">
        <v>1249</v>
      </c>
      <c r="AV161" s="76">
        <v>8423</v>
      </c>
      <c r="AW161" s="76">
        <v>98</v>
      </c>
      <c r="AX161" s="76">
        <v>0</v>
      </c>
      <c r="AY161" s="76">
        <v>0</v>
      </c>
      <c r="AZ161" s="76">
        <v>0</v>
      </c>
      <c r="BA161" s="76">
        <v>0</v>
      </c>
      <c r="BB161" s="76">
        <v>0</v>
      </c>
      <c r="BC161" s="76">
        <v>0</v>
      </c>
      <c r="BD161" s="76">
        <v>2217</v>
      </c>
      <c r="BE161" s="76">
        <v>11987</v>
      </c>
      <c r="BF161" s="76">
        <v>0</v>
      </c>
      <c r="BG161" s="76">
        <v>1544</v>
      </c>
      <c r="BH161" s="76">
        <v>1478</v>
      </c>
      <c r="BI161" s="76">
        <v>0</v>
      </c>
      <c r="BJ161" s="76">
        <v>0</v>
      </c>
      <c r="BK161" s="76">
        <v>3022</v>
      </c>
      <c r="BL161" s="76">
        <v>79</v>
      </c>
      <c r="BM161" s="76">
        <v>0</v>
      </c>
      <c r="BN161" s="76">
        <v>0</v>
      </c>
      <c r="BO161" s="76">
        <v>1184</v>
      </c>
      <c r="BP161" s="76">
        <v>1263</v>
      </c>
      <c r="BQ161" s="76">
        <v>1759</v>
      </c>
      <c r="BR161" s="76">
        <v>13746</v>
      </c>
      <c r="BS161" s="76">
        <v>1504</v>
      </c>
      <c r="BT161" s="76">
        <v>0</v>
      </c>
      <c r="BU161" s="76">
        <v>0</v>
      </c>
      <c r="BV161" s="76">
        <v>0</v>
      </c>
      <c r="BW161" s="76">
        <v>0</v>
      </c>
      <c r="BX161" s="76">
        <v>0</v>
      </c>
      <c r="BY161" s="76">
        <v>0</v>
      </c>
      <c r="BZ161" s="76">
        <v>1504</v>
      </c>
      <c r="CA161" s="76">
        <v>0</v>
      </c>
      <c r="CB161" s="76">
        <v>0</v>
      </c>
      <c r="CC161" s="76">
        <v>12242</v>
      </c>
      <c r="CD161" s="76">
        <v>6908</v>
      </c>
      <c r="CE161" s="76">
        <v>4876</v>
      </c>
      <c r="CF161" s="76">
        <v>0</v>
      </c>
      <c r="CG161" s="76">
        <v>0</v>
      </c>
      <c r="CH161" s="76">
        <v>458</v>
      </c>
      <c r="CI161" s="76">
        <v>12242</v>
      </c>
      <c r="CJ161" s="76">
        <v>0</v>
      </c>
      <c r="CK161" s="76">
        <v>0</v>
      </c>
      <c r="CL161" s="76">
        <v>0</v>
      </c>
      <c r="CM161" s="76">
        <v>0</v>
      </c>
      <c r="CN161" s="76">
        <v>403</v>
      </c>
      <c r="CO161" s="76">
        <v>0</v>
      </c>
      <c r="CP161" s="76">
        <v>384</v>
      </c>
      <c r="CQ161" s="76">
        <v>19</v>
      </c>
      <c r="CR161" s="76">
        <v>0</v>
      </c>
      <c r="CS161" s="76">
        <v>0</v>
      </c>
      <c r="CT161" s="76">
        <v>0</v>
      </c>
      <c r="CU161" s="76">
        <v>0</v>
      </c>
      <c r="CV161" s="76">
        <v>0</v>
      </c>
      <c r="CW161" s="76">
        <v>0</v>
      </c>
      <c r="CX161" s="76">
        <v>0</v>
      </c>
      <c r="CY161" s="76">
        <v>0</v>
      </c>
      <c r="CZ161" s="76">
        <v>0</v>
      </c>
      <c r="DA161" s="76">
        <v>0</v>
      </c>
      <c r="DB161" s="76">
        <v>0</v>
      </c>
      <c r="DC161" s="76">
        <v>0</v>
      </c>
      <c r="DD161" s="76">
        <v>403</v>
      </c>
      <c r="DE161" s="76">
        <v>0</v>
      </c>
      <c r="DF161" s="76">
        <v>384</v>
      </c>
      <c r="DG161" s="76">
        <v>19</v>
      </c>
      <c r="DH161" s="76">
        <v>0</v>
      </c>
      <c r="DI161" s="76">
        <v>0</v>
      </c>
      <c r="DJ161" s="76">
        <v>0</v>
      </c>
      <c r="DK161" s="76">
        <v>0</v>
      </c>
      <c r="DL161" s="76">
        <v>0</v>
      </c>
      <c r="DM161" s="76">
        <v>0</v>
      </c>
      <c r="DN161" s="76">
        <v>0</v>
      </c>
      <c r="DO161" s="76">
        <v>0</v>
      </c>
      <c r="DP161" s="76">
        <v>0</v>
      </c>
      <c r="DQ161" s="76">
        <v>0</v>
      </c>
      <c r="DR161" s="76">
        <v>0</v>
      </c>
      <c r="DS161" s="76">
        <v>0</v>
      </c>
      <c r="DT161" s="76">
        <v>0</v>
      </c>
      <c r="DU161" s="76">
        <v>0</v>
      </c>
      <c r="DV161" s="76">
        <v>0</v>
      </c>
      <c r="DW161" s="76">
        <v>0</v>
      </c>
      <c r="DX161" s="76">
        <v>0</v>
      </c>
      <c r="DY161" s="76">
        <v>0</v>
      </c>
      <c r="DZ161" s="76">
        <v>0</v>
      </c>
      <c r="EA161" s="76">
        <v>0</v>
      </c>
      <c r="EB161" s="76">
        <v>0</v>
      </c>
      <c r="EC161" s="76">
        <v>0</v>
      </c>
      <c r="ED161" s="76">
        <v>0</v>
      </c>
      <c r="EE161" s="76">
        <v>0</v>
      </c>
      <c r="EF161" s="76">
        <v>0</v>
      </c>
      <c r="EG161" s="76">
        <v>0</v>
      </c>
      <c r="EH161" s="76">
        <v>0</v>
      </c>
      <c r="EI161" s="76">
        <v>0</v>
      </c>
      <c r="EJ161" s="76">
        <v>403</v>
      </c>
      <c r="EK161" s="76">
        <v>0</v>
      </c>
      <c r="EL161" s="76">
        <v>384</v>
      </c>
      <c r="EM161" s="76">
        <v>19</v>
      </c>
      <c r="EN161" s="76">
        <v>926</v>
      </c>
      <c r="EO161" s="76">
        <v>0</v>
      </c>
      <c r="EP161" s="76">
        <v>68</v>
      </c>
      <c r="EQ161" s="76">
        <v>0</v>
      </c>
      <c r="ER161" s="76">
        <v>2691</v>
      </c>
      <c r="ES161" s="76">
        <v>7419</v>
      </c>
      <c r="ET161" s="76">
        <v>10110</v>
      </c>
      <c r="EU161" s="76">
        <v>372</v>
      </c>
      <c r="EV161" s="76">
        <v>-15</v>
      </c>
      <c r="EW161" s="76">
        <v>0</v>
      </c>
      <c r="EX161" s="76">
        <v>0</v>
      </c>
      <c r="EY161" s="76">
        <v>290</v>
      </c>
      <c r="EZ161" s="76">
        <v>10757</v>
      </c>
      <c r="FA161" s="76">
        <v>535</v>
      </c>
      <c r="FB161" s="76">
        <v>160</v>
      </c>
      <c r="FC161" s="76">
        <v>391</v>
      </c>
      <c r="FD161" s="76">
        <v>0</v>
      </c>
      <c r="FE161" s="76">
        <v>-1</v>
      </c>
      <c r="FF161" s="76">
        <v>0</v>
      </c>
      <c r="FG161" s="76">
        <v>0</v>
      </c>
      <c r="FH161" s="76">
        <v>1085</v>
      </c>
      <c r="FI161" s="76">
        <v>9672</v>
      </c>
      <c r="FJ161" s="76">
        <v>9575</v>
      </c>
      <c r="FK161" s="76">
        <v>0</v>
      </c>
      <c r="FL161" s="76">
        <v>0</v>
      </c>
      <c r="FM161" s="76">
        <v>0</v>
      </c>
      <c r="FN161" s="76">
        <v>0</v>
      </c>
      <c r="FO161" s="76">
        <v>0</v>
      </c>
      <c r="FP161" s="76">
        <v>0</v>
      </c>
      <c r="FQ161" s="76">
        <v>0</v>
      </c>
      <c r="FR161" s="76">
        <v>0</v>
      </c>
      <c r="FS161" s="76">
        <v>0</v>
      </c>
      <c r="FT161" s="76">
        <v>0</v>
      </c>
      <c r="FU161" s="76">
        <v>0</v>
      </c>
      <c r="FV161" s="76">
        <v>0</v>
      </c>
      <c r="FW161" s="76">
        <v>0</v>
      </c>
      <c r="FX161" s="76">
        <v>0</v>
      </c>
      <c r="FY161" s="76">
        <v>0</v>
      </c>
      <c r="FZ161" s="76">
        <v>0</v>
      </c>
      <c r="GA161" s="76">
        <v>15</v>
      </c>
      <c r="GB161" s="76">
        <v>-15</v>
      </c>
      <c r="GC161" s="76">
        <v>0</v>
      </c>
      <c r="GD161" s="76">
        <v>15</v>
      </c>
      <c r="GE161" s="76">
        <v>-15</v>
      </c>
      <c r="GF161" s="76">
        <v>0</v>
      </c>
      <c r="GG161" s="76">
        <v>0</v>
      </c>
      <c r="GH161" s="76">
        <v>0</v>
      </c>
      <c r="GI161" s="76">
        <v>0</v>
      </c>
      <c r="GJ161" s="76">
        <v>0</v>
      </c>
      <c r="GK161" s="76">
        <v>0</v>
      </c>
      <c r="GL161" s="76">
        <v>0</v>
      </c>
      <c r="GM161" s="76">
        <v>795</v>
      </c>
      <c r="GN161" s="76">
        <v>0</v>
      </c>
      <c r="GO161" s="76">
        <v>0</v>
      </c>
      <c r="GP161" s="76">
        <v>0</v>
      </c>
      <c r="GQ161" s="76">
        <v>0</v>
      </c>
      <c r="GR161" s="76">
        <v>132</v>
      </c>
      <c r="GS161" s="76">
        <v>0</v>
      </c>
      <c r="GT161" s="76">
        <v>0</v>
      </c>
      <c r="GU161" s="76">
        <v>0</v>
      </c>
      <c r="GV161" s="76">
        <v>0</v>
      </c>
      <c r="GW161" s="76">
        <v>257</v>
      </c>
      <c r="GX161" s="76">
        <v>1184</v>
      </c>
      <c r="GY161" s="76">
        <v>0</v>
      </c>
      <c r="GZ161" s="76">
        <v>0</v>
      </c>
      <c r="HA161" s="76">
        <v>0</v>
      </c>
      <c r="HB161" s="76">
        <v>0</v>
      </c>
      <c r="HC161" s="76">
        <v>0</v>
      </c>
      <c r="HD161" s="76">
        <v>0</v>
      </c>
      <c r="HE161" s="76">
        <v>0</v>
      </c>
      <c r="HF161" s="76">
        <v>0</v>
      </c>
      <c r="HG161" s="76">
        <v>61</v>
      </c>
      <c r="HH161" s="76">
        <v>0</v>
      </c>
      <c r="HI161" s="76">
        <v>0</v>
      </c>
      <c r="HJ161" s="76">
        <v>0</v>
      </c>
      <c r="HK161" s="76">
        <v>0</v>
      </c>
      <c r="HL161" s="76">
        <v>0</v>
      </c>
      <c r="HM161" s="76">
        <v>61</v>
      </c>
      <c r="HN161" s="76">
        <v>0</v>
      </c>
      <c r="HO161" s="76">
        <v>229</v>
      </c>
      <c r="HP161" s="76">
        <v>391</v>
      </c>
      <c r="HQ161" s="76">
        <v>208</v>
      </c>
      <c r="HR161" s="76">
        <v>-27</v>
      </c>
      <c r="HS161" s="76">
        <v>0</v>
      </c>
      <c r="HT161" s="76">
        <v>1155</v>
      </c>
      <c r="HU161" s="76">
        <v>0</v>
      </c>
      <c r="HV161" s="76">
        <v>0</v>
      </c>
      <c r="HW161" s="76">
        <v>0</v>
      </c>
      <c r="HX161" s="76">
        <v>0</v>
      </c>
    </row>
    <row r="162" spans="1:232" x14ac:dyDescent="0.2">
      <c r="A162" s="74" t="s">
        <v>634</v>
      </c>
      <c r="B162" s="74" t="s">
        <v>633</v>
      </c>
      <c r="C162" s="75" t="s">
        <v>200</v>
      </c>
      <c r="D162" s="75">
        <v>12</v>
      </c>
      <c r="E162" s="76">
        <v>55771</v>
      </c>
      <c r="F162" s="76">
        <v>-996</v>
      </c>
      <c r="G162" s="76">
        <v>-32440</v>
      </c>
      <c r="H162" s="76">
        <v>22335</v>
      </c>
      <c r="I162" s="76">
        <v>284</v>
      </c>
      <c r="J162" s="76">
        <v>0</v>
      </c>
      <c r="K162" s="76">
        <v>0</v>
      </c>
      <c r="L162" s="76">
        <v>0</v>
      </c>
      <c r="M162" s="76">
        <v>396</v>
      </c>
      <c r="N162" s="76">
        <v>-9094</v>
      </c>
      <c r="O162" s="76">
        <v>-171</v>
      </c>
      <c r="P162" s="76">
        <v>210</v>
      </c>
      <c r="Q162" s="76">
        <v>0</v>
      </c>
      <c r="R162" s="76">
        <v>0</v>
      </c>
      <c r="S162" s="76">
        <v>13960</v>
      </c>
      <c r="T162" s="76">
        <v>0</v>
      </c>
      <c r="U162" s="76">
        <v>13960</v>
      </c>
      <c r="V162" s="76">
        <v>0</v>
      </c>
      <c r="W162" s="76">
        <v>-1284</v>
      </c>
      <c r="X162" s="76">
        <v>0</v>
      </c>
      <c r="Y162" s="76">
        <v>0</v>
      </c>
      <c r="Z162" s="76">
        <v>12676</v>
      </c>
      <c r="AA162" s="76">
        <v>46124</v>
      </c>
      <c r="AB162" s="76">
        <v>2824</v>
      </c>
      <c r="AC162" s="76">
        <v>48948</v>
      </c>
      <c r="AD162" s="76">
        <v>383</v>
      </c>
      <c r="AE162" s="76">
        <v>0</v>
      </c>
      <c r="AF162" s="76">
        <v>0</v>
      </c>
      <c r="AG162" s="76">
        <v>542</v>
      </c>
      <c r="AH162" s="76">
        <v>49873</v>
      </c>
      <c r="AI162" s="76">
        <v>12036</v>
      </c>
      <c r="AJ162" s="76">
        <v>2977</v>
      </c>
      <c r="AK162" s="76">
        <v>3083</v>
      </c>
      <c r="AL162" s="76">
        <v>3208</v>
      </c>
      <c r="AM162" s="76">
        <v>1663</v>
      </c>
      <c r="AN162" s="76">
        <v>469</v>
      </c>
      <c r="AO162" s="76">
        <v>5671</v>
      </c>
      <c r="AP162" s="76">
        <v>0</v>
      </c>
      <c r="AQ162" s="76">
        <v>27</v>
      </c>
      <c r="AR162" s="76">
        <v>29134</v>
      </c>
      <c r="AS162" s="76">
        <v>20739</v>
      </c>
      <c r="AT162" s="76">
        <v>408</v>
      </c>
      <c r="AU162" s="76">
        <v>296196</v>
      </c>
      <c r="AV162" s="76">
        <v>0</v>
      </c>
      <c r="AW162" s="76">
        <v>7834</v>
      </c>
      <c r="AX162" s="76">
        <v>365</v>
      </c>
      <c r="AY162" s="76">
        <v>0</v>
      </c>
      <c r="AZ162" s="76">
        <v>6474</v>
      </c>
      <c r="BA162" s="76">
        <v>0</v>
      </c>
      <c r="BB162" s="76">
        <v>0</v>
      </c>
      <c r="BC162" s="76">
        <v>0</v>
      </c>
      <c r="BD162" s="76">
        <v>0</v>
      </c>
      <c r="BE162" s="76">
        <v>310869</v>
      </c>
      <c r="BF162" s="76">
        <v>3099</v>
      </c>
      <c r="BG162" s="76">
        <v>3463</v>
      </c>
      <c r="BH162" s="76">
        <v>38011</v>
      </c>
      <c r="BI162" s="76">
        <v>0</v>
      </c>
      <c r="BJ162" s="76">
        <v>0</v>
      </c>
      <c r="BK162" s="76">
        <v>44573</v>
      </c>
      <c r="BL162" s="76">
        <v>41</v>
      </c>
      <c r="BM162" s="76">
        <v>0</v>
      </c>
      <c r="BN162" s="76">
        <v>210</v>
      </c>
      <c r="BO162" s="76">
        <v>9926</v>
      </c>
      <c r="BP162" s="76">
        <v>10177</v>
      </c>
      <c r="BQ162" s="76">
        <v>34396</v>
      </c>
      <c r="BR162" s="76">
        <v>345265</v>
      </c>
      <c r="BS162" s="76">
        <v>217922</v>
      </c>
      <c r="BT162" s="76">
        <v>0</v>
      </c>
      <c r="BU162" s="76">
        <v>0</v>
      </c>
      <c r="BV162" s="76">
        <v>34064</v>
      </c>
      <c r="BW162" s="76">
        <v>0</v>
      </c>
      <c r="BX162" s="76">
        <v>0</v>
      </c>
      <c r="BY162" s="76">
        <v>4600</v>
      </c>
      <c r="BZ162" s="76">
        <v>256586</v>
      </c>
      <c r="CA162" s="76">
        <v>4435</v>
      </c>
      <c r="CB162" s="76">
        <v>106</v>
      </c>
      <c r="CC162" s="76">
        <v>84138</v>
      </c>
      <c r="CD162" s="76">
        <v>84138</v>
      </c>
      <c r="CE162" s="76">
        <v>0</v>
      </c>
      <c r="CF162" s="76">
        <v>0</v>
      </c>
      <c r="CG162" s="76">
        <v>0</v>
      </c>
      <c r="CH162" s="76">
        <v>0</v>
      </c>
      <c r="CI162" s="76">
        <v>84138</v>
      </c>
      <c r="CJ162" s="76">
        <v>1082</v>
      </c>
      <c r="CK162" s="76">
        <v>996</v>
      </c>
      <c r="CL162" s="76">
        <v>0</v>
      </c>
      <c r="CM162" s="76">
        <v>86</v>
      </c>
      <c r="CN162" s="76">
        <v>0</v>
      </c>
      <c r="CO162" s="76">
        <v>0</v>
      </c>
      <c r="CP162" s="76">
        <v>0</v>
      </c>
      <c r="CQ162" s="76">
        <v>0</v>
      </c>
      <c r="CR162" s="76">
        <v>0</v>
      </c>
      <c r="CS162" s="76">
        <v>0</v>
      </c>
      <c r="CT162" s="76">
        <v>0</v>
      </c>
      <c r="CU162" s="76">
        <v>0</v>
      </c>
      <c r="CV162" s="76">
        <v>0</v>
      </c>
      <c r="CW162" s="76">
        <v>0</v>
      </c>
      <c r="CX162" s="76">
        <v>0</v>
      </c>
      <c r="CY162" s="76">
        <v>0</v>
      </c>
      <c r="CZ162" s="76">
        <v>4102</v>
      </c>
      <c r="DA162" s="76">
        <v>0</v>
      </c>
      <c r="DB162" s="76">
        <v>2956</v>
      </c>
      <c r="DC162" s="76">
        <v>1146</v>
      </c>
      <c r="DD162" s="76">
        <v>5184</v>
      </c>
      <c r="DE162" s="76">
        <v>996</v>
      </c>
      <c r="DF162" s="76">
        <v>2956</v>
      </c>
      <c r="DG162" s="76">
        <v>1232</v>
      </c>
      <c r="DH162" s="76">
        <v>0</v>
      </c>
      <c r="DI162" s="76">
        <v>0</v>
      </c>
      <c r="DJ162" s="76">
        <v>0</v>
      </c>
      <c r="DK162" s="76">
        <v>0</v>
      </c>
      <c r="DL162" s="76">
        <v>0</v>
      </c>
      <c r="DM162" s="76">
        <v>0</v>
      </c>
      <c r="DN162" s="76">
        <v>0</v>
      </c>
      <c r="DO162" s="76">
        <v>0</v>
      </c>
      <c r="DP162" s="76">
        <v>0</v>
      </c>
      <c r="DQ162" s="76">
        <v>0</v>
      </c>
      <c r="DR162" s="76">
        <v>0</v>
      </c>
      <c r="DS162" s="76">
        <v>0</v>
      </c>
      <c r="DT162" s="76">
        <v>0</v>
      </c>
      <c r="DU162" s="76">
        <v>0</v>
      </c>
      <c r="DV162" s="76">
        <v>0</v>
      </c>
      <c r="DW162" s="76">
        <v>0</v>
      </c>
      <c r="DX162" s="76">
        <v>0</v>
      </c>
      <c r="DY162" s="76">
        <v>0</v>
      </c>
      <c r="DZ162" s="76">
        <v>0</v>
      </c>
      <c r="EA162" s="76">
        <v>0</v>
      </c>
      <c r="EB162" s="76">
        <v>714</v>
      </c>
      <c r="EC162" s="76">
        <v>0</v>
      </c>
      <c r="ED162" s="76">
        <v>350</v>
      </c>
      <c r="EE162" s="76">
        <v>364</v>
      </c>
      <c r="EF162" s="76">
        <v>714</v>
      </c>
      <c r="EG162" s="76">
        <v>0</v>
      </c>
      <c r="EH162" s="76">
        <v>350</v>
      </c>
      <c r="EI162" s="76">
        <v>364</v>
      </c>
      <c r="EJ162" s="76">
        <v>5898</v>
      </c>
      <c r="EK162" s="76">
        <v>996</v>
      </c>
      <c r="EL162" s="76">
        <v>3306</v>
      </c>
      <c r="EM162" s="76">
        <v>1596</v>
      </c>
      <c r="EN162" s="76">
        <v>2094</v>
      </c>
      <c r="EO162" s="76">
        <v>847</v>
      </c>
      <c r="EP162" s="76">
        <v>649</v>
      </c>
      <c r="EQ162" s="76">
        <v>847</v>
      </c>
      <c r="ER162" s="76">
        <v>308529</v>
      </c>
      <c r="ES162" s="76">
        <v>0</v>
      </c>
      <c r="ET162" s="76">
        <v>308529</v>
      </c>
      <c r="EU162" s="76">
        <v>34371</v>
      </c>
      <c r="EV162" s="76">
        <v>-898</v>
      </c>
      <c r="EW162" s="76">
        <v>0</v>
      </c>
      <c r="EX162" s="76">
        <v>0</v>
      </c>
      <c r="EY162" s="76">
        <v>0</v>
      </c>
      <c r="EZ162" s="76">
        <v>342002</v>
      </c>
      <c r="FA162" s="76">
        <v>40819</v>
      </c>
      <c r="FB162" s="76">
        <v>5466</v>
      </c>
      <c r="FC162" s="76">
        <v>0</v>
      </c>
      <c r="FD162" s="76">
        <v>0</v>
      </c>
      <c r="FE162" s="76">
        <v>-479</v>
      </c>
      <c r="FF162" s="76">
        <v>0</v>
      </c>
      <c r="FG162" s="76">
        <v>0</v>
      </c>
      <c r="FH162" s="76">
        <v>45806</v>
      </c>
      <c r="FI162" s="76">
        <v>296196</v>
      </c>
      <c r="FJ162" s="76">
        <v>267710</v>
      </c>
      <c r="FK162" s="76">
        <v>158</v>
      </c>
      <c r="FL162" s="76">
        <v>46</v>
      </c>
      <c r="FM162" s="76">
        <v>112</v>
      </c>
      <c r="FN162" s="76">
        <v>1001</v>
      </c>
      <c r="FO162" s="76">
        <v>854</v>
      </c>
      <c r="FP162" s="76">
        <v>147</v>
      </c>
      <c r="FQ162" s="76">
        <v>469</v>
      </c>
      <c r="FR162" s="76">
        <v>469</v>
      </c>
      <c r="FS162" s="76">
        <v>0</v>
      </c>
      <c r="FT162" s="76">
        <v>0</v>
      </c>
      <c r="FU162" s="76">
        <v>0</v>
      </c>
      <c r="FV162" s="76">
        <v>0</v>
      </c>
      <c r="FW162" s="76">
        <v>0</v>
      </c>
      <c r="FX162" s="76">
        <v>0</v>
      </c>
      <c r="FY162" s="76">
        <v>0</v>
      </c>
      <c r="FZ162" s="76">
        <v>56</v>
      </c>
      <c r="GA162" s="76">
        <v>31</v>
      </c>
      <c r="GB162" s="76">
        <v>25</v>
      </c>
      <c r="GC162" s="76">
        <v>1684</v>
      </c>
      <c r="GD162" s="76">
        <v>1400</v>
      </c>
      <c r="GE162" s="76">
        <v>284</v>
      </c>
      <c r="GF162" s="76">
        <v>0</v>
      </c>
      <c r="GG162" s="76">
        <v>0</v>
      </c>
      <c r="GH162" s="76">
        <v>0</v>
      </c>
      <c r="GI162" s="76">
        <v>0</v>
      </c>
      <c r="GJ162" s="76">
        <v>0</v>
      </c>
      <c r="GK162" s="76">
        <v>0</v>
      </c>
      <c r="GL162" s="76">
        <v>0</v>
      </c>
      <c r="GM162" s="76">
        <v>1095</v>
      </c>
      <c r="GN162" s="76">
        <v>1024</v>
      </c>
      <c r="GO162" s="76">
        <v>0</v>
      </c>
      <c r="GP162" s="76">
        <v>0</v>
      </c>
      <c r="GQ162" s="76">
        <v>954</v>
      </c>
      <c r="GR162" s="76">
        <v>6016</v>
      </c>
      <c r="GS162" s="76">
        <v>0</v>
      </c>
      <c r="GT162" s="76">
        <v>0</v>
      </c>
      <c r="GU162" s="76">
        <v>0</v>
      </c>
      <c r="GV162" s="76">
        <v>0</v>
      </c>
      <c r="GW162" s="76">
        <v>837</v>
      </c>
      <c r="GX162" s="76">
        <v>9926</v>
      </c>
      <c r="GY162" s="76">
        <v>0</v>
      </c>
      <c r="GZ162" s="76">
        <v>1245</v>
      </c>
      <c r="HA162" s="76">
        <v>3350</v>
      </c>
      <c r="HB162" s="76">
        <v>5</v>
      </c>
      <c r="HC162" s="76">
        <v>4600</v>
      </c>
      <c r="HD162" s="76">
        <v>0</v>
      </c>
      <c r="HE162" s="76">
        <v>106</v>
      </c>
      <c r="HF162" s="76">
        <v>106</v>
      </c>
      <c r="HG162" s="76">
        <v>9307</v>
      </c>
      <c r="HH162" s="76">
        <v>31</v>
      </c>
      <c r="HI162" s="76">
        <v>188</v>
      </c>
      <c r="HJ162" s="76">
        <v>14</v>
      </c>
      <c r="HK162" s="76">
        <v>0</v>
      </c>
      <c r="HL162" s="76">
        <v>-446</v>
      </c>
      <c r="HM162" s="76">
        <v>9094</v>
      </c>
      <c r="HN162" s="76">
        <v>4774</v>
      </c>
      <c r="HO162" s="76">
        <v>6292</v>
      </c>
      <c r="HP162" s="76">
        <v>0</v>
      </c>
      <c r="HQ162" s="76">
        <v>38</v>
      </c>
      <c r="HR162" s="76">
        <v>-12</v>
      </c>
      <c r="HS162" s="76">
        <v>233</v>
      </c>
      <c r="HT162" s="76">
        <v>10083</v>
      </c>
      <c r="HU162" s="76">
        <v>0</v>
      </c>
      <c r="HV162" s="76">
        <v>0</v>
      </c>
      <c r="HW162" s="76">
        <v>2</v>
      </c>
      <c r="HX162" s="76">
        <v>3</v>
      </c>
    </row>
    <row r="163" spans="1:232" x14ac:dyDescent="0.2">
      <c r="A163" s="74" t="s">
        <v>202</v>
      </c>
      <c r="B163" s="74" t="s">
        <v>154</v>
      </c>
      <c r="C163" s="75" t="s">
        <v>200</v>
      </c>
      <c r="D163" s="75">
        <v>12</v>
      </c>
      <c r="E163" s="76">
        <v>57702</v>
      </c>
      <c r="F163" s="76">
        <v>0</v>
      </c>
      <c r="G163" s="76">
        <v>-41871</v>
      </c>
      <c r="H163" s="76">
        <v>15831</v>
      </c>
      <c r="I163" s="76">
        <v>3347</v>
      </c>
      <c r="J163" s="76">
        <v>0</v>
      </c>
      <c r="K163" s="76">
        <v>0</v>
      </c>
      <c r="L163" s="76">
        <v>240</v>
      </c>
      <c r="M163" s="76">
        <v>31</v>
      </c>
      <c r="N163" s="76">
        <v>-4966</v>
      </c>
      <c r="O163" s="76">
        <v>0</v>
      </c>
      <c r="P163" s="76">
        <v>0</v>
      </c>
      <c r="Q163" s="76">
        <v>0</v>
      </c>
      <c r="R163" s="76">
        <v>0</v>
      </c>
      <c r="S163" s="76">
        <v>14483</v>
      </c>
      <c r="T163" s="76">
        <v>-48</v>
      </c>
      <c r="U163" s="76">
        <v>14435</v>
      </c>
      <c r="V163" s="76">
        <v>0</v>
      </c>
      <c r="W163" s="76">
        <v>-1573</v>
      </c>
      <c r="X163" s="76">
        <v>0</v>
      </c>
      <c r="Y163" s="76">
        <v>0</v>
      </c>
      <c r="Z163" s="76">
        <v>12862</v>
      </c>
      <c r="AA163" s="76">
        <v>49321</v>
      </c>
      <c r="AB163" s="76">
        <v>4038</v>
      </c>
      <c r="AC163" s="76">
        <v>53359</v>
      </c>
      <c r="AD163" s="76">
        <v>68</v>
      </c>
      <c r="AE163" s="76">
        <v>0</v>
      </c>
      <c r="AF163" s="76">
        <v>100</v>
      </c>
      <c r="AG163" s="76">
        <v>464</v>
      </c>
      <c r="AH163" s="76">
        <v>53991</v>
      </c>
      <c r="AI163" s="76">
        <v>15905</v>
      </c>
      <c r="AJ163" s="76">
        <v>4456</v>
      </c>
      <c r="AK163" s="76">
        <v>8443</v>
      </c>
      <c r="AL163" s="76">
        <v>1549</v>
      </c>
      <c r="AM163" s="76">
        <v>5411</v>
      </c>
      <c r="AN163" s="76">
        <v>210</v>
      </c>
      <c r="AO163" s="76">
        <v>3507</v>
      </c>
      <c r="AP163" s="76">
        <v>0</v>
      </c>
      <c r="AQ163" s="76">
        <v>0</v>
      </c>
      <c r="AR163" s="76">
        <v>39481</v>
      </c>
      <c r="AS163" s="76">
        <v>14510</v>
      </c>
      <c r="AT163" s="76">
        <v>1049</v>
      </c>
      <c r="AU163" s="76">
        <v>129590</v>
      </c>
      <c r="AV163" s="76">
        <v>0</v>
      </c>
      <c r="AW163" s="76">
        <v>1836</v>
      </c>
      <c r="AX163" s="76">
        <v>0</v>
      </c>
      <c r="AY163" s="76">
        <v>0</v>
      </c>
      <c r="AZ163" s="76">
        <v>0</v>
      </c>
      <c r="BA163" s="76">
        <v>306</v>
      </c>
      <c r="BB163" s="76">
        <v>0</v>
      </c>
      <c r="BC163" s="76">
        <v>0</v>
      </c>
      <c r="BD163" s="76">
        <v>0</v>
      </c>
      <c r="BE163" s="76">
        <v>131732</v>
      </c>
      <c r="BF163" s="76">
        <v>0</v>
      </c>
      <c r="BG163" s="76">
        <v>2290</v>
      </c>
      <c r="BH163" s="76">
        <v>13402</v>
      </c>
      <c r="BI163" s="76">
        <v>0</v>
      </c>
      <c r="BJ163" s="76">
        <v>475871</v>
      </c>
      <c r="BK163" s="76">
        <v>491563</v>
      </c>
      <c r="BL163" s="76">
        <v>104</v>
      </c>
      <c r="BM163" s="76">
        <v>0</v>
      </c>
      <c r="BN163" s="76">
        <v>85</v>
      </c>
      <c r="BO163" s="76">
        <v>14683</v>
      </c>
      <c r="BP163" s="76">
        <v>14872</v>
      </c>
      <c r="BQ163" s="76">
        <v>476691</v>
      </c>
      <c r="BR163" s="76">
        <v>608423</v>
      </c>
      <c r="BS163" s="76">
        <v>62191</v>
      </c>
      <c r="BT163" s="76">
        <v>0</v>
      </c>
      <c r="BU163" s="76">
        <v>0</v>
      </c>
      <c r="BV163" s="76">
        <v>9667</v>
      </c>
      <c r="BW163" s="76">
        <v>0</v>
      </c>
      <c r="BX163" s="76">
        <v>0</v>
      </c>
      <c r="BY163" s="76">
        <v>0</v>
      </c>
      <c r="BZ163" s="76">
        <v>71858</v>
      </c>
      <c r="CA163" s="76">
        <v>14343</v>
      </c>
      <c r="CB163" s="76">
        <v>466749</v>
      </c>
      <c r="CC163" s="76">
        <v>55473</v>
      </c>
      <c r="CD163" s="76">
        <v>69816</v>
      </c>
      <c r="CE163" s="76">
        <v>0</v>
      </c>
      <c r="CF163" s="76">
        <v>0</v>
      </c>
      <c r="CG163" s="76">
        <v>0</v>
      </c>
      <c r="CH163" s="76">
        <v>-14343</v>
      </c>
      <c r="CI163" s="76">
        <v>55473</v>
      </c>
      <c r="CJ163" s="76">
        <v>0</v>
      </c>
      <c r="CK163" s="76">
        <v>0</v>
      </c>
      <c r="CL163" s="76">
        <v>0</v>
      </c>
      <c r="CM163" s="76">
        <v>0</v>
      </c>
      <c r="CN163" s="76">
        <v>521</v>
      </c>
      <c r="CO163" s="76">
        <v>0</v>
      </c>
      <c r="CP163" s="76">
        <v>1092</v>
      </c>
      <c r="CQ163" s="76">
        <v>-571</v>
      </c>
      <c r="CR163" s="76">
        <v>0</v>
      </c>
      <c r="CS163" s="76">
        <v>0</v>
      </c>
      <c r="CT163" s="76">
        <v>0</v>
      </c>
      <c r="CU163" s="76">
        <v>0</v>
      </c>
      <c r="CV163" s="76">
        <v>0</v>
      </c>
      <c r="CW163" s="76">
        <v>0</v>
      </c>
      <c r="CX163" s="76">
        <v>0</v>
      </c>
      <c r="CY163" s="76">
        <v>0</v>
      </c>
      <c r="CZ163" s="76">
        <v>2822</v>
      </c>
      <c r="DA163" s="76">
        <v>0</v>
      </c>
      <c r="DB163" s="76">
        <v>1085</v>
      </c>
      <c r="DC163" s="76">
        <v>1737</v>
      </c>
      <c r="DD163" s="76">
        <v>3343</v>
      </c>
      <c r="DE163" s="76">
        <v>0</v>
      </c>
      <c r="DF163" s="76">
        <v>2177</v>
      </c>
      <c r="DG163" s="76">
        <v>1166</v>
      </c>
      <c r="DH163" s="76">
        <v>0</v>
      </c>
      <c r="DI163" s="76">
        <v>0</v>
      </c>
      <c r="DJ163" s="76">
        <v>0</v>
      </c>
      <c r="DK163" s="76">
        <v>0</v>
      </c>
      <c r="DL163" s="76">
        <v>0</v>
      </c>
      <c r="DM163" s="76">
        <v>0</v>
      </c>
      <c r="DN163" s="76">
        <v>0</v>
      </c>
      <c r="DO163" s="76">
        <v>0</v>
      </c>
      <c r="DP163" s="76">
        <v>0</v>
      </c>
      <c r="DQ163" s="76">
        <v>0</v>
      </c>
      <c r="DR163" s="76">
        <v>0</v>
      </c>
      <c r="DS163" s="76">
        <v>0</v>
      </c>
      <c r="DT163" s="76">
        <v>8</v>
      </c>
      <c r="DU163" s="76">
        <v>0</v>
      </c>
      <c r="DV163" s="76">
        <v>3</v>
      </c>
      <c r="DW163" s="76">
        <v>5</v>
      </c>
      <c r="DX163" s="76">
        <v>0</v>
      </c>
      <c r="DY163" s="76">
        <v>0</v>
      </c>
      <c r="DZ163" s="76">
        <v>0</v>
      </c>
      <c r="EA163" s="76">
        <v>0</v>
      </c>
      <c r="EB163" s="76">
        <v>360</v>
      </c>
      <c r="EC163" s="76">
        <v>0</v>
      </c>
      <c r="ED163" s="76">
        <v>210</v>
      </c>
      <c r="EE163" s="76">
        <v>150</v>
      </c>
      <c r="EF163" s="76">
        <v>368</v>
      </c>
      <c r="EG163" s="76">
        <v>0</v>
      </c>
      <c r="EH163" s="76">
        <v>213</v>
      </c>
      <c r="EI163" s="76">
        <v>155</v>
      </c>
      <c r="EJ163" s="76">
        <v>3711</v>
      </c>
      <c r="EK163" s="76">
        <v>0</v>
      </c>
      <c r="EL163" s="76">
        <v>2390</v>
      </c>
      <c r="EM163" s="76">
        <v>1321</v>
      </c>
      <c r="EN163" s="76">
        <v>2194</v>
      </c>
      <c r="EO163" s="76">
        <v>3931</v>
      </c>
      <c r="EP163" s="76">
        <v>1364</v>
      </c>
      <c r="EQ163" s="76">
        <v>3892</v>
      </c>
      <c r="ER163" s="76">
        <v>120945</v>
      </c>
      <c r="ES163" s="76">
        <v>0</v>
      </c>
      <c r="ET163" s="76">
        <v>120945</v>
      </c>
      <c r="EU163" s="76">
        <v>16975</v>
      </c>
      <c r="EV163" s="76">
        <v>-1134</v>
      </c>
      <c r="EW163" s="76">
        <v>0</v>
      </c>
      <c r="EX163" s="76">
        <v>0</v>
      </c>
      <c r="EY163" s="76">
        <v>0</v>
      </c>
      <c r="EZ163" s="76">
        <v>136786</v>
      </c>
      <c r="FA163" s="76">
        <v>4217</v>
      </c>
      <c r="FB163" s="76">
        <v>3017</v>
      </c>
      <c r="FC163" s="76">
        <v>0</v>
      </c>
      <c r="FD163" s="76">
        <v>0</v>
      </c>
      <c r="FE163" s="76">
        <v>-38</v>
      </c>
      <c r="FF163" s="76">
        <v>0</v>
      </c>
      <c r="FG163" s="76">
        <v>0</v>
      </c>
      <c r="FH163" s="76">
        <v>7196</v>
      </c>
      <c r="FI163" s="76">
        <v>129590</v>
      </c>
      <c r="FJ163" s="76">
        <v>116728</v>
      </c>
      <c r="FK163" s="76">
        <v>0</v>
      </c>
      <c r="FL163" s="76">
        <v>0</v>
      </c>
      <c r="FM163" s="76">
        <v>0</v>
      </c>
      <c r="FN163" s="76">
        <v>3653</v>
      </c>
      <c r="FO163" s="76">
        <v>1006</v>
      </c>
      <c r="FP163" s="76">
        <v>2647</v>
      </c>
      <c r="FQ163" s="76">
        <v>403</v>
      </c>
      <c r="FR163" s="76">
        <v>384</v>
      </c>
      <c r="FS163" s="76">
        <v>19</v>
      </c>
      <c r="FT163" s="76">
        <v>824</v>
      </c>
      <c r="FU163" s="76">
        <v>143</v>
      </c>
      <c r="FV163" s="76">
        <v>681</v>
      </c>
      <c r="FW163" s="76">
        <v>0</v>
      </c>
      <c r="FX163" s="76">
        <v>0</v>
      </c>
      <c r="FY163" s="76">
        <v>0</v>
      </c>
      <c r="FZ163" s="76">
        <v>0</v>
      </c>
      <c r="GA163" s="76">
        <v>0</v>
      </c>
      <c r="GB163" s="76">
        <v>0</v>
      </c>
      <c r="GC163" s="76">
        <v>4880</v>
      </c>
      <c r="GD163" s="76">
        <v>1533</v>
      </c>
      <c r="GE163" s="76">
        <v>3347</v>
      </c>
      <c r="GF163" s="76">
        <v>0</v>
      </c>
      <c r="GG163" s="76">
        <v>0</v>
      </c>
      <c r="GH163" s="76">
        <v>0</v>
      </c>
      <c r="GI163" s="76">
        <v>475516</v>
      </c>
      <c r="GJ163" s="76">
        <v>0</v>
      </c>
      <c r="GK163" s="76">
        <v>355</v>
      </c>
      <c r="GL163" s="76">
        <v>475871</v>
      </c>
      <c r="GM163" s="76">
        <v>1931</v>
      </c>
      <c r="GN163" s="76">
        <v>4</v>
      </c>
      <c r="GO163" s="76">
        <v>0</v>
      </c>
      <c r="GP163" s="76">
        <v>0</v>
      </c>
      <c r="GQ163" s="76">
        <v>0</v>
      </c>
      <c r="GR163" s="76">
        <v>3365</v>
      </c>
      <c r="GS163" s="76">
        <v>0</v>
      </c>
      <c r="GT163" s="76">
        <v>8962</v>
      </c>
      <c r="GU163" s="76">
        <v>0</v>
      </c>
      <c r="GV163" s="76">
        <v>0</v>
      </c>
      <c r="GW163" s="76">
        <v>421</v>
      </c>
      <c r="GX163" s="76">
        <v>14683</v>
      </c>
      <c r="GY163" s="76">
        <v>0</v>
      </c>
      <c r="GZ163" s="76">
        <v>0</v>
      </c>
      <c r="HA163" s="76">
        <v>0</v>
      </c>
      <c r="HB163" s="76">
        <v>0</v>
      </c>
      <c r="HC163" s="76">
        <v>0</v>
      </c>
      <c r="HD163" s="76">
        <v>466554</v>
      </c>
      <c r="HE163" s="76">
        <v>195</v>
      </c>
      <c r="HF163" s="76">
        <v>466749</v>
      </c>
      <c r="HG163" s="76">
        <v>3528</v>
      </c>
      <c r="HH163" s="76">
        <v>1031</v>
      </c>
      <c r="HI163" s="76">
        <v>407</v>
      </c>
      <c r="HJ163" s="76">
        <v>0</v>
      </c>
      <c r="HK163" s="76">
        <v>0</v>
      </c>
      <c r="HL163" s="76">
        <v>0</v>
      </c>
      <c r="HM163" s="76">
        <v>4966</v>
      </c>
      <c r="HN163" s="76">
        <v>13182</v>
      </c>
      <c r="HO163" s="76">
        <v>3507</v>
      </c>
      <c r="HP163" s="76">
        <v>0</v>
      </c>
      <c r="HQ163" s="76">
        <v>37</v>
      </c>
      <c r="HR163" s="76">
        <v>-431</v>
      </c>
      <c r="HS163" s="76">
        <v>13</v>
      </c>
      <c r="HT163" s="76">
        <v>13096</v>
      </c>
      <c r="HU163" s="76">
        <v>0</v>
      </c>
      <c r="HV163" s="76">
        <v>0</v>
      </c>
      <c r="HW163" s="76">
        <v>0</v>
      </c>
      <c r="HX163" s="76">
        <v>1</v>
      </c>
    </row>
    <row r="164" spans="1:232" x14ac:dyDescent="0.2">
      <c r="A164" s="74" t="s">
        <v>637</v>
      </c>
      <c r="B164" s="74" t="s">
        <v>638</v>
      </c>
      <c r="C164" s="75" t="s">
        <v>200</v>
      </c>
      <c r="D164" s="75">
        <v>12</v>
      </c>
      <c r="E164" s="76">
        <v>37410</v>
      </c>
      <c r="F164" s="76">
        <v>-918</v>
      </c>
      <c r="G164" s="76">
        <v>-19769</v>
      </c>
      <c r="H164" s="76">
        <v>16723</v>
      </c>
      <c r="I164" s="76">
        <v>431</v>
      </c>
      <c r="J164" s="76">
        <v>0</v>
      </c>
      <c r="K164" s="76">
        <v>0</v>
      </c>
      <c r="L164" s="76">
        <v>0</v>
      </c>
      <c r="M164" s="76">
        <v>107</v>
      </c>
      <c r="N164" s="76">
        <v>-9351</v>
      </c>
      <c r="O164" s="76">
        <v>23</v>
      </c>
      <c r="P164" s="76">
        <v>143</v>
      </c>
      <c r="Q164" s="76">
        <v>0</v>
      </c>
      <c r="R164" s="76">
        <v>0</v>
      </c>
      <c r="S164" s="76">
        <v>8076</v>
      </c>
      <c r="T164" s="76">
        <v>-156</v>
      </c>
      <c r="U164" s="76">
        <v>7920</v>
      </c>
      <c r="V164" s="76">
        <v>0</v>
      </c>
      <c r="W164" s="76">
        <v>0</v>
      </c>
      <c r="X164" s="76">
        <v>0</v>
      </c>
      <c r="Y164" s="76">
        <v>0</v>
      </c>
      <c r="Z164" s="76">
        <v>7920</v>
      </c>
      <c r="AA164" s="76">
        <v>30387</v>
      </c>
      <c r="AB164" s="76">
        <v>3993</v>
      </c>
      <c r="AC164" s="76">
        <v>34380</v>
      </c>
      <c r="AD164" s="76">
        <v>609</v>
      </c>
      <c r="AE164" s="76">
        <v>0</v>
      </c>
      <c r="AF164" s="76">
        <v>0</v>
      </c>
      <c r="AG164" s="76">
        <v>0</v>
      </c>
      <c r="AH164" s="76">
        <v>34989</v>
      </c>
      <c r="AI164" s="76">
        <v>3587</v>
      </c>
      <c r="AJ164" s="76">
        <v>3835</v>
      </c>
      <c r="AK164" s="76">
        <v>4682</v>
      </c>
      <c r="AL164" s="76">
        <v>1449</v>
      </c>
      <c r="AM164" s="76">
        <v>0</v>
      </c>
      <c r="AN164" s="76">
        <v>179</v>
      </c>
      <c r="AO164" s="76">
        <v>4105</v>
      </c>
      <c r="AP164" s="76">
        <v>0</v>
      </c>
      <c r="AQ164" s="76">
        <v>0</v>
      </c>
      <c r="AR164" s="76">
        <v>17837</v>
      </c>
      <c r="AS164" s="76">
        <v>17152</v>
      </c>
      <c r="AT164" s="76">
        <v>690</v>
      </c>
      <c r="AU164" s="76">
        <v>298067</v>
      </c>
      <c r="AV164" s="76">
        <v>0</v>
      </c>
      <c r="AW164" s="76">
        <v>77</v>
      </c>
      <c r="AX164" s="76">
        <v>86</v>
      </c>
      <c r="AY164" s="76">
        <v>0</v>
      </c>
      <c r="AZ164" s="76">
        <v>3717</v>
      </c>
      <c r="BA164" s="76">
        <v>0</v>
      </c>
      <c r="BB164" s="76">
        <v>0</v>
      </c>
      <c r="BC164" s="76">
        <v>0</v>
      </c>
      <c r="BD164" s="76">
        <v>0</v>
      </c>
      <c r="BE164" s="76">
        <v>301947</v>
      </c>
      <c r="BF164" s="76">
        <v>1524</v>
      </c>
      <c r="BG164" s="76">
        <v>1899</v>
      </c>
      <c r="BH164" s="76">
        <v>20200</v>
      </c>
      <c r="BI164" s="76">
        <v>0</v>
      </c>
      <c r="BJ164" s="76">
        <v>1292</v>
      </c>
      <c r="BK164" s="76">
        <v>24915</v>
      </c>
      <c r="BL164" s="76">
        <v>4269</v>
      </c>
      <c r="BM164" s="76">
        <v>0</v>
      </c>
      <c r="BN164" s="76">
        <v>4703</v>
      </c>
      <c r="BO164" s="76">
        <v>9616</v>
      </c>
      <c r="BP164" s="76">
        <v>18588</v>
      </c>
      <c r="BQ164" s="76">
        <v>6327</v>
      </c>
      <c r="BR164" s="76">
        <v>308274</v>
      </c>
      <c r="BS164" s="76">
        <v>199179</v>
      </c>
      <c r="BT164" s="76">
        <v>0</v>
      </c>
      <c r="BU164" s="76">
        <v>0</v>
      </c>
      <c r="BV164" s="76">
        <v>52118</v>
      </c>
      <c r="BW164" s="76">
        <v>0</v>
      </c>
      <c r="BX164" s="76">
        <v>0</v>
      </c>
      <c r="BY164" s="76">
        <v>649</v>
      </c>
      <c r="BZ164" s="76">
        <v>251946</v>
      </c>
      <c r="CA164" s="76">
        <v>0</v>
      </c>
      <c r="CB164" s="76">
        <v>95</v>
      </c>
      <c r="CC164" s="76">
        <v>56233</v>
      </c>
      <c r="CD164" s="76">
        <v>56233</v>
      </c>
      <c r="CE164" s="76">
        <v>0</v>
      </c>
      <c r="CF164" s="76">
        <v>0</v>
      </c>
      <c r="CG164" s="76">
        <v>0</v>
      </c>
      <c r="CH164" s="76">
        <v>0</v>
      </c>
      <c r="CI164" s="76">
        <v>56233</v>
      </c>
      <c r="CJ164" s="76">
        <v>1119</v>
      </c>
      <c r="CK164" s="76">
        <v>918</v>
      </c>
      <c r="CL164" s="76">
        <v>0</v>
      </c>
      <c r="CM164" s="76">
        <v>201</v>
      </c>
      <c r="CN164" s="76">
        <v>750</v>
      </c>
      <c r="CO164" s="76">
        <v>0</v>
      </c>
      <c r="CP164" s="76">
        <v>1276</v>
      </c>
      <c r="CQ164" s="76">
        <v>-526</v>
      </c>
      <c r="CR164" s="76">
        <v>0</v>
      </c>
      <c r="CS164" s="76">
        <v>0</v>
      </c>
      <c r="CT164" s="76">
        <v>0</v>
      </c>
      <c r="CU164" s="76">
        <v>0</v>
      </c>
      <c r="CV164" s="76">
        <v>0</v>
      </c>
      <c r="CW164" s="76">
        <v>0</v>
      </c>
      <c r="CX164" s="76">
        <v>0</v>
      </c>
      <c r="CY164" s="76">
        <v>0</v>
      </c>
      <c r="CZ164" s="76">
        <v>59</v>
      </c>
      <c r="DA164" s="76">
        <v>0</v>
      </c>
      <c r="DB164" s="76">
        <v>547</v>
      </c>
      <c r="DC164" s="76">
        <v>-488</v>
      </c>
      <c r="DD164" s="76">
        <v>1928</v>
      </c>
      <c r="DE164" s="76">
        <v>918</v>
      </c>
      <c r="DF164" s="76">
        <v>1823</v>
      </c>
      <c r="DG164" s="76">
        <v>-813</v>
      </c>
      <c r="DH164" s="76">
        <v>0</v>
      </c>
      <c r="DI164" s="76">
        <v>0</v>
      </c>
      <c r="DJ164" s="76">
        <v>0</v>
      </c>
      <c r="DK164" s="76">
        <v>0</v>
      </c>
      <c r="DL164" s="76">
        <v>0</v>
      </c>
      <c r="DM164" s="76">
        <v>0</v>
      </c>
      <c r="DN164" s="76">
        <v>0</v>
      </c>
      <c r="DO164" s="76">
        <v>0</v>
      </c>
      <c r="DP164" s="76">
        <v>277</v>
      </c>
      <c r="DQ164" s="76">
        <v>0</v>
      </c>
      <c r="DR164" s="76">
        <v>41</v>
      </c>
      <c r="DS164" s="76">
        <v>236</v>
      </c>
      <c r="DT164" s="76">
        <v>216</v>
      </c>
      <c r="DU164" s="76">
        <v>0</v>
      </c>
      <c r="DV164" s="76">
        <v>68</v>
      </c>
      <c r="DW164" s="76">
        <v>148</v>
      </c>
      <c r="DX164" s="76">
        <v>0</v>
      </c>
      <c r="DY164" s="76">
        <v>0</v>
      </c>
      <c r="DZ164" s="76">
        <v>0</v>
      </c>
      <c r="EA164" s="76">
        <v>0</v>
      </c>
      <c r="EB164" s="76">
        <v>0</v>
      </c>
      <c r="EC164" s="76">
        <v>0</v>
      </c>
      <c r="ED164" s="76">
        <v>0</v>
      </c>
      <c r="EE164" s="76">
        <v>0</v>
      </c>
      <c r="EF164" s="76">
        <v>493</v>
      </c>
      <c r="EG164" s="76">
        <v>0</v>
      </c>
      <c r="EH164" s="76">
        <v>109</v>
      </c>
      <c r="EI164" s="76">
        <v>384</v>
      </c>
      <c r="EJ164" s="76">
        <v>2421</v>
      </c>
      <c r="EK164" s="76">
        <v>918</v>
      </c>
      <c r="EL164" s="76">
        <v>1932</v>
      </c>
      <c r="EM164" s="76">
        <v>-429</v>
      </c>
      <c r="EN164" s="76">
        <v>1990</v>
      </c>
      <c r="EO164" s="76">
        <v>320</v>
      </c>
      <c r="EP164" s="76">
        <v>278</v>
      </c>
      <c r="EQ164" s="76">
        <v>320</v>
      </c>
      <c r="ER164" s="76">
        <v>320526</v>
      </c>
      <c r="ES164" s="76">
        <v>0</v>
      </c>
      <c r="ET164" s="76">
        <v>320526</v>
      </c>
      <c r="EU164" s="76">
        <v>16725</v>
      </c>
      <c r="EV164" s="76">
        <v>-921</v>
      </c>
      <c r="EW164" s="76">
        <v>0</v>
      </c>
      <c r="EX164" s="76">
        <v>0</v>
      </c>
      <c r="EY164" s="76">
        <v>0</v>
      </c>
      <c r="EZ164" s="76">
        <v>336330</v>
      </c>
      <c r="FA164" s="76">
        <v>34373</v>
      </c>
      <c r="FB164" s="76">
        <v>4139</v>
      </c>
      <c r="FC164" s="76">
        <v>0</v>
      </c>
      <c r="FD164" s="76">
        <v>0</v>
      </c>
      <c r="FE164" s="76">
        <v>-249</v>
      </c>
      <c r="FF164" s="76">
        <v>0</v>
      </c>
      <c r="FG164" s="76">
        <v>0</v>
      </c>
      <c r="FH164" s="76">
        <v>38263</v>
      </c>
      <c r="FI164" s="76">
        <v>298067</v>
      </c>
      <c r="FJ164" s="76">
        <v>286153</v>
      </c>
      <c r="FK164" s="76">
        <v>0</v>
      </c>
      <c r="FL164" s="76">
        <v>0</v>
      </c>
      <c r="FM164" s="76">
        <v>0</v>
      </c>
      <c r="FN164" s="76">
        <v>1005</v>
      </c>
      <c r="FO164" s="76">
        <v>574</v>
      </c>
      <c r="FP164" s="76">
        <v>431</v>
      </c>
      <c r="FQ164" s="76">
        <v>0</v>
      </c>
      <c r="FR164" s="76">
        <v>0</v>
      </c>
      <c r="FS164" s="76">
        <v>0</v>
      </c>
      <c r="FT164" s="76">
        <v>0</v>
      </c>
      <c r="FU164" s="76">
        <v>0</v>
      </c>
      <c r="FV164" s="76">
        <v>0</v>
      </c>
      <c r="FW164" s="76">
        <v>0</v>
      </c>
      <c r="FX164" s="76">
        <v>0</v>
      </c>
      <c r="FY164" s="76">
        <v>0</v>
      </c>
      <c r="FZ164" s="76">
        <v>0</v>
      </c>
      <c r="GA164" s="76">
        <v>0</v>
      </c>
      <c r="GB164" s="76">
        <v>0</v>
      </c>
      <c r="GC164" s="76">
        <v>1005</v>
      </c>
      <c r="GD164" s="76">
        <v>574</v>
      </c>
      <c r="GE164" s="76">
        <v>431</v>
      </c>
      <c r="GF164" s="76">
        <v>0</v>
      </c>
      <c r="GG164" s="76">
        <v>0</v>
      </c>
      <c r="GH164" s="76">
        <v>996</v>
      </c>
      <c r="GI164" s="76">
        <v>0</v>
      </c>
      <c r="GJ164" s="76">
        <v>0</v>
      </c>
      <c r="GK164" s="76">
        <v>296</v>
      </c>
      <c r="GL164" s="76">
        <v>1292</v>
      </c>
      <c r="GM164" s="76">
        <v>2354</v>
      </c>
      <c r="GN164" s="76">
        <v>0</v>
      </c>
      <c r="GO164" s="76">
        <v>0</v>
      </c>
      <c r="GP164" s="76">
        <v>12</v>
      </c>
      <c r="GQ164" s="76">
        <v>0</v>
      </c>
      <c r="GR164" s="76">
        <v>6459</v>
      </c>
      <c r="GS164" s="76">
        <v>0</v>
      </c>
      <c r="GT164" s="76">
        <v>0</v>
      </c>
      <c r="GU164" s="76">
        <v>115</v>
      </c>
      <c r="GV164" s="76">
        <v>0</v>
      </c>
      <c r="GW164" s="76">
        <v>676</v>
      </c>
      <c r="GX164" s="76">
        <v>9616</v>
      </c>
      <c r="GY164" s="76">
        <v>0</v>
      </c>
      <c r="GZ164" s="76">
        <v>0</v>
      </c>
      <c r="HA164" s="76">
        <v>649</v>
      </c>
      <c r="HB164" s="76">
        <v>0</v>
      </c>
      <c r="HC164" s="76">
        <v>649</v>
      </c>
      <c r="HD164" s="76">
        <v>0</v>
      </c>
      <c r="HE164" s="76">
        <v>95</v>
      </c>
      <c r="HF164" s="76">
        <v>95</v>
      </c>
      <c r="HG164" s="76">
        <v>9634</v>
      </c>
      <c r="HH164" s="76">
        <v>24</v>
      </c>
      <c r="HI164" s="76">
        <v>16</v>
      </c>
      <c r="HJ164" s="76">
        <v>0</v>
      </c>
      <c r="HK164" s="76">
        <v>0</v>
      </c>
      <c r="HL164" s="76">
        <v>-323</v>
      </c>
      <c r="HM164" s="76">
        <v>9351</v>
      </c>
      <c r="HN164" s="76">
        <v>2268</v>
      </c>
      <c r="HO164" s="76">
        <v>4182</v>
      </c>
      <c r="HP164" s="76">
        <v>0</v>
      </c>
      <c r="HQ164" s="76">
        <v>44</v>
      </c>
      <c r="HR164" s="76">
        <v>-13</v>
      </c>
      <c r="HS164" s="76">
        <v>-305</v>
      </c>
      <c r="HT164" s="76">
        <v>6093</v>
      </c>
      <c r="HU164" s="76">
        <v>0</v>
      </c>
      <c r="HV164" s="76">
        <v>0</v>
      </c>
      <c r="HW164" s="76">
        <v>4</v>
      </c>
      <c r="HX164" s="76">
        <v>49</v>
      </c>
    </row>
    <row r="165" spans="1:232" x14ac:dyDescent="0.2">
      <c r="A165" s="74" t="s">
        <v>639</v>
      </c>
      <c r="B165" s="74" t="s">
        <v>640</v>
      </c>
      <c r="C165" s="75" t="s">
        <v>200</v>
      </c>
      <c r="D165" s="75">
        <v>12</v>
      </c>
      <c r="E165" s="76">
        <v>17971</v>
      </c>
      <c r="F165" s="76">
        <v>-630</v>
      </c>
      <c r="G165" s="76">
        <v>-10358</v>
      </c>
      <c r="H165" s="76">
        <v>6983</v>
      </c>
      <c r="I165" s="76">
        <v>874</v>
      </c>
      <c r="J165" s="76">
        <v>0</v>
      </c>
      <c r="K165" s="76">
        <v>0</v>
      </c>
      <c r="L165" s="76">
        <v>0</v>
      </c>
      <c r="M165" s="76">
        <v>15</v>
      </c>
      <c r="N165" s="76">
        <v>-3909</v>
      </c>
      <c r="O165" s="76">
        <v>0</v>
      </c>
      <c r="P165" s="76">
        <v>0</v>
      </c>
      <c r="Q165" s="76">
        <v>0</v>
      </c>
      <c r="R165" s="76">
        <v>0</v>
      </c>
      <c r="S165" s="76">
        <v>3963</v>
      </c>
      <c r="T165" s="76">
        <v>0</v>
      </c>
      <c r="U165" s="76">
        <v>3963</v>
      </c>
      <c r="V165" s="76">
        <v>0</v>
      </c>
      <c r="W165" s="76">
        <v>-768</v>
      </c>
      <c r="X165" s="76">
        <v>0</v>
      </c>
      <c r="Y165" s="76">
        <v>0</v>
      </c>
      <c r="Z165" s="76">
        <v>3195</v>
      </c>
      <c r="AA165" s="76">
        <v>14427</v>
      </c>
      <c r="AB165" s="76">
        <v>1055</v>
      </c>
      <c r="AC165" s="76">
        <v>15482</v>
      </c>
      <c r="AD165" s="76">
        <v>0</v>
      </c>
      <c r="AE165" s="76">
        <v>303</v>
      </c>
      <c r="AF165" s="76">
        <v>0</v>
      </c>
      <c r="AG165" s="76">
        <v>0</v>
      </c>
      <c r="AH165" s="76">
        <v>15785</v>
      </c>
      <c r="AI165" s="76">
        <v>3592</v>
      </c>
      <c r="AJ165" s="76">
        <v>829</v>
      </c>
      <c r="AK165" s="76">
        <v>1241</v>
      </c>
      <c r="AL165" s="76">
        <v>1675</v>
      </c>
      <c r="AM165" s="76">
        <v>0</v>
      </c>
      <c r="AN165" s="76">
        <v>181</v>
      </c>
      <c r="AO165" s="76">
        <v>1832</v>
      </c>
      <c r="AP165" s="76">
        <v>0</v>
      </c>
      <c r="AQ165" s="76">
        <v>232</v>
      </c>
      <c r="AR165" s="76">
        <v>9582</v>
      </c>
      <c r="AS165" s="76">
        <v>6203</v>
      </c>
      <c r="AT165" s="76">
        <v>86</v>
      </c>
      <c r="AU165" s="76">
        <v>128005</v>
      </c>
      <c r="AV165" s="76">
        <v>0</v>
      </c>
      <c r="AW165" s="76">
        <v>409</v>
      </c>
      <c r="AX165" s="76">
        <v>0</v>
      </c>
      <c r="AY165" s="76">
        <v>0</v>
      </c>
      <c r="AZ165" s="76">
        <v>0</v>
      </c>
      <c r="BA165" s="76">
        <v>0</v>
      </c>
      <c r="BB165" s="76">
        <v>0</v>
      </c>
      <c r="BC165" s="76">
        <v>0</v>
      </c>
      <c r="BD165" s="76">
        <v>0</v>
      </c>
      <c r="BE165" s="76">
        <v>128414</v>
      </c>
      <c r="BF165" s="76">
        <v>108</v>
      </c>
      <c r="BG165" s="76">
        <v>0</v>
      </c>
      <c r="BH165" s="76">
        <v>8428</v>
      </c>
      <c r="BI165" s="76">
        <v>0</v>
      </c>
      <c r="BJ165" s="76">
        <v>633</v>
      </c>
      <c r="BK165" s="76">
        <v>9169</v>
      </c>
      <c r="BL165" s="76">
        <v>0</v>
      </c>
      <c r="BM165" s="76">
        <v>0</v>
      </c>
      <c r="BN165" s="76">
        <v>0</v>
      </c>
      <c r="BO165" s="76">
        <v>3016</v>
      </c>
      <c r="BP165" s="76">
        <v>3016</v>
      </c>
      <c r="BQ165" s="76">
        <v>6153</v>
      </c>
      <c r="BR165" s="76">
        <v>134567</v>
      </c>
      <c r="BS165" s="76">
        <v>76241</v>
      </c>
      <c r="BT165" s="76">
        <v>0</v>
      </c>
      <c r="BU165" s="76">
        <v>0</v>
      </c>
      <c r="BV165" s="76">
        <v>31014</v>
      </c>
      <c r="BW165" s="76">
        <v>0</v>
      </c>
      <c r="BX165" s="76">
        <v>0</v>
      </c>
      <c r="BY165" s="76">
        <v>915</v>
      </c>
      <c r="BZ165" s="76">
        <v>108170</v>
      </c>
      <c r="CA165" s="76">
        <v>3063</v>
      </c>
      <c r="CB165" s="76">
        <v>0</v>
      </c>
      <c r="CC165" s="76">
        <v>23334</v>
      </c>
      <c r="CD165" s="76">
        <v>23334</v>
      </c>
      <c r="CE165" s="76">
        <v>0</v>
      </c>
      <c r="CF165" s="76">
        <v>0</v>
      </c>
      <c r="CG165" s="76">
        <v>0</v>
      </c>
      <c r="CH165" s="76">
        <v>0</v>
      </c>
      <c r="CI165" s="76">
        <v>23334</v>
      </c>
      <c r="CJ165" s="76">
        <v>1108</v>
      </c>
      <c r="CK165" s="76">
        <v>630</v>
      </c>
      <c r="CL165" s="76">
        <v>4</v>
      </c>
      <c r="CM165" s="76">
        <v>474</v>
      </c>
      <c r="CN165" s="76">
        <v>0</v>
      </c>
      <c r="CO165" s="76">
        <v>0</v>
      </c>
      <c r="CP165" s="76">
        <v>0</v>
      </c>
      <c r="CQ165" s="76">
        <v>0</v>
      </c>
      <c r="CR165" s="76">
        <v>0</v>
      </c>
      <c r="CS165" s="76">
        <v>0</v>
      </c>
      <c r="CT165" s="76">
        <v>0</v>
      </c>
      <c r="CU165" s="76">
        <v>0</v>
      </c>
      <c r="CV165" s="76">
        <v>0</v>
      </c>
      <c r="CW165" s="76">
        <v>0</v>
      </c>
      <c r="CX165" s="76">
        <v>0</v>
      </c>
      <c r="CY165" s="76">
        <v>0</v>
      </c>
      <c r="CZ165" s="76">
        <v>682</v>
      </c>
      <c r="DA165" s="76">
        <v>0</v>
      </c>
      <c r="DB165" s="76">
        <v>587</v>
      </c>
      <c r="DC165" s="76">
        <v>95</v>
      </c>
      <c r="DD165" s="76">
        <v>1790</v>
      </c>
      <c r="DE165" s="76">
        <v>630</v>
      </c>
      <c r="DF165" s="76">
        <v>591</v>
      </c>
      <c r="DG165" s="76">
        <v>569</v>
      </c>
      <c r="DH165" s="76">
        <v>0</v>
      </c>
      <c r="DI165" s="76">
        <v>0</v>
      </c>
      <c r="DJ165" s="76">
        <v>0</v>
      </c>
      <c r="DK165" s="76">
        <v>0</v>
      </c>
      <c r="DL165" s="76">
        <v>0</v>
      </c>
      <c r="DM165" s="76">
        <v>0</v>
      </c>
      <c r="DN165" s="76">
        <v>0</v>
      </c>
      <c r="DO165" s="76">
        <v>0</v>
      </c>
      <c r="DP165" s="76">
        <v>0</v>
      </c>
      <c r="DQ165" s="76">
        <v>0</v>
      </c>
      <c r="DR165" s="76">
        <v>0</v>
      </c>
      <c r="DS165" s="76">
        <v>0</v>
      </c>
      <c r="DT165" s="76">
        <v>0</v>
      </c>
      <c r="DU165" s="76">
        <v>0</v>
      </c>
      <c r="DV165" s="76">
        <v>0</v>
      </c>
      <c r="DW165" s="76">
        <v>0</v>
      </c>
      <c r="DX165" s="76">
        <v>0</v>
      </c>
      <c r="DY165" s="76">
        <v>0</v>
      </c>
      <c r="DZ165" s="76">
        <v>0</v>
      </c>
      <c r="EA165" s="76">
        <v>0</v>
      </c>
      <c r="EB165" s="76">
        <v>396</v>
      </c>
      <c r="EC165" s="76">
        <v>0</v>
      </c>
      <c r="ED165" s="76">
        <v>185</v>
      </c>
      <c r="EE165" s="76">
        <v>211</v>
      </c>
      <c r="EF165" s="76">
        <v>396</v>
      </c>
      <c r="EG165" s="76">
        <v>0</v>
      </c>
      <c r="EH165" s="76">
        <v>185</v>
      </c>
      <c r="EI165" s="76">
        <v>211</v>
      </c>
      <c r="EJ165" s="76">
        <v>2186</v>
      </c>
      <c r="EK165" s="76">
        <v>630</v>
      </c>
      <c r="EL165" s="76">
        <v>776</v>
      </c>
      <c r="EM165" s="76">
        <v>780</v>
      </c>
      <c r="EN165" s="76">
        <v>464</v>
      </c>
      <c r="EO165" s="76">
        <v>39</v>
      </c>
      <c r="EP165" s="76">
        <v>384</v>
      </c>
      <c r="EQ165" s="76">
        <v>0</v>
      </c>
      <c r="ER165" s="76">
        <v>142734</v>
      </c>
      <c r="ES165" s="76">
        <v>0</v>
      </c>
      <c r="ET165" s="76">
        <v>142734</v>
      </c>
      <c r="EU165" s="76">
        <v>3747</v>
      </c>
      <c r="EV165" s="76">
        <v>-1776</v>
      </c>
      <c r="EW165" s="76">
        <v>0</v>
      </c>
      <c r="EX165" s="76">
        <v>0</v>
      </c>
      <c r="EY165" s="76">
        <v>-85</v>
      </c>
      <c r="EZ165" s="76">
        <v>144620</v>
      </c>
      <c r="FA165" s="76">
        <v>15101</v>
      </c>
      <c r="FB165" s="76">
        <v>1762</v>
      </c>
      <c r="FC165" s="76">
        <v>0</v>
      </c>
      <c r="FD165" s="76">
        <v>0</v>
      </c>
      <c r="FE165" s="76">
        <v>-248</v>
      </c>
      <c r="FF165" s="76">
        <v>0</v>
      </c>
      <c r="FG165" s="76">
        <v>0</v>
      </c>
      <c r="FH165" s="76">
        <v>16615</v>
      </c>
      <c r="FI165" s="76">
        <v>128005</v>
      </c>
      <c r="FJ165" s="76">
        <v>127633</v>
      </c>
      <c r="FK165" s="76">
        <v>2212</v>
      </c>
      <c r="FL165" s="76">
        <v>1338</v>
      </c>
      <c r="FM165" s="76">
        <v>874</v>
      </c>
      <c r="FN165" s="76">
        <v>801</v>
      </c>
      <c r="FO165" s="76">
        <v>801</v>
      </c>
      <c r="FP165" s="76">
        <v>0</v>
      </c>
      <c r="FQ165" s="76">
        <v>0</v>
      </c>
      <c r="FR165" s="76">
        <v>0</v>
      </c>
      <c r="FS165" s="76">
        <v>0</v>
      </c>
      <c r="FT165" s="76">
        <v>0</v>
      </c>
      <c r="FU165" s="76">
        <v>0</v>
      </c>
      <c r="FV165" s="76">
        <v>0</v>
      </c>
      <c r="FW165" s="76">
        <v>0</v>
      </c>
      <c r="FX165" s="76">
        <v>0</v>
      </c>
      <c r="FY165" s="76">
        <v>0</v>
      </c>
      <c r="FZ165" s="76">
        <v>0</v>
      </c>
      <c r="GA165" s="76">
        <v>0</v>
      </c>
      <c r="GB165" s="76">
        <v>0</v>
      </c>
      <c r="GC165" s="76">
        <v>3013</v>
      </c>
      <c r="GD165" s="76">
        <v>2139</v>
      </c>
      <c r="GE165" s="76">
        <v>874</v>
      </c>
      <c r="GF165" s="76">
        <v>0</v>
      </c>
      <c r="GG165" s="76">
        <v>0</v>
      </c>
      <c r="GH165" s="76">
        <v>0</v>
      </c>
      <c r="GI165" s="76">
        <v>0</v>
      </c>
      <c r="GJ165" s="76">
        <v>0</v>
      </c>
      <c r="GK165" s="76">
        <v>633</v>
      </c>
      <c r="GL165" s="76">
        <v>633</v>
      </c>
      <c r="GM165" s="76">
        <v>460</v>
      </c>
      <c r="GN165" s="76">
        <v>143</v>
      </c>
      <c r="GO165" s="76">
        <v>0</v>
      </c>
      <c r="GP165" s="76">
        <v>200</v>
      </c>
      <c r="GQ165" s="76">
        <v>0</v>
      </c>
      <c r="GR165" s="76">
        <v>2101</v>
      </c>
      <c r="GS165" s="76">
        <v>0</v>
      </c>
      <c r="GT165" s="76">
        <v>0</v>
      </c>
      <c r="GU165" s="76">
        <v>0</v>
      </c>
      <c r="GV165" s="76">
        <v>0</v>
      </c>
      <c r="GW165" s="76">
        <v>112</v>
      </c>
      <c r="GX165" s="76">
        <v>3016</v>
      </c>
      <c r="GY165" s="76">
        <v>725</v>
      </c>
      <c r="GZ165" s="76">
        <v>0</v>
      </c>
      <c r="HA165" s="76">
        <v>0</v>
      </c>
      <c r="HB165" s="76">
        <v>190</v>
      </c>
      <c r="HC165" s="76">
        <v>915</v>
      </c>
      <c r="HD165" s="76">
        <v>0</v>
      </c>
      <c r="HE165" s="76">
        <v>0</v>
      </c>
      <c r="HF165" s="76">
        <v>0</v>
      </c>
      <c r="HG165" s="76">
        <v>3892</v>
      </c>
      <c r="HH165" s="76">
        <v>0</v>
      </c>
      <c r="HI165" s="76">
        <v>17</v>
      </c>
      <c r="HJ165" s="76">
        <v>0</v>
      </c>
      <c r="HK165" s="76">
        <v>0</v>
      </c>
      <c r="HL165" s="76">
        <v>0</v>
      </c>
      <c r="HM165" s="76">
        <v>3909</v>
      </c>
      <c r="HN165" s="76">
        <v>1338</v>
      </c>
      <c r="HO165" s="76">
        <v>1990</v>
      </c>
      <c r="HP165" s="76">
        <v>0</v>
      </c>
      <c r="HQ165" s="76">
        <v>19</v>
      </c>
      <c r="HR165" s="76">
        <v>-12</v>
      </c>
      <c r="HS165" s="76">
        <v>45</v>
      </c>
      <c r="HT165" s="76">
        <v>2296</v>
      </c>
      <c r="HU165" s="76">
        <v>0</v>
      </c>
      <c r="HV165" s="76">
        <v>0</v>
      </c>
      <c r="HW165" s="76">
        <v>20</v>
      </c>
      <c r="HX165" s="76">
        <v>20</v>
      </c>
    </row>
    <row r="166" spans="1:232" x14ac:dyDescent="0.2">
      <c r="A166" s="74" t="s">
        <v>643</v>
      </c>
      <c r="B166" s="74" t="s">
        <v>644</v>
      </c>
      <c r="C166" s="75" t="s">
        <v>200</v>
      </c>
      <c r="D166" s="75">
        <v>12</v>
      </c>
      <c r="E166" s="76">
        <v>32407</v>
      </c>
      <c r="F166" s="76">
        <v>-95</v>
      </c>
      <c r="G166" s="76">
        <v>-17759</v>
      </c>
      <c r="H166" s="76">
        <v>14553</v>
      </c>
      <c r="I166" s="76">
        <v>4886</v>
      </c>
      <c r="J166" s="76">
        <v>0</v>
      </c>
      <c r="K166" s="76">
        <v>0</v>
      </c>
      <c r="L166" s="76">
        <v>0</v>
      </c>
      <c r="M166" s="76">
        <v>271</v>
      </c>
      <c r="N166" s="76">
        <v>-8952</v>
      </c>
      <c r="O166" s="76">
        <v>0</v>
      </c>
      <c r="P166" s="76">
        <v>0</v>
      </c>
      <c r="Q166" s="76">
        <v>0</v>
      </c>
      <c r="R166" s="76">
        <v>0</v>
      </c>
      <c r="S166" s="76">
        <v>10758</v>
      </c>
      <c r="T166" s="76">
        <v>-66</v>
      </c>
      <c r="U166" s="76">
        <v>10692</v>
      </c>
      <c r="V166" s="76">
        <v>0</v>
      </c>
      <c r="W166" s="76">
        <v>-5033</v>
      </c>
      <c r="X166" s="76">
        <v>0</v>
      </c>
      <c r="Y166" s="76">
        <v>0</v>
      </c>
      <c r="Z166" s="76">
        <v>5659</v>
      </c>
      <c r="AA166" s="76">
        <v>27953</v>
      </c>
      <c r="AB166" s="76">
        <v>1357</v>
      </c>
      <c r="AC166" s="76">
        <v>29310</v>
      </c>
      <c r="AD166" s="76">
        <v>358</v>
      </c>
      <c r="AE166" s="76">
        <v>0</v>
      </c>
      <c r="AF166" s="76">
        <v>0</v>
      </c>
      <c r="AG166" s="76">
        <v>0</v>
      </c>
      <c r="AH166" s="76">
        <v>29668</v>
      </c>
      <c r="AI166" s="76">
        <v>5559</v>
      </c>
      <c r="AJ166" s="76">
        <v>1357</v>
      </c>
      <c r="AK166" s="76">
        <v>5324</v>
      </c>
      <c r="AL166" s="76">
        <v>311</v>
      </c>
      <c r="AM166" s="76">
        <v>363</v>
      </c>
      <c r="AN166" s="76">
        <v>256</v>
      </c>
      <c r="AO166" s="76">
        <v>2686</v>
      </c>
      <c r="AP166" s="76">
        <v>0</v>
      </c>
      <c r="AQ166" s="76">
        <v>58</v>
      </c>
      <c r="AR166" s="76">
        <v>15914</v>
      </c>
      <c r="AS166" s="76">
        <v>13754</v>
      </c>
      <c r="AT166" s="76">
        <v>256</v>
      </c>
      <c r="AU166" s="76">
        <v>232191</v>
      </c>
      <c r="AV166" s="76">
        <v>0</v>
      </c>
      <c r="AW166" s="76">
        <v>7202</v>
      </c>
      <c r="AX166" s="76">
        <v>0</v>
      </c>
      <c r="AY166" s="76">
        <v>0</v>
      </c>
      <c r="AZ166" s="76">
        <v>0</v>
      </c>
      <c r="BA166" s="76">
        <v>0</v>
      </c>
      <c r="BB166" s="76">
        <v>0</v>
      </c>
      <c r="BC166" s="76">
        <v>0</v>
      </c>
      <c r="BD166" s="76">
        <v>0</v>
      </c>
      <c r="BE166" s="76">
        <v>239393</v>
      </c>
      <c r="BF166" s="76">
        <v>61</v>
      </c>
      <c r="BG166" s="76">
        <v>2799</v>
      </c>
      <c r="BH166" s="76">
        <v>11453</v>
      </c>
      <c r="BI166" s="76">
        <v>25000</v>
      </c>
      <c r="BJ166" s="76">
        <v>3553</v>
      </c>
      <c r="BK166" s="76">
        <v>42866</v>
      </c>
      <c r="BL166" s="76">
        <v>0</v>
      </c>
      <c r="BM166" s="76">
        <v>0</v>
      </c>
      <c r="BN166" s="76">
        <v>0</v>
      </c>
      <c r="BO166" s="76">
        <v>8895</v>
      </c>
      <c r="BP166" s="76">
        <v>8895</v>
      </c>
      <c r="BQ166" s="76">
        <v>33971</v>
      </c>
      <c r="BR166" s="76">
        <v>273364</v>
      </c>
      <c r="BS166" s="76">
        <v>165917</v>
      </c>
      <c r="BT166" s="76">
        <v>0</v>
      </c>
      <c r="BU166" s="76">
        <v>0</v>
      </c>
      <c r="BV166" s="76">
        <v>35988</v>
      </c>
      <c r="BW166" s="76">
        <v>0</v>
      </c>
      <c r="BX166" s="76">
        <v>0</v>
      </c>
      <c r="BY166" s="76">
        <v>1722</v>
      </c>
      <c r="BZ166" s="76">
        <v>203627</v>
      </c>
      <c r="CA166" s="76">
        <v>10186</v>
      </c>
      <c r="CB166" s="76">
        <v>1949</v>
      </c>
      <c r="CC166" s="76">
        <v>57602</v>
      </c>
      <c r="CD166" s="76">
        <v>57602</v>
      </c>
      <c r="CE166" s="76">
        <v>0</v>
      </c>
      <c r="CF166" s="76">
        <v>0</v>
      </c>
      <c r="CG166" s="76">
        <v>0</v>
      </c>
      <c r="CH166" s="76">
        <v>0</v>
      </c>
      <c r="CI166" s="76">
        <v>57602</v>
      </c>
      <c r="CJ166" s="76">
        <v>95</v>
      </c>
      <c r="CK166" s="76">
        <v>95</v>
      </c>
      <c r="CL166" s="76">
        <v>0</v>
      </c>
      <c r="CM166" s="76">
        <v>0</v>
      </c>
      <c r="CN166" s="76">
        <v>186</v>
      </c>
      <c r="CO166" s="76">
        <v>0</v>
      </c>
      <c r="CP166" s="76">
        <v>186</v>
      </c>
      <c r="CQ166" s="76">
        <v>0</v>
      </c>
      <c r="CR166" s="76">
        <v>0</v>
      </c>
      <c r="CS166" s="76">
        <v>0</v>
      </c>
      <c r="CT166" s="76">
        <v>0</v>
      </c>
      <c r="CU166" s="76">
        <v>0</v>
      </c>
      <c r="CV166" s="76">
        <v>0</v>
      </c>
      <c r="CW166" s="76">
        <v>0</v>
      </c>
      <c r="CX166" s="76">
        <v>0</v>
      </c>
      <c r="CY166" s="76">
        <v>0</v>
      </c>
      <c r="CZ166" s="76">
        <v>583</v>
      </c>
      <c r="DA166" s="76">
        <v>0</v>
      </c>
      <c r="DB166" s="76">
        <v>598</v>
      </c>
      <c r="DC166" s="76">
        <v>-15</v>
      </c>
      <c r="DD166" s="76">
        <v>864</v>
      </c>
      <c r="DE166" s="76">
        <v>95</v>
      </c>
      <c r="DF166" s="76">
        <v>784</v>
      </c>
      <c r="DG166" s="76">
        <v>-15</v>
      </c>
      <c r="DH166" s="76">
        <v>0</v>
      </c>
      <c r="DI166" s="76">
        <v>0</v>
      </c>
      <c r="DJ166" s="76">
        <v>0</v>
      </c>
      <c r="DK166" s="76">
        <v>0</v>
      </c>
      <c r="DL166" s="76">
        <v>0</v>
      </c>
      <c r="DM166" s="76">
        <v>0</v>
      </c>
      <c r="DN166" s="76">
        <v>0</v>
      </c>
      <c r="DO166" s="76">
        <v>0</v>
      </c>
      <c r="DP166" s="76">
        <v>0</v>
      </c>
      <c r="DQ166" s="76">
        <v>0</v>
      </c>
      <c r="DR166" s="76">
        <v>0</v>
      </c>
      <c r="DS166" s="76">
        <v>0</v>
      </c>
      <c r="DT166" s="76">
        <v>0</v>
      </c>
      <c r="DU166" s="76">
        <v>0</v>
      </c>
      <c r="DV166" s="76">
        <v>0</v>
      </c>
      <c r="DW166" s="76">
        <v>0</v>
      </c>
      <c r="DX166" s="76">
        <v>0</v>
      </c>
      <c r="DY166" s="76">
        <v>0</v>
      </c>
      <c r="DZ166" s="76">
        <v>0</v>
      </c>
      <c r="EA166" s="76">
        <v>0</v>
      </c>
      <c r="EB166" s="76">
        <v>1875</v>
      </c>
      <c r="EC166" s="76">
        <v>0</v>
      </c>
      <c r="ED166" s="76">
        <v>1061</v>
      </c>
      <c r="EE166" s="76">
        <v>814</v>
      </c>
      <c r="EF166" s="76">
        <v>1875</v>
      </c>
      <c r="EG166" s="76">
        <v>0</v>
      </c>
      <c r="EH166" s="76">
        <v>1061</v>
      </c>
      <c r="EI166" s="76">
        <v>814</v>
      </c>
      <c r="EJ166" s="76">
        <v>2739</v>
      </c>
      <c r="EK166" s="76">
        <v>95</v>
      </c>
      <c r="EL166" s="76">
        <v>1845</v>
      </c>
      <c r="EM166" s="76">
        <v>799</v>
      </c>
      <c r="EN166" s="76">
        <v>797</v>
      </c>
      <c r="EO166" s="76">
        <v>370</v>
      </c>
      <c r="EP166" s="76">
        <v>554</v>
      </c>
      <c r="EQ166" s="76">
        <v>370</v>
      </c>
      <c r="ER166" s="76">
        <v>222177</v>
      </c>
      <c r="ES166" s="76">
        <v>0</v>
      </c>
      <c r="ET166" s="76">
        <v>222177</v>
      </c>
      <c r="EU166" s="76">
        <v>26201</v>
      </c>
      <c r="EV166" s="76">
        <v>-371</v>
      </c>
      <c r="EW166" s="76">
        <v>0</v>
      </c>
      <c r="EX166" s="76">
        <v>0</v>
      </c>
      <c r="EY166" s="76">
        <v>0</v>
      </c>
      <c r="EZ166" s="76">
        <v>248007</v>
      </c>
      <c r="FA166" s="76">
        <v>13457</v>
      </c>
      <c r="FB166" s="76">
        <v>2359</v>
      </c>
      <c r="FC166" s="76">
        <v>0</v>
      </c>
      <c r="FD166" s="76">
        <v>0</v>
      </c>
      <c r="FE166" s="76">
        <v>0</v>
      </c>
      <c r="FF166" s="76">
        <v>0</v>
      </c>
      <c r="FG166" s="76">
        <v>0</v>
      </c>
      <c r="FH166" s="76">
        <v>15816</v>
      </c>
      <c r="FI166" s="76">
        <v>232191</v>
      </c>
      <c r="FJ166" s="76">
        <v>208720</v>
      </c>
      <c r="FK166" s="76">
        <v>300</v>
      </c>
      <c r="FL166" s="76">
        <v>0</v>
      </c>
      <c r="FM166" s="76">
        <v>300</v>
      </c>
      <c r="FN166" s="76">
        <v>802</v>
      </c>
      <c r="FO166" s="76">
        <v>696</v>
      </c>
      <c r="FP166" s="76">
        <v>106</v>
      </c>
      <c r="FQ166" s="76">
        <v>0</v>
      </c>
      <c r="FR166" s="76">
        <v>0</v>
      </c>
      <c r="FS166" s="76">
        <v>0</v>
      </c>
      <c r="FT166" s="76">
        <v>4536</v>
      </c>
      <c r="FU166" s="76">
        <v>70</v>
      </c>
      <c r="FV166" s="76">
        <v>4466</v>
      </c>
      <c r="FW166" s="76">
        <v>0</v>
      </c>
      <c r="FX166" s="76">
        <v>0</v>
      </c>
      <c r="FY166" s="76">
        <v>0</v>
      </c>
      <c r="FZ166" s="76">
        <v>14</v>
      </c>
      <c r="GA166" s="76">
        <v>0</v>
      </c>
      <c r="GB166" s="76">
        <v>14</v>
      </c>
      <c r="GC166" s="76">
        <v>5652</v>
      </c>
      <c r="GD166" s="76">
        <v>766</v>
      </c>
      <c r="GE166" s="76">
        <v>4886</v>
      </c>
      <c r="GF166" s="76">
        <v>0</v>
      </c>
      <c r="GG166" s="76">
        <v>0</v>
      </c>
      <c r="GH166" s="76">
        <v>0</v>
      </c>
      <c r="GI166" s="76">
        <v>0</v>
      </c>
      <c r="GJ166" s="76">
        <v>0</v>
      </c>
      <c r="GK166" s="76">
        <v>3553</v>
      </c>
      <c r="GL166" s="76">
        <v>3553</v>
      </c>
      <c r="GM166" s="76">
        <v>677</v>
      </c>
      <c r="GN166" s="76">
        <v>454</v>
      </c>
      <c r="GO166" s="76">
        <v>0</v>
      </c>
      <c r="GP166" s="76">
        <v>0</v>
      </c>
      <c r="GQ166" s="76">
        <v>0</v>
      </c>
      <c r="GR166" s="76">
        <v>4248</v>
      </c>
      <c r="GS166" s="76">
        <v>0</v>
      </c>
      <c r="GT166" s="76">
        <v>0</v>
      </c>
      <c r="GU166" s="76">
        <v>0</v>
      </c>
      <c r="GV166" s="76">
        <v>0</v>
      </c>
      <c r="GW166" s="76">
        <v>3516</v>
      </c>
      <c r="GX166" s="76">
        <v>8895</v>
      </c>
      <c r="GY166" s="76">
        <v>149</v>
      </c>
      <c r="GZ166" s="76">
        <v>0</v>
      </c>
      <c r="HA166" s="76">
        <v>0</v>
      </c>
      <c r="HB166" s="76">
        <v>1573</v>
      </c>
      <c r="HC166" s="76">
        <v>1722</v>
      </c>
      <c r="HD166" s="76">
        <v>0</v>
      </c>
      <c r="HE166" s="76">
        <v>1949</v>
      </c>
      <c r="HF166" s="76">
        <v>1949</v>
      </c>
      <c r="HG166" s="76">
        <v>8802</v>
      </c>
      <c r="HH166" s="76">
        <v>-23</v>
      </c>
      <c r="HI166" s="76">
        <v>173</v>
      </c>
      <c r="HJ166" s="76">
        <v>0</v>
      </c>
      <c r="HK166" s="76">
        <v>0</v>
      </c>
      <c r="HL166" s="76">
        <v>0</v>
      </c>
      <c r="HM166" s="76">
        <v>8952</v>
      </c>
      <c r="HN166" s="76">
        <v>1967</v>
      </c>
      <c r="HO166" s="76">
        <v>3091</v>
      </c>
      <c r="HP166" s="76">
        <v>0</v>
      </c>
      <c r="HQ166" s="76">
        <v>325</v>
      </c>
      <c r="HR166" s="76">
        <v>-47</v>
      </c>
      <c r="HS166" s="76">
        <v>0</v>
      </c>
      <c r="HT166" s="76">
        <v>6009</v>
      </c>
      <c r="HU166" s="76">
        <v>0</v>
      </c>
      <c r="HV166" s="76">
        <v>0</v>
      </c>
      <c r="HW166" s="76">
        <v>0</v>
      </c>
      <c r="HX166" s="76">
        <v>0</v>
      </c>
    </row>
    <row r="167" spans="1:232" x14ac:dyDescent="0.2">
      <c r="A167" s="74" t="s">
        <v>866</v>
      </c>
      <c r="B167" s="74" t="s">
        <v>158</v>
      </c>
      <c r="C167" s="75" t="s">
        <v>200</v>
      </c>
      <c r="D167" s="75">
        <v>12</v>
      </c>
      <c r="E167" s="76">
        <v>47549</v>
      </c>
      <c r="F167" s="76">
        <v>0</v>
      </c>
      <c r="G167" s="76">
        <v>-39098</v>
      </c>
      <c r="H167" s="76">
        <v>8451</v>
      </c>
      <c r="I167" s="76">
        <v>1551</v>
      </c>
      <c r="J167" s="76">
        <v>0</v>
      </c>
      <c r="K167" s="76">
        <v>0</v>
      </c>
      <c r="L167" s="76">
        <v>0</v>
      </c>
      <c r="M167" s="76">
        <v>10</v>
      </c>
      <c r="N167" s="76">
        <v>-1725</v>
      </c>
      <c r="O167" s="76">
        <v>0</v>
      </c>
      <c r="P167" s="76">
        <v>0</v>
      </c>
      <c r="Q167" s="76">
        <v>0</v>
      </c>
      <c r="R167" s="76">
        <v>0</v>
      </c>
      <c r="S167" s="76">
        <v>8287</v>
      </c>
      <c r="T167" s="76">
        <v>0</v>
      </c>
      <c r="U167" s="76">
        <v>8287</v>
      </c>
      <c r="V167" s="76">
        <v>0</v>
      </c>
      <c r="W167" s="76">
        <v>-2391</v>
      </c>
      <c r="X167" s="76">
        <v>0</v>
      </c>
      <c r="Y167" s="76">
        <v>0</v>
      </c>
      <c r="Z167" s="76">
        <v>5896</v>
      </c>
      <c r="AA167" s="76">
        <v>32483</v>
      </c>
      <c r="AB167" s="76">
        <v>1828</v>
      </c>
      <c r="AC167" s="76">
        <v>34311</v>
      </c>
      <c r="AD167" s="76">
        <v>9</v>
      </c>
      <c r="AE167" s="76">
        <v>0</v>
      </c>
      <c r="AF167" s="76">
        <v>0</v>
      </c>
      <c r="AG167" s="76">
        <v>7437</v>
      </c>
      <c r="AH167" s="76">
        <v>41757</v>
      </c>
      <c r="AI167" s="76">
        <v>9310</v>
      </c>
      <c r="AJ167" s="76">
        <v>1891</v>
      </c>
      <c r="AK167" s="76">
        <v>7210</v>
      </c>
      <c r="AL167" s="76">
        <v>3188</v>
      </c>
      <c r="AM167" s="76">
        <v>4057</v>
      </c>
      <c r="AN167" s="76">
        <v>216</v>
      </c>
      <c r="AO167" s="76">
        <v>1241</v>
      </c>
      <c r="AP167" s="76">
        <v>0</v>
      </c>
      <c r="AQ167" s="76">
        <v>6270</v>
      </c>
      <c r="AR167" s="76">
        <v>33383</v>
      </c>
      <c r="AS167" s="76">
        <v>8374</v>
      </c>
      <c r="AT167" s="76">
        <v>294</v>
      </c>
      <c r="AU167" s="76">
        <v>79527</v>
      </c>
      <c r="AV167" s="76">
        <v>0</v>
      </c>
      <c r="AW167" s="76">
        <v>277</v>
      </c>
      <c r="AX167" s="76">
        <v>0</v>
      </c>
      <c r="AY167" s="76">
        <v>0</v>
      </c>
      <c r="AZ167" s="76">
        <v>0</v>
      </c>
      <c r="BA167" s="76">
        <v>0</v>
      </c>
      <c r="BB167" s="76">
        <v>0</v>
      </c>
      <c r="BC167" s="76">
        <v>0</v>
      </c>
      <c r="BD167" s="76">
        <v>0</v>
      </c>
      <c r="BE167" s="76">
        <v>79804</v>
      </c>
      <c r="BF167" s="76">
        <v>0</v>
      </c>
      <c r="BG167" s="76">
        <v>3628</v>
      </c>
      <c r="BH167" s="76">
        <v>2862</v>
      </c>
      <c r="BI167" s="76">
        <v>0</v>
      </c>
      <c r="BJ167" s="76">
        <v>125850</v>
      </c>
      <c r="BK167" s="76">
        <v>132340</v>
      </c>
      <c r="BL167" s="76">
        <v>0</v>
      </c>
      <c r="BM167" s="76">
        <v>0</v>
      </c>
      <c r="BN167" s="76">
        <v>5</v>
      </c>
      <c r="BO167" s="76">
        <v>7044</v>
      </c>
      <c r="BP167" s="76">
        <v>7049</v>
      </c>
      <c r="BQ167" s="76">
        <v>125291</v>
      </c>
      <c r="BR167" s="76">
        <v>205095</v>
      </c>
      <c r="BS167" s="76">
        <v>28920</v>
      </c>
      <c r="BT167" s="76">
        <v>0</v>
      </c>
      <c r="BU167" s="76">
        <v>0</v>
      </c>
      <c r="BV167" s="76">
        <v>309</v>
      </c>
      <c r="BW167" s="76">
        <v>0</v>
      </c>
      <c r="BX167" s="76">
        <v>0</v>
      </c>
      <c r="BY167" s="76">
        <v>1177</v>
      </c>
      <c r="BZ167" s="76">
        <v>30406</v>
      </c>
      <c r="CA167" s="76">
        <v>5606</v>
      </c>
      <c r="CB167" s="76">
        <v>125537</v>
      </c>
      <c r="CC167" s="76">
        <v>43546</v>
      </c>
      <c r="CD167" s="76">
        <v>43546</v>
      </c>
      <c r="CE167" s="76">
        <v>0</v>
      </c>
      <c r="CF167" s="76">
        <v>0</v>
      </c>
      <c r="CG167" s="76">
        <v>0</v>
      </c>
      <c r="CH167" s="76">
        <v>0</v>
      </c>
      <c r="CI167" s="76">
        <v>43546</v>
      </c>
      <c r="CJ167" s="76">
        <v>0</v>
      </c>
      <c r="CK167" s="76">
        <v>0</v>
      </c>
      <c r="CL167" s="76">
        <v>0</v>
      </c>
      <c r="CM167" s="76">
        <v>0</v>
      </c>
      <c r="CN167" s="76">
        <v>0</v>
      </c>
      <c r="CO167" s="76">
        <v>0</v>
      </c>
      <c r="CP167" s="76">
        <v>0</v>
      </c>
      <c r="CQ167" s="76">
        <v>0</v>
      </c>
      <c r="CR167" s="76">
        <v>0</v>
      </c>
      <c r="CS167" s="76">
        <v>0</v>
      </c>
      <c r="CT167" s="76">
        <v>172</v>
      </c>
      <c r="CU167" s="76">
        <v>-172</v>
      </c>
      <c r="CV167" s="76">
        <v>0</v>
      </c>
      <c r="CW167" s="76">
        <v>0</v>
      </c>
      <c r="CX167" s="76">
        <v>0</v>
      </c>
      <c r="CY167" s="76">
        <v>0</v>
      </c>
      <c r="CZ167" s="76">
        <v>4270</v>
      </c>
      <c r="DA167" s="76">
        <v>0</v>
      </c>
      <c r="DB167" s="76">
        <v>3723</v>
      </c>
      <c r="DC167" s="76">
        <v>547</v>
      </c>
      <c r="DD167" s="76">
        <v>4270</v>
      </c>
      <c r="DE167" s="76">
        <v>0</v>
      </c>
      <c r="DF167" s="76">
        <v>3895</v>
      </c>
      <c r="DG167" s="76">
        <v>375</v>
      </c>
      <c r="DH167" s="76">
        <v>0</v>
      </c>
      <c r="DI167" s="76">
        <v>0</v>
      </c>
      <c r="DJ167" s="76">
        <v>0</v>
      </c>
      <c r="DK167" s="76">
        <v>0</v>
      </c>
      <c r="DL167" s="76">
        <v>0</v>
      </c>
      <c r="DM167" s="76">
        <v>0</v>
      </c>
      <c r="DN167" s="76">
        <v>0</v>
      </c>
      <c r="DO167" s="76">
        <v>0</v>
      </c>
      <c r="DP167" s="76">
        <v>0</v>
      </c>
      <c r="DQ167" s="76">
        <v>0</v>
      </c>
      <c r="DR167" s="76">
        <v>0</v>
      </c>
      <c r="DS167" s="76">
        <v>0</v>
      </c>
      <c r="DT167" s="76">
        <v>0</v>
      </c>
      <c r="DU167" s="76">
        <v>0</v>
      </c>
      <c r="DV167" s="76">
        <v>0</v>
      </c>
      <c r="DW167" s="76">
        <v>0</v>
      </c>
      <c r="DX167" s="76">
        <v>0</v>
      </c>
      <c r="DY167" s="76">
        <v>0</v>
      </c>
      <c r="DZ167" s="76">
        <v>0</v>
      </c>
      <c r="EA167" s="76">
        <v>0</v>
      </c>
      <c r="EB167" s="76">
        <v>1522</v>
      </c>
      <c r="EC167" s="76">
        <v>0</v>
      </c>
      <c r="ED167" s="76">
        <v>1820</v>
      </c>
      <c r="EE167" s="76">
        <v>-298</v>
      </c>
      <c r="EF167" s="76">
        <v>1522</v>
      </c>
      <c r="EG167" s="76">
        <v>0</v>
      </c>
      <c r="EH167" s="76">
        <v>1820</v>
      </c>
      <c r="EI167" s="76">
        <v>-298</v>
      </c>
      <c r="EJ167" s="76">
        <v>5792</v>
      </c>
      <c r="EK167" s="76">
        <v>0</v>
      </c>
      <c r="EL167" s="76">
        <v>5715</v>
      </c>
      <c r="EM167" s="76">
        <v>77</v>
      </c>
      <c r="EN167" s="76">
        <v>910</v>
      </c>
      <c r="EO167" s="76">
        <v>450</v>
      </c>
      <c r="EP167" s="76">
        <v>135</v>
      </c>
      <c r="EQ167" s="76">
        <v>428</v>
      </c>
      <c r="ER167" s="76">
        <v>69039</v>
      </c>
      <c r="ES167" s="76">
        <v>0</v>
      </c>
      <c r="ET167" s="76">
        <v>69039</v>
      </c>
      <c r="EU167" s="76">
        <v>13134</v>
      </c>
      <c r="EV167" s="76">
        <v>-684</v>
      </c>
      <c r="EW167" s="76">
        <v>0</v>
      </c>
      <c r="EX167" s="76">
        <v>0</v>
      </c>
      <c r="EY167" s="76">
        <v>0</v>
      </c>
      <c r="EZ167" s="76">
        <v>81489</v>
      </c>
      <c r="FA167" s="76">
        <v>734</v>
      </c>
      <c r="FB167" s="76">
        <v>1241</v>
      </c>
      <c r="FC167" s="76">
        <v>0</v>
      </c>
      <c r="FD167" s="76">
        <v>0</v>
      </c>
      <c r="FE167" s="76">
        <v>-13</v>
      </c>
      <c r="FF167" s="76">
        <v>0</v>
      </c>
      <c r="FG167" s="76">
        <v>0</v>
      </c>
      <c r="FH167" s="76">
        <v>1962</v>
      </c>
      <c r="FI167" s="76">
        <v>79527</v>
      </c>
      <c r="FJ167" s="76">
        <v>68305</v>
      </c>
      <c r="FK167" s="76">
        <v>0</v>
      </c>
      <c r="FL167" s="76">
        <v>0</v>
      </c>
      <c r="FM167" s="76">
        <v>0</v>
      </c>
      <c r="FN167" s="76">
        <v>2831</v>
      </c>
      <c r="FO167" s="76">
        <v>1280</v>
      </c>
      <c r="FP167" s="76">
        <v>1551</v>
      </c>
      <c r="FQ167" s="76">
        <v>0</v>
      </c>
      <c r="FR167" s="76">
        <v>0</v>
      </c>
      <c r="FS167" s="76">
        <v>0</v>
      </c>
      <c r="FT167" s="76">
        <v>0</v>
      </c>
      <c r="FU167" s="76">
        <v>0</v>
      </c>
      <c r="FV167" s="76">
        <v>0</v>
      </c>
      <c r="FW167" s="76">
        <v>0</v>
      </c>
      <c r="FX167" s="76">
        <v>0</v>
      </c>
      <c r="FY167" s="76">
        <v>0</v>
      </c>
      <c r="FZ167" s="76">
        <v>0</v>
      </c>
      <c r="GA167" s="76">
        <v>0</v>
      </c>
      <c r="GB167" s="76">
        <v>0</v>
      </c>
      <c r="GC167" s="76">
        <v>2831</v>
      </c>
      <c r="GD167" s="76">
        <v>1280</v>
      </c>
      <c r="GE167" s="76">
        <v>1551</v>
      </c>
      <c r="GF167" s="76">
        <v>0</v>
      </c>
      <c r="GG167" s="76">
        <v>0</v>
      </c>
      <c r="GH167" s="76">
        <v>313</v>
      </c>
      <c r="GI167" s="76">
        <v>125537</v>
      </c>
      <c r="GJ167" s="76">
        <v>0</v>
      </c>
      <c r="GK167" s="76">
        <v>0</v>
      </c>
      <c r="GL167" s="76">
        <v>125850</v>
      </c>
      <c r="GM167" s="76">
        <v>3071</v>
      </c>
      <c r="GN167" s="76">
        <v>1331</v>
      </c>
      <c r="GO167" s="76">
        <v>0</v>
      </c>
      <c r="GP167" s="76">
        <v>0</v>
      </c>
      <c r="GQ167" s="76">
        <v>0</v>
      </c>
      <c r="GR167" s="76">
        <v>1516</v>
      </c>
      <c r="GS167" s="76">
        <v>0</v>
      </c>
      <c r="GT167" s="76">
        <v>0</v>
      </c>
      <c r="GU167" s="76">
        <v>0</v>
      </c>
      <c r="GV167" s="76">
        <v>0</v>
      </c>
      <c r="GW167" s="76">
        <v>1131</v>
      </c>
      <c r="GX167" s="76">
        <v>7049</v>
      </c>
      <c r="GY167" s="76">
        <v>0</v>
      </c>
      <c r="GZ167" s="76">
        <v>1177</v>
      </c>
      <c r="HA167" s="76">
        <v>0</v>
      </c>
      <c r="HB167" s="76">
        <v>0</v>
      </c>
      <c r="HC167" s="76">
        <v>1177</v>
      </c>
      <c r="HD167" s="76">
        <v>125537</v>
      </c>
      <c r="HE167" s="76">
        <v>0</v>
      </c>
      <c r="HF167" s="76">
        <v>125537</v>
      </c>
      <c r="HG167" s="76">
        <v>1457</v>
      </c>
      <c r="HH167" s="76">
        <v>157</v>
      </c>
      <c r="HI167" s="76">
        <v>111</v>
      </c>
      <c r="HJ167" s="76">
        <v>0</v>
      </c>
      <c r="HK167" s="76">
        <v>0</v>
      </c>
      <c r="HL167" s="76">
        <v>0</v>
      </c>
      <c r="HM167" s="76">
        <v>1725</v>
      </c>
      <c r="HN167" s="76">
        <v>11422</v>
      </c>
      <c r="HO167" s="76">
        <v>1341</v>
      </c>
      <c r="HP167" s="76">
        <v>0</v>
      </c>
      <c r="HQ167" s="76">
        <v>0</v>
      </c>
      <c r="HR167" s="76">
        <v>-83</v>
      </c>
      <c r="HS167" s="76">
        <v>-10</v>
      </c>
      <c r="HT167" s="76">
        <v>8353</v>
      </c>
      <c r="HU167" s="76">
        <v>0</v>
      </c>
      <c r="HV167" s="76">
        <v>0</v>
      </c>
      <c r="HW167" s="76">
        <v>28</v>
      </c>
      <c r="HX167" s="76">
        <v>535</v>
      </c>
    </row>
    <row r="168" spans="1:232" x14ac:dyDescent="0.2">
      <c r="A168" s="74" t="s">
        <v>646</v>
      </c>
      <c r="B168" s="74" t="s">
        <v>647</v>
      </c>
      <c r="C168" s="75" t="s">
        <v>200</v>
      </c>
      <c r="D168" s="75">
        <v>12</v>
      </c>
      <c r="E168" s="76">
        <v>40325</v>
      </c>
      <c r="F168" s="76">
        <v>0</v>
      </c>
      <c r="G168" s="76">
        <v>-35703</v>
      </c>
      <c r="H168" s="76">
        <v>4622</v>
      </c>
      <c r="I168" s="76">
        <v>333</v>
      </c>
      <c r="J168" s="76">
        <v>0</v>
      </c>
      <c r="K168" s="76">
        <v>0</v>
      </c>
      <c r="L168" s="76">
        <v>0</v>
      </c>
      <c r="M168" s="76">
        <v>57</v>
      </c>
      <c r="N168" s="76">
        <v>-1286</v>
      </c>
      <c r="O168" s="76">
        <v>0</v>
      </c>
      <c r="P168" s="76">
        <v>0</v>
      </c>
      <c r="Q168" s="76">
        <v>0</v>
      </c>
      <c r="R168" s="76">
        <v>0</v>
      </c>
      <c r="S168" s="76">
        <v>3726</v>
      </c>
      <c r="T168" s="76">
        <v>0</v>
      </c>
      <c r="U168" s="76">
        <v>3726</v>
      </c>
      <c r="V168" s="76">
        <v>0</v>
      </c>
      <c r="W168" s="76">
        <v>0</v>
      </c>
      <c r="X168" s="76">
        <v>0</v>
      </c>
      <c r="Y168" s="76">
        <v>0</v>
      </c>
      <c r="Z168" s="76">
        <v>3726</v>
      </c>
      <c r="AA168" s="76">
        <v>14469</v>
      </c>
      <c r="AB168" s="76">
        <v>11113</v>
      </c>
      <c r="AC168" s="76">
        <v>25582</v>
      </c>
      <c r="AD168" s="76">
        <v>2540</v>
      </c>
      <c r="AE168" s="76">
        <v>0</v>
      </c>
      <c r="AF168" s="76">
        <v>86</v>
      </c>
      <c r="AG168" s="76">
        <v>164</v>
      </c>
      <c r="AH168" s="76">
        <v>28372</v>
      </c>
      <c r="AI168" s="76">
        <v>4289</v>
      </c>
      <c r="AJ168" s="76">
        <v>10150</v>
      </c>
      <c r="AK168" s="76">
        <v>2460</v>
      </c>
      <c r="AL168" s="76">
        <v>434</v>
      </c>
      <c r="AM168" s="76">
        <v>1039</v>
      </c>
      <c r="AN168" s="76">
        <v>131</v>
      </c>
      <c r="AO168" s="76">
        <v>3615</v>
      </c>
      <c r="AP168" s="76">
        <v>0</v>
      </c>
      <c r="AQ168" s="76">
        <v>114</v>
      </c>
      <c r="AR168" s="76">
        <v>22232</v>
      </c>
      <c r="AS168" s="76">
        <v>6140</v>
      </c>
      <c r="AT168" s="76">
        <v>1420</v>
      </c>
      <c r="AU168" s="76">
        <v>145554</v>
      </c>
      <c r="AV168" s="76">
        <v>0</v>
      </c>
      <c r="AW168" s="76">
        <v>1052</v>
      </c>
      <c r="AX168" s="76">
        <v>0</v>
      </c>
      <c r="AY168" s="76">
        <v>0</v>
      </c>
      <c r="AZ168" s="76">
        <v>0</v>
      </c>
      <c r="BA168" s="76">
        <v>0</v>
      </c>
      <c r="BB168" s="76">
        <v>0</v>
      </c>
      <c r="BC168" s="76">
        <v>0</v>
      </c>
      <c r="BD168" s="76">
        <v>0</v>
      </c>
      <c r="BE168" s="76">
        <v>146606</v>
      </c>
      <c r="BF168" s="76">
        <v>0</v>
      </c>
      <c r="BG168" s="76">
        <v>0</v>
      </c>
      <c r="BH168" s="76">
        <v>17706</v>
      </c>
      <c r="BI168" s="76">
        <v>0</v>
      </c>
      <c r="BJ168" s="76">
        <v>1979</v>
      </c>
      <c r="BK168" s="76">
        <v>19685</v>
      </c>
      <c r="BL168" s="76">
        <v>2012</v>
      </c>
      <c r="BM168" s="76">
        <v>0</v>
      </c>
      <c r="BN168" s="76">
        <v>2567</v>
      </c>
      <c r="BO168" s="76">
        <v>3573</v>
      </c>
      <c r="BP168" s="76">
        <v>8152</v>
      </c>
      <c r="BQ168" s="76">
        <v>11533</v>
      </c>
      <c r="BR168" s="76">
        <v>158139</v>
      </c>
      <c r="BS168" s="76">
        <v>25923</v>
      </c>
      <c r="BT168" s="76">
        <v>0</v>
      </c>
      <c r="BU168" s="76">
        <v>0</v>
      </c>
      <c r="BV168" s="76">
        <v>87379</v>
      </c>
      <c r="BW168" s="76">
        <v>0</v>
      </c>
      <c r="BX168" s="76">
        <v>0</v>
      </c>
      <c r="BY168" s="76">
        <v>977</v>
      </c>
      <c r="BZ168" s="76">
        <v>114279</v>
      </c>
      <c r="CA168" s="76">
        <v>2141</v>
      </c>
      <c r="CB168" s="76">
        <v>0</v>
      </c>
      <c r="CC168" s="76">
        <v>41719</v>
      </c>
      <c r="CD168" s="76">
        <v>35272</v>
      </c>
      <c r="CE168" s="76">
        <v>0</v>
      </c>
      <c r="CF168" s="76">
        <v>6447</v>
      </c>
      <c r="CG168" s="76">
        <v>0</v>
      </c>
      <c r="CH168" s="76">
        <v>0</v>
      </c>
      <c r="CI168" s="76">
        <v>41719</v>
      </c>
      <c r="CJ168" s="76">
        <v>0</v>
      </c>
      <c r="CK168" s="76">
        <v>0</v>
      </c>
      <c r="CL168" s="76">
        <v>0</v>
      </c>
      <c r="CM168" s="76">
        <v>0</v>
      </c>
      <c r="CN168" s="76">
        <v>7585</v>
      </c>
      <c r="CO168" s="76">
        <v>0</v>
      </c>
      <c r="CP168" s="76">
        <v>10803</v>
      </c>
      <c r="CQ168" s="76">
        <v>-3218</v>
      </c>
      <c r="CR168" s="76">
        <v>0</v>
      </c>
      <c r="CS168" s="76">
        <v>0</v>
      </c>
      <c r="CT168" s="76">
        <v>0</v>
      </c>
      <c r="CU168" s="76">
        <v>0</v>
      </c>
      <c r="CV168" s="76">
        <v>0</v>
      </c>
      <c r="CW168" s="76">
        <v>0</v>
      </c>
      <c r="CX168" s="76">
        <v>0</v>
      </c>
      <c r="CY168" s="76">
        <v>0</v>
      </c>
      <c r="CZ168" s="76">
        <v>3381</v>
      </c>
      <c r="DA168" s="76">
        <v>0</v>
      </c>
      <c r="DB168" s="76">
        <v>1492</v>
      </c>
      <c r="DC168" s="76">
        <v>1889</v>
      </c>
      <c r="DD168" s="76">
        <v>10966</v>
      </c>
      <c r="DE168" s="76">
        <v>0</v>
      </c>
      <c r="DF168" s="76">
        <v>12295</v>
      </c>
      <c r="DG168" s="76">
        <v>-1329</v>
      </c>
      <c r="DH168" s="76">
        <v>0</v>
      </c>
      <c r="DI168" s="76">
        <v>0</v>
      </c>
      <c r="DJ168" s="76">
        <v>0</v>
      </c>
      <c r="DK168" s="76">
        <v>0</v>
      </c>
      <c r="DL168" s="76">
        <v>0</v>
      </c>
      <c r="DM168" s="76">
        <v>0</v>
      </c>
      <c r="DN168" s="76">
        <v>0</v>
      </c>
      <c r="DO168" s="76">
        <v>0</v>
      </c>
      <c r="DP168" s="76">
        <v>0</v>
      </c>
      <c r="DQ168" s="76">
        <v>0</v>
      </c>
      <c r="DR168" s="76">
        <v>0</v>
      </c>
      <c r="DS168" s="76">
        <v>0</v>
      </c>
      <c r="DT168" s="76">
        <v>0</v>
      </c>
      <c r="DU168" s="76">
        <v>0</v>
      </c>
      <c r="DV168" s="76">
        <v>0</v>
      </c>
      <c r="DW168" s="76">
        <v>0</v>
      </c>
      <c r="DX168" s="76">
        <v>0</v>
      </c>
      <c r="DY168" s="76">
        <v>0</v>
      </c>
      <c r="DZ168" s="76">
        <v>0</v>
      </c>
      <c r="EA168" s="76">
        <v>0</v>
      </c>
      <c r="EB168" s="76">
        <v>987</v>
      </c>
      <c r="EC168" s="76">
        <v>0</v>
      </c>
      <c r="ED168" s="76">
        <v>1176</v>
      </c>
      <c r="EE168" s="76">
        <v>-189</v>
      </c>
      <c r="EF168" s="76">
        <v>987</v>
      </c>
      <c r="EG168" s="76">
        <v>0</v>
      </c>
      <c r="EH168" s="76">
        <v>1176</v>
      </c>
      <c r="EI168" s="76">
        <v>-189</v>
      </c>
      <c r="EJ168" s="76">
        <v>11953</v>
      </c>
      <c r="EK168" s="76">
        <v>0</v>
      </c>
      <c r="EL168" s="76">
        <v>13471</v>
      </c>
      <c r="EM168" s="76">
        <v>-1518</v>
      </c>
      <c r="EN168" s="76">
        <v>460</v>
      </c>
      <c r="EO168" s="76">
        <v>114</v>
      </c>
      <c r="EP168" s="76">
        <v>252</v>
      </c>
      <c r="EQ168" s="76">
        <v>114</v>
      </c>
      <c r="ER168" s="76">
        <v>188238</v>
      </c>
      <c r="ES168" s="76">
        <v>0</v>
      </c>
      <c r="ET168" s="76">
        <v>188238</v>
      </c>
      <c r="EU168" s="76">
        <v>3769</v>
      </c>
      <c r="EV168" s="76">
        <v>-1310</v>
      </c>
      <c r="EW168" s="76">
        <v>0</v>
      </c>
      <c r="EX168" s="76">
        <v>0</v>
      </c>
      <c r="EY168" s="76">
        <v>-62</v>
      </c>
      <c r="EZ168" s="76">
        <v>190635</v>
      </c>
      <c r="FA168" s="76">
        <v>42228</v>
      </c>
      <c r="FB168" s="76">
        <v>3614</v>
      </c>
      <c r="FC168" s="76">
        <v>0</v>
      </c>
      <c r="FD168" s="76">
        <v>0</v>
      </c>
      <c r="FE168" s="76">
        <v>-761</v>
      </c>
      <c r="FF168" s="76">
        <v>0</v>
      </c>
      <c r="FG168" s="76">
        <v>0</v>
      </c>
      <c r="FH168" s="76">
        <v>45081</v>
      </c>
      <c r="FI168" s="76">
        <v>145554</v>
      </c>
      <c r="FJ168" s="76">
        <v>146010</v>
      </c>
      <c r="FK168" s="76">
        <v>0</v>
      </c>
      <c r="FL168" s="76">
        <v>0</v>
      </c>
      <c r="FM168" s="76">
        <v>0</v>
      </c>
      <c r="FN168" s="76">
        <v>0</v>
      </c>
      <c r="FO168" s="76">
        <v>0</v>
      </c>
      <c r="FP168" s="76">
        <v>0</v>
      </c>
      <c r="FQ168" s="76">
        <v>0</v>
      </c>
      <c r="FR168" s="76">
        <v>0</v>
      </c>
      <c r="FS168" s="76">
        <v>0</v>
      </c>
      <c r="FT168" s="76">
        <v>882</v>
      </c>
      <c r="FU168" s="76">
        <v>549</v>
      </c>
      <c r="FV168" s="76">
        <v>333</v>
      </c>
      <c r="FW168" s="76">
        <v>0</v>
      </c>
      <c r="FX168" s="76">
        <v>0</v>
      </c>
      <c r="FY168" s="76">
        <v>0</v>
      </c>
      <c r="FZ168" s="76">
        <v>0</v>
      </c>
      <c r="GA168" s="76">
        <v>0</v>
      </c>
      <c r="GB168" s="76">
        <v>0</v>
      </c>
      <c r="GC168" s="76">
        <v>882</v>
      </c>
      <c r="GD168" s="76">
        <v>549</v>
      </c>
      <c r="GE168" s="76">
        <v>333</v>
      </c>
      <c r="GF168" s="76">
        <v>1292</v>
      </c>
      <c r="GG168" s="76">
        <v>18</v>
      </c>
      <c r="GH168" s="76">
        <v>0</v>
      </c>
      <c r="GI168" s="76">
        <v>0</v>
      </c>
      <c r="GJ168" s="76">
        <v>0</v>
      </c>
      <c r="GK168" s="76">
        <v>669</v>
      </c>
      <c r="GL168" s="76">
        <v>1979</v>
      </c>
      <c r="GM168" s="76">
        <v>1295</v>
      </c>
      <c r="GN168" s="76">
        <v>313</v>
      </c>
      <c r="GO168" s="76">
        <v>17</v>
      </c>
      <c r="GP168" s="76">
        <v>0</v>
      </c>
      <c r="GQ168" s="76">
        <v>0</v>
      </c>
      <c r="GR168" s="76">
        <v>1632</v>
      </c>
      <c r="GS168" s="76">
        <v>0</v>
      </c>
      <c r="GT168" s="76">
        <v>0</v>
      </c>
      <c r="GU168" s="76">
        <v>312</v>
      </c>
      <c r="GV168" s="76">
        <v>0</v>
      </c>
      <c r="GW168" s="76">
        <v>4</v>
      </c>
      <c r="GX168" s="76">
        <v>3573</v>
      </c>
      <c r="GY168" s="76">
        <v>977</v>
      </c>
      <c r="GZ168" s="76">
        <v>0</v>
      </c>
      <c r="HA168" s="76">
        <v>0</v>
      </c>
      <c r="HB168" s="76">
        <v>0</v>
      </c>
      <c r="HC168" s="76">
        <v>977</v>
      </c>
      <c r="HD168" s="76">
        <v>0</v>
      </c>
      <c r="HE168" s="76">
        <v>0</v>
      </c>
      <c r="HF168" s="76">
        <v>0</v>
      </c>
      <c r="HG168" s="76">
        <v>1236</v>
      </c>
      <c r="HH168" s="76">
        <v>0</v>
      </c>
      <c r="HI168" s="76">
        <v>51</v>
      </c>
      <c r="HJ168" s="76">
        <v>0</v>
      </c>
      <c r="HK168" s="76">
        <v>0</v>
      </c>
      <c r="HL168" s="76">
        <v>0</v>
      </c>
      <c r="HM168" s="76">
        <v>1287</v>
      </c>
      <c r="HN168" s="76">
        <v>1476</v>
      </c>
      <c r="HO168" s="76">
        <v>3985</v>
      </c>
      <c r="HP168" s="76">
        <v>0</v>
      </c>
      <c r="HQ168" s="76">
        <v>54</v>
      </c>
      <c r="HR168" s="76">
        <v>-4</v>
      </c>
      <c r="HS168" s="76">
        <v>-66</v>
      </c>
      <c r="HT168" s="76">
        <v>1694</v>
      </c>
      <c r="HU168" s="76">
        <v>0</v>
      </c>
      <c r="HV168" s="76">
        <v>0</v>
      </c>
      <c r="HW168" s="76">
        <v>0</v>
      </c>
      <c r="HX168" s="76">
        <v>0</v>
      </c>
    </row>
    <row r="169" spans="1:232" x14ac:dyDescent="0.2">
      <c r="A169" s="74" t="s">
        <v>652</v>
      </c>
      <c r="B169" s="74" t="s">
        <v>651</v>
      </c>
      <c r="C169" s="75" t="s">
        <v>200</v>
      </c>
      <c r="D169" s="75">
        <v>12</v>
      </c>
      <c r="E169" s="76">
        <v>670900</v>
      </c>
      <c r="F169" s="76">
        <v>-17500</v>
      </c>
      <c r="G169" s="76">
        <v>-461100</v>
      </c>
      <c r="H169" s="76">
        <v>192300</v>
      </c>
      <c r="I169" s="76">
        <v>3000</v>
      </c>
      <c r="J169" s="76">
        <v>0</v>
      </c>
      <c r="K169" s="76">
        <v>0</v>
      </c>
      <c r="L169" s="76">
        <v>100</v>
      </c>
      <c r="M169" s="76">
        <v>4000</v>
      </c>
      <c r="N169" s="76">
        <v>-140300</v>
      </c>
      <c r="O169" s="76">
        <v>0</v>
      </c>
      <c r="P169" s="76">
        <v>0</v>
      </c>
      <c r="Q169" s="76">
        <v>0</v>
      </c>
      <c r="R169" s="76">
        <v>0</v>
      </c>
      <c r="S169" s="76">
        <v>59100</v>
      </c>
      <c r="T169" s="76">
        <v>100</v>
      </c>
      <c r="U169" s="76">
        <v>59200</v>
      </c>
      <c r="V169" s="76">
        <v>0</v>
      </c>
      <c r="W169" s="76">
        <v>-72700</v>
      </c>
      <c r="X169" s="76">
        <v>-4100</v>
      </c>
      <c r="Y169" s="76">
        <v>0</v>
      </c>
      <c r="Z169" s="76">
        <v>-17600</v>
      </c>
      <c r="AA169" s="76">
        <v>357500</v>
      </c>
      <c r="AB169" s="76">
        <v>45200</v>
      </c>
      <c r="AC169" s="76">
        <v>402700</v>
      </c>
      <c r="AD169" s="76">
        <v>0</v>
      </c>
      <c r="AE169" s="76">
        <v>0</v>
      </c>
      <c r="AF169" s="76">
        <v>0</v>
      </c>
      <c r="AG169" s="76">
        <v>0</v>
      </c>
      <c r="AH169" s="76">
        <v>402700</v>
      </c>
      <c r="AI169" s="76">
        <v>54700</v>
      </c>
      <c r="AJ169" s="76">
        <v>43600</v>
      </c>
      <c r="AK169" s="76">
        <v>68900</v>
      </c>
      <c r="AL169" s="76">
        <v>29200</v>
      </c>
      <c r="AM169" s="76">
        <v>0</v>
      </c>
      <c r="AN169" s="76">
        <v>4400</v>
      </c>
      <c r="AO169" s="76">
        <v>28400</v>
      </c>
      <c r="AP169" s="76">
        <v>0</v>
      </c>
      <c r="AQ169" s="76">
        <v>5100</v>
      </c>
      <c r="AR169" s="76">
        <v>234300</v>
      </c>
      <c r="AS169" s="76">
        <v>168400</v>
      </c>
      <c r="AT169" s="76">
        <v>5700</v>
      </c>
      <c r="AU169" s="76">
        <v>4789600</v>
      </c>
      <c r="AV169" s="76">
        <v>0</v>
      </c>
      <c r="AW169" s="76">
        <v>76900</v>
      </c>
      <c r="AX169" s="76">
        <v>77800</v>
      </c>
      <c r="AY169" s="76">
        <v>5100</v>
      </c>
      <c r="AZ169" s="76">
        <v>248700</v>
      </c>
      <c r="BA169" s="76">
        <v>100</v>
      </c>
      <c r="BB169" s="76">
        <v>0</v>
      </c>
      <c r="BC169" s="76">
        <v>0</v>
      </c>
      <c r="BD169" s="76">
        <v>65300</v>
      </c>
      <c r="BE169" s="76">
        <v>5263500</v>
      </c>
      <c r="BF169" s="76">
        <v>20300</v>
      </c>
      <c r="BG169" s="76">
        <v>108200</v>
      </c>
      <c r="BH169" s="76">
        <v>177000</v>
      </c>
      <c r="BI169" s="76">
        <v>0</v>
      </c>
      <c r="BJ169" s="76">
        <v>19600</v>
      </c>
      <c r="BK169" s="76">
        <v>325100</v>
      </c>
      <c r="BL169" s="76">
        <v>92800</v>
      </c>
      <c r="BM169" s="76">
        <v>0</v>
      </c>
      <c r="BN169" s="76">
        <v>0</v>
      </c>
      <c r="BO169" s="76">
        <v>184900</v>
      </c>
      <c r="BP169" s="76">
        <v>277700</v>
      </c>
      <c r="BQ169" s="76">
        <v>47400</v>
      </c>
      <c r="BR169" s="76">
        <v>5310900</v>
      </c>
      <c r="BS169" s="76">
        <v>2346100</v>
      </c>
      <c r="BT169" s="76">
        <v>0</v>
      </c>
      <c r="BU169" s="76">
        <v>145600</v>
      </c>
      <c r="BV169" s="76">
        <v>1813500</v>
      </c>
      <c r="BW169" s="76">
        <v>5100</v>
      </c>
      <c r="BX169" s="76">
        <v>4400</v>
      </c>
      <c r="BY169" s="76">
        <v>9100</v>
      </c>
      <c r="BZ169" s="76">
        <v>4323800</v>
      </c>
      <c r="CA169" s="76">
        <v>128000</v>
      </c>
      <c r="CB169" s="76">
        <v>6500</v>
      </c>
      <c r="CC169" s="76">
        <v>852600</v>
      </c>
      <c r="CD169" s="76">
        <v>847800</v>
      </c>
      <c r="CE169" s="76">
        <v>2300</v>
      </c>
      <c r="CF169" s="76">
        <v>200</v>
      </c>
      <c r="CG169" s="76">
        <v>2300</v>
      </c>
      <c r="CH169" s="76">
        <v>0</v>
      </c>
      <c r="CI169" s="76">
        <v>852600</v>
      </c>
      <c r="CJ169" s="76">
        <v>16600</v>
      </c>
      <c r="CK169" s="76">
        <v>12700</v>
      </c>
      <c r="CL169" s="76">
        <v>0</v>
      </c>
      <c r="CM169" s="76">
        <v>3900</v>
      </c>
      <c r="CN169" s="76">
        <v>31000</v>
      </c>
      <c r="CO169" s="76">
        <v>0</v>
      </c>
      <c r="CP169" s="76">
        <v>29200</v>
      </c>
      <c r="CQ169" s="76">
        <v>1800</v>
      </c>
      <c r="CR169" s="76">
        <v>100</v>
      </c>
      <c r="CS169" s="76">
        <v>0</v>
      </c>
      <c r="CT169" s="76">
        <v>6400</v>
      </c>
      <c r="CU169" s="76">
        <v>-6300</v>
      </c>
      <c r="CV169" s="76">
        <v>0</v>
      </c>
      <c r="CW169" s="76">
        <v>0</v>
      </c>
      <c r="CX169" s="76">
        <v>0</v>
      </c>
      <c r="CY169" s="76">
        <v>0</v>
      </c>
      <c r="CZ169" s="76">
        <v>14600</v>
      </c>
      <c r="DA169" s="76">
        <v>0</v>
      </c>
      <c r="DB169" s="76">
        <v>12500</v>
      </c>
      <c r="DC169" s="76">
        <v>2100</v>
      </c>
      <c r="DD169" s="76">
        <v>62300</v>
      </c>
      <c r="DE169" s="76">
        <v>12700</v>
      </c>
      <c r="DF169" s="76">
        <v>48100</v>
      </c>
      <c r="DG169" s="76">
        <v>1500</v>
      </c>
      <c r="DH169" s="76">
        <v>7500</v>
      </c>
      <c r="DI169" s="76">
        <v>4800</v>
      </c>
      <c r="DJ169" s="76">
        <v>0</v>
      </c>
      <c r="DK169" s="76">
        <v>2700</v>
      </c>
      <c r="DL169" s="76">
        <v>53100</v>
      </c>
      <c r="DM169" s="76">
        <v>0</v>
      </c>
      <c r="DN169" s="76">
        <v>41900</v>
      </c>
      <c r="DO169" s="76">
        <v>11200</v>
      </c>
      <c r="DP169" s="76">
        <v>125800</v>
      </c>
      <c r="DQ169" s="76">
        <v>0</v>
      </c>
      <c r="DR169" s="76">
        <v>115600</v>
      </c>
      <c r="DS169" s="76">
        <v>10200</v>
      </c>
      <c r="DT169" s="76">
        <v>0</v>
      </c>
      <c r="DU169" s="76">
        <v>0</v>
      </c>
      <c r="DV169" s="76">
        <v>0</v>
      </c>
      <c r="DW169" s="76">
        <v>0</v>
      </c>
      <c r="DX169" s="76">
        <v>0</v>
      </c>
      <c r="DY169" s="76">
        <v>0</v>
      </c>
      <c r="DZ169" s="76">
        <v>0</v>
      </c>
      <c r="EA169" s="76">
        <v>0</v>
      </c>
      <c r="EB169" s="76">
        <v>19500</v>
      </c>
      <c r="EC169" s="76">
        <v>0</v>
      </c>
      <c r="ED169" s="76">
        <v>21200</v>
      </c>
      <c r="EE169" s="76">
        <v>-1700</v>
      </c>
      <c r="EF169" s="76">
        <v>205900</v>
      </c>
      <c r="EG169" s="76">
        <v>4800</v>
      </c>
      <c r="EH169" s="76">
        <v>178700</v>
      </c>
      <c r="EI169" s="76">
        <v>22400</v>
      </c>
      <c r="EJ169" s="76">
        <v>268200</v>
      </c>
      <c r="EK169" s="76">
        <v>17500</v>
      </c>
      <c r="EL169" s="76">
        <v>226800</v>
      </c>
      <c r="EM169" s="76">
        <v>23900</v>
      </c>
      <c r="EN169" s="76">
        <v>21277</v>
      </c>
      <c r="EO169" s="76">
        <v>4906</v>
      </c>
      <c r="EP169" s="76">
        <v>6977</v>
      </c>
      <c r="EQ169" s="76">
        <v>4906</v>
      </c>
      <c r="ER169" s="76">
        <v>4895900</v>
      </c>
      <c r="ES169" s="76">
        <v>0</v>
      </c>
      <c r="ET169" s="76">
        <v>4895900</v>
      </c>
      <c r="EU169" s="76">
        <v>190800</v>
      </c>
      <c r="EV169" s="76">
        <v>-22100</v>
      </c>
      <c r="EW169" s="76">
        <v>0</v>
      </c>
      <c r="EX169" s="76">
        <v>0</v>
      </c>
      <c r="EY169" s="76">
        <v>-19700</v>
      </c>
      <c r="EZ169" s="76">
        <v>5044900</v>
      </c>
      <c r="FA169" s="76">
        <v>229900</v>
      </c>
      <c r="FB169" s="76">
        <v>30300</v>
      </c>
      <c r="FC169" s="76">
        <v>800</v>
      </c>
      <c r="FD169" s="76">
        <v>0</v>
      </c>
      <c r="FE169" s="76">
        <v>-5700</v>
      </c>
      <c r="FF169" s="76">
        <v>0</v>
      </c>
      <c r="FG169" s="76">
        <v>0</v>
      </c>
      <c r="FH169" s="76">
        <v>255300</v>
      </c>
      <c r="FI169" s="76">
        <v>4789600</v>
      </c>
      <c r="FJ169" s="76">
        <v>4666000</v>
      </c>
      <c r="FK169" s="76">
        <v>4100</v>
      </c>
      <c r="FL169" s="76">
        <v>1900</v>
      </c>
      <c r="FM169" s="76">
        <v>2200</v>
      </c>
      <c r="FN169" s="76">
        <v>6900</v>
      </c>
      <c r="FO169" s="76">
        <v>6700</v>
      </c>
      <c r="FP169" s="76">
        <v>200</v>
      </c>
      <c r="FQ169" s="76">
        <v>2000</v>
      </c>
      <c r="FR169" s="76">
        <v>2000</v>
      </c>
      <c r="FS169" s="76">
        <v>0</v>
      </c>
      <c r="FT169" s="76">
        <v>3300</v>
      </c>
      <c r="FU169" s="76">
        <v>3300</v>
      </c>
      <c r="FV169" s="76">
        <v>0</v>
      </c>
      <c r="FW169" s="76">
        <v>0</v>
      </c>
      <c r="FX169" s="76">
        <v>0</v>
      </c>
      <c r="FY169" s="76">
        <v>0</v>
      </c>
      <c r="FZ169" s="76">
        <v>7900</v>
      </c>
      <c r="GA169" s="76">
        <v>7300</v>
      </c>
      <c r="GB169" s="76">
        <v>600</v>
      </c>
      <c r="GC169" s="76">
        <v>24200</v>
      </c>
      <c r="GD169" s="76">
        <v>21200</v>
      </c>
      <c r="GE169" s="76">
        <v>3000</v>
      </c>
      <c r="GF169" s="76">
        <v>0</v>
      </c>
      <c r="GG169" s="76">
        <v>0</v>
      </c>
      <c r="GH169" s="76">
        <v>9100</v>
      </c>
      <c r="GI169" s="76">
        <v>0</v>
      </c>
      <c r="GJ169" s="76">
        <v>0</v>
      </c>
      <c r="GK169" s="76">
        <v>10500</v>
      </c>
      <c r="GL169" s="76">
        <v>19600</v>
      </c>
      <c r="GM169" s="76">
        <v>12900</v>
      </c>
      <c r="GN169" s="76">
        <v>15800</v>
      </c>
      <c r="GO169" s="76">
        <v>0</v>
      </c>
      <c r="GP169" s="76">
        <v>500</v>
      </c>
      <c r="GQ169" s="76">
        <v>2100</v>
      </c>
      <c r="GR169" s="76">
        <v>119300</v>
      </c>
      <c r="GS169" s="76">
        <v>1200</v>
      </c>
      <c r="GT169" s="76">
        <v>0</v>
      </c>
      <c r="GU169" s="76">
        <v>0</v>
      </c>
      <c r="GV169" s="76">
        <v>0</v>
      </c>
      <c r="GW169" s="76">
        <v>33100</v>
      </c>
      <c r="GX169" s="76">
        <v>184900</v>
      </c>
      <c r="GY169" s="76">
        <v>4000</v>
      </c>
      <c r="GZ169" s="76">
        <v>1100</v>
      </c>
      <c r="HA169" s="76">
        <v>0</v>
      </c>
      <c r="HB169" s="76">
        <v>4000</v>
      </c>
      <c r="HC169" s="76">
        <v>9100</v>
      </c>
      <c r="HD169" s="76">
        <v>0</v>
      </c>
      <c r="HE169" s="76">
        <v>6500</v>
      </c>
      <c r="HF169" s="76">
        <v>6500</v>
      </c>
      <c r="HG169" s="76">
        <v>140700</v>
      </c>
      <c r="HH169" s="76">
        <v>100</v>
      </c>
      <c r="HI169" s="76">
        <v>1900</v>
      </c>
      <c r="HJ169" s="76">
        <v>0</v>
      </c>
      <c r="HK169" s="76">
        <v>300</v>
      </c>
      <c r="HL169" s="76">
        <v>-2700</v>
      </c>
      <c r="HM169" s="76">
        <v>140300</v>
      </c>
      <c r="HN169" s="76">
        <v>54900</v>
      </c>
      <c r="HO169" s="76">
        <v>48700</v>
      </c>
      <c r="HP169" s="76">
        <v>6800</v>
      </c>
      <c r="HQ169" s="76">
        <v>391</v>
      </c>
      <c r="HR169" s="76">
        <v>-896</v>
      </c>
      <c r="HS169" s="76">
        <v>0</v>
      </c>
      <c r="HT169" s="76">
        <v>80678</v>
      </c>
      <c r="HU169" s="76">
        <v>0</v>
      </c>
      <c r="HV169" s="76">
        <v>-10</v>
      </c>
      <c r="HW169" s="76">
        <v>-7810</v>
      </c>
      <c r="HX169" s="76">
        <v>2920</v>
      </c>
    </row>
    <row r="170" spans="1:232" x14ac:dyDescent="0.2">
      <c r="A170" s="74" t="s">
        <v>653</v>
      </c>
      <c r="B170" s="74" t="s">
        <v>654</v>
      </c>
      <c r="C170" s="75" t="s">
        <v>200</v>
      </c>
      <c r="D170" s="75">
        <v>12</v>
      </c>
      <c r="E170" s="76">
        <v>45230</v>
      </c>
      <c r="F170" s="76">
        <v>-3822</v>
      </c>
      <c r="G170" s="76">
        <v>-23440</v>
      </c>
      <c r="H170" s="76">
        <v>17968</v>
      </c>
      <c r="I170" s="76">
        <v>941</v>
      </c>
      <c r="J170" s="76">
        <v>0</v>
      </c>
      <c r="K170" s="76">
        <v>0</v>
      </c>
      <c r="L170" s="76">
        <v>0</v>
      </c>
      <c r="M170" s="76">
        <v>87</v>
      </c>
      <c r="N170" s="76">
        <v>-11704</v>
      </c>
      <c r="O170" s="76">
        <v>0</v>
      </c>
      <c r="P170" s="76">
        <v>0</v>
      </c>
      <c r="Q170" s="76">
        <v>0</v>
      </c>
      <c r="R170" s="76">
        <v>0</v>
      </c>
      <c r="S170" s="76">
        <v>7292</v>
      </c>
      <c r="T170" s="76">
        <v>0</v>
      </c>
      <c r="U170" s="76">
        <v>7292</v>
      </c>
      <c r="V170" s="76">
        <v>536</v>
      </c>
      <c r="W170" s="76">
        <v>24</v>
      </c>
      <c r="X170" s="76">
        <v>0</v>
      </c>
      <c r="Y170" s="76">
        <v>0</v>
      </c>
      <c r="Z170" s="76">
        <v>7852</v>
      </c>
      <c r="AA170" s="76">
        <v>33043</v>
      </c>
      <c r="AB170" s="76">
        <v>4895</v>
      </c>
      <c r="AC170" s="76">
        <v>37938</v>
      </c>
      <c r="AD170" s="76">
        <v>576</v>
      </c>
      <c r="AE170" s="76">
        <v>0</v>
      </c>
      <c r="AF170" s="76">
        <v>0</v>
      </c>
      <c r="AG170" s="76">
        <v>0</v>
      </c>
      <c r="AH170" s="76">
        <v>38514</v>
      </c>
      <c r="AI170" s="76">
        <v>3606</v>
      </c>
      <c r="AJ170" s="76">
        <v>5484</v>
      </c>
      <c r="AK170" s="76">
        <v>3563</v>
      </c>
      <c r="AL170" s="76">
        <v>1987</v>
      </c>
      <c r="AM170" s="76">
        <v>1259</v>
      </c>
      <c r="AN170" s="76">
        <v>125</v>
      </c>
      <c r="AO170" s="76">
        <v>5603</v>
      </c>
      <c r="AP170" s="76">
        <v>0</v>
      </c>
      <c r="AQ170" s="76">
        <v>1594</v>
      </c>
      <c r="AR170" s="76">
        <v>23221</v>
      </c>
      <c r="AS170" s="76">
        <v>15293</v>
      </c>
      <c r="AT170" s="76">
        <v>548</v>
      </c>
      <c r="AU170" s="76">
        <v>289726</v>
      </c>
      <c r="AV170" s="76">
        <v>0</v>
      </c>
      <c r="AW170" s="76">
        <v>1759</v>
      </c>
      <c r="AX170" s="76">
        <v>358</v>
      </c>
      <c r="AY170" s="76">
        <v>0</v>
      </c>
      <c r="AZ170" s="76">
        <v>23874</v>
      </c>
      <c r="BA170" s="76">
        <v>0</v>
      </c>
      <c r="BB170" s="76">
        <v>0</v>
      </c>
      <c r="BC170" s="76">
        <v>0</v>
      </c>
      <c r="BD170" s="76">
        <v>0</v>
      </c>
      <c r="BE170" s="76">
        <v>315717</v>
      </c>
      <c r="BF170" s="76">
        <v>8100</v>
      </c>
      <c r="BG170" s="76">
        <v>2311</v>
      </c>
      <c r="BH170" s="76">
        <v>13199</v>
      </c>
      <c r="BI170" s="76">
        <v>0</v>
      </c>
      <c r="BJ170" s="76">
        <v>185</v>
      </c>
      <c r="BK170" s="76">
        <v>23795</v>
      </c>
      <c r="BL170" s="76">
        <v>0</v>
      </c>
      <c r="BM170" s="76">
        <v>0</v>
      </c>
      <c r="BN170" s="76">
        <v>602</v>
      </c>
      <c r="BO170" s="76">
        <v>11635</v>
      </c>
      <c r="BP170" s="76">
        <v>12237</v>
      </c>
      <c r="BQ170" s="76">
        <v>11558</v>
      </c>
      <c r="BR170" s="76">
        <v>327275</v>
      </c>
      <c r="BS170" s="76">
        <v>220540</v>
      </c>
      <c r="BT170" s="76">
        <v>0</v>
      </c>
      <c r="BU170" s="76">
        <v>0</v>
      </c>
      <c r="BV170" s="76">
        <v>59230</v>
      </c>
      <c r="BW170" s="76">
        <v>0</v>
      </c>
      <c r="BX170" s="76">
        <v>0</v>
      </c>
      <c r="BY170" s="76">
        <v>0</v>
      </c>
      <c r="BZ170" s="76">
        <v>279770</v>
      </c>
      <c r="CA170" s="76">
        <v>3410</v>
      </c>
      <c r="CB170" s="76">
        <v>30</v>
      </c>
      <c r="CC170" s="76">
        <v>44065</v>
      </c>
      <c r="CD170" s="76">
        <v>44065</v>
      </c>
      <c r="CE170" s="76">
        <v>0</v>
      </c>
      <c r="CF170" s="76">
        <v>0</v>
      </c>
      <c r="CG170" s="76">
        <v>0</v>
      </c>
      <c r="CH170" s="76">
        <v>0</v>
      </c>
      <c r="CI170" s="76">
        <v>44065</v>
      </c>
      <c r="CJ170" s="76">
        <v>5321</v>
      </c>
      <c r="CK170" s="76">
        <v>3822</v>
      </c>
      <c r="CL170" s="76">
        <v>0</v>
      </c>
      <c r="CM170" s="76">
        <v>1499</v>
      </c>
      <c r="CN170" s="76">
        <v>0</v>
      </c>
      <c r="CO170" s="76">
        <v>0</v>
      </c>
      <c r="CP170" s="76">
        <v>0</v>
      </c>
      <c r="CQ170" s="76">
        <v>0</v>
      </c>
      <c r="CR170" s="76">
        <v>0</v>
      </c>
      <c r="CS170" s="76">
        <v>0</v>
      </c>
      <c r="CT170" s="76">
        <v>0</v>
      </c>
      <c r="CU170" s="76">
        <v>0</v>
      </c>
      <c r="CV170" s="76">
        <v>0</v>
      </c>
      <c r="CW170" s="76">
        <v>0</v>
      </c>
      <c r="CX170" s="76">
        <v>0</v>
      </c>
      <c r="CY170" s="76">
        <v>0</v>
      </c>
      <c r="CZ170" s="76">
        <v>86</v>
      </c>
      <c r="DA170" s="76">
        <v>0</v>
      </c>
      <c r="DB170" s="76">
        <v>0</v>
      </c>
      <c r="DC170" s="76">
        <v>86</v>
      </c>
      <c r="DD170" s="76">
        <v>5407</v>
      </c>
      <c r="DE170" s="76">
        <v>3822</v>
      </c>
      <c r="DF170" s="76">
        <v>0</v>
      </c>
      <c r="DG170" s="76">
        <v>1585</v>
      </c>
      <c r="DH170" s="76">
        <v>0</v>
      </c>
      <c r="DI170" s="76">
        <v>0</v>
      </c>
      <c r="DJ170" s="76">
        <v>0</v>
      </c>
      <c r="DK170" s="76">
        <v>0</v>
      </c>
      <c r="DL170" s="76">
        <v>0</v>
      </c>
      <c r="DM170" s="76">
        <v>0</v>
      </c>
      <c r="DN170" s="76">
        <v>0</v>
      </c>
      <c r="DO170" s="76">
        <v>0</v>
      </c>
      <c r="DP170" s="76">
        <v>0</v>
      </c>
      <c r="DQ170" s="76">
        <v>0</v>
      </c>
      <c r="DR170" s="76">
        <v>0</v>
      </c>
      <c r="DS170" s="76">
        <v>0</v>
      </c>
      <c r="DT170" s="76">
        <v>733</v>
      </c>
      <c r="DU170" s="76">
        <v>0</v>
      </c>
      <c r="DV170" s="76">
        <v>189</v>
      </c>
      <c r="DW170" s="76">
        <v>544</v>
      </c>
      <c r="DX170" s="76">
        <v>0</v>
      </c>
      <c r="DY170" s="76">
        <v>0</v>
      </c>
      <c r="DZ170" s="76">
        <v>0</v>
      </c>
      <c r="EA170" s="76">
        <v>0</v>
      </c>
      <c r="EB170" s="76">
        <v>576</v>
      </c>
      <c r="EC170" s="76">
        <v>0</v>
      </c>
      <c r="ED170" s="76">
        <v>30</v>
      </c>
      <c r="EE170" s="76">
        <v>546</v>
      </c>
      <c r="EF170" s="76">
        <v>1309</v>
      </c>
      <c r="EG170" s="76">
        <v>0</v>
      </c>
      <c r="EH170" s="76">
        <v>219</v>
      </c>
      <c r="EI170" s="76">
        <v>1090</v>
      </c>
      <c r="EJ170" s="76">
        <v>6716</v>
      </c>
      <c r="EK170" s="76">
        <v>3822</v>
      </c>
      <c r="EL170" s="76">
        <v>219</v>
      </c>
      <c r="EM170" s="76">
        <v>2675</v>
      </c>
      <c r="EN170" s="76">
        <v>858</v>
      </c>
      <c r="EO170" s="76">
        <v>173</v>
      </c>
      <c r="EP170" s="76">
        <v>72</v>
      </c>
      <c r="EQ170" s="76">
        <v>173</v>
      </c>
      <c r="ER170" s="76">
        <v>315648</v>
      </c>
      <c r="ES170" s="76">
        <v>0</v>
      </c>
      <c r="ET170" s="76">
        <v>315648</v>
      </c>
      <c r="EU170" s="76">
        <v>15375</v>
      </c>
      <c r="EV170" s="76">
        <v>-730</v>
      </c>
      <c r="EW170" s="76">
        <v>0</v>
      </c>
      <c r="EX170" s="76">
        <v>0</v>
      </c>
      <c r="EY170" s="76">
        <v>-776</v>
      </c>
      <c r="EZ170" s="76">
        <v>329517</v>
      </c>
      <c r="FA170" s="76">
        <v>35238</v>
      </c>
      <c r="FB170" s="76">
        <v>5143</v>
      </c>
      <c r="FC170" s="76">
        <v>0</v>
      </c>
      <c r="FD170" s="76">
        <v>0</v>
      </c>
      <c r="FE170" s="76">
        <v>-590</v>
      </c>
      <c r="FF170" s="76">
        <v>0</v>
      </c>
      <c r="FG170" s="76">
        <v>0</v>
      </c>
      <c r="FH170" s="76">
        <v>39791</v>
      </c>
      <c r="FI170" s="76">
        <v>289726</v>
      </c>
      <c r="FJ170" s="76">
        <v>280410</v>
      </c>
      <c r="FK170" s="76">
        <v>447</v>
      </c>
      <c r="FL170" s="76">
        <v>261</v>
      </c>
      <c r="FM170" s="76">
        <v>186</v>
      </c>
      <c r="FN170" s="76">
        <v>1934</v>
      </c>
      <c r="FO170" s="76">
        <v>1817</v>
      </c>
      <c r="FP170" s="76">
        <v>117</v>
      </c>
      <c r="FQ170" s="76">
        <v>0</v>
      </c>
      <c r="FR170" s="76">
        <v>0</v>
      </c>
      <c r="FS170" s="76">
        <v>0</v>
      </c>
      <c r="FT170" s="76">
        <v>342</v>
      </c>
      <c r="FU170" s="76">
        <v>100</v>
      </c>
      <c r="FV170" s="76">
        <v>242</v>
      </c>
      <c r="FW170" s="76">
        <v>0</v>
      </c>
      <c r="FX170" s="76">
        <v>0</v>
      </c>
      <c r="FY170" s="76">
        <v>0</v>
      </c>
      <c r="FZ170" s="76">
        <v>1193</v>
      </c>
      <c r="GA170" s="76">
        <v>797</v>
      </c>
      <c r="GB170" s="76">
        <v>396</v>
      </c>
      <c r="GC170" s="76">
        <v>3916</v>
      </c>
      <c r="GD170" s="76">
        <v>2975</v>
      </c>
      <c r="GE170" s="76">
        <v>941</v>
      </c>
      <c r="GF170" s="76">
        <v>0</v>
      </c>
      <c r="GG170" s="76">
        <v>0</v>
      </c>
      <c r="GH170" s="76">
        <v>0</v>
      </c>
      <c r="GI170" s="76">
        <v>0</v>
      </c>
      <c r="GJ170" s="76">
        <v>0</v>
      </c>
      <c r="GK170" s="76">
        <v>185</v>
      </c>
      <c r="GL170" s="76">
        <v>185</v>
      </c>
      <c r="GM170" s="76">
        <v>292</v>
      </c>
      <c r="GN170" s="76">
        <v>315</v>
      </c>
      <c r="GO170" s="76">
        <v>0</v>
      </c>
      <c r="GP170" s="76">
        <v>870</v>
      </c>
      <c r="GQ170" s="76">
        <v>0</v>
      </c>
      <c r="GR170" s="76">
        <v>1712</v>
      </c>
      <c r="GS170" s="76">
        <v>0</v>
      </c>
      <c r="GT170" s="76">
        <v>0</v>
      </c>
      <c r="GU170" s="76">
        <v>0</v>
      </c>
      <c r="GV170" s="76">
        <v>0</v>
      </c>
      <c r="GW170" s="76">
        <v>8446</v>
      </c>
      <c r="GX170" s="76">
        <v>11635</v>
      </c>
      <c r="GY170" s="76">
        <v>0</v>
      </c>
      <c r="GZ170" s="76">
        <v>0</v>
      </c>
      <c r="HA170" s="76">
        <v>0</v>
      </c>
      <c r="HB170" s="76">
        <v>0</v>
      </c>
      <c r="HC170" s="76">
        <v>0</v>
      </c>
      <c r="HD170" s="76">
        <v>0</v>
      </c>
      <c r="HE170" s="76">
        <v>30</v>
      </c>
      <c r="HF170" s="76">
        <v>30</v>
      </c>
      <c r="HG170" s="76">
        <v>12094</v>
      </c>
      <c r="HH170" s="76">
        <v>121</v>
      </c>
      <c r="HI170" s="76">
        <v>111</v>
      </c>
      <c r="HJ170" s="76">
        <v>0</v>
      </c>
      <c r="HK170" s="76">
        <v>114</v>
      </c>
      <c r="HL170" s="76">
        <v>-736</v>
      </c>
      <c r="HM170" s="76">
        <v>11704</v>
      </c>
      <c r="HN170" s="76">
        <v>4815</v>
      </c>
      <c r="HO170" s="76">
        <v>5603</v>
      </c>
      <c r="HP170" s="76">
        <v>0</v>
      </c>
      <c r="HQ170" s="76">
        <v>86</v>
      </c>
      <c r="HR170" s="76">
        <v>-17</v>
      </c>
      <c r="HS170" s="76">
        <v>0</v>
      </c>
      <c r="HT170" s="76">
        <v>5975</v>
      </c>
      <c r="HU170" s="76">
        <v>81</v>
      </c>
      <c r="HV170" s="76">
        <v>0</v>
      </c>
      <c r="HW170" s="76">
        <v>7</v>
      </c>
      <c r="HX170" s="76">
        <v>558</v>
      </c>
    </row>
    <row r="171" spans="1:232" x14ac:dyDescent="0.2">
      <c r="A171" s="74" t="s">
        <v>656</v>
      </c>
      <c r="B171" s="74" t="s">
        <v>657</v>
      </c>
      <c r="C171" s="75" t="s">
        <v>200</v>
      </c>
      <c r="D171" s="75">
        <v>12</v>
      </c>
      <c r="E171" s="76">
        <v>36228</v>
      </c>
      <c r="F171" s="76">
        <v>-1656</v>
      </c>
      <c r="G171" s="76">
        <v>-21741</v>
      </c>
      <c r="H171" s="76">
        <v>12831</v>
      </c>
      <c r="I171" s="76">
        <v>518</v>
      </c>
      <c r="J171" s="76">
        <v>0</v>
      </c>
      <c r="K171" s="76">
        <v>-53</v>
      </c>
      <c r="L171" s="76">
        <v>0</v>
      </c>
      <c r="M171" s="76">
        <v>98</v>
      </c>
      <c r="N171" s="76">
        <v>-3154</v>
      </c>
      <c r="O171" s="76">
        <v>267</v>
      </c>
      <c r="P171" s="76">
        <v>0</v>
      </c>
      <c r="Q171" s="76">
        <v>0</v>
      </c>
      <c r="R171" s="76">
        <v>0</v>
      </c>
      <c r="S171" s="76">
        <v>10507</v>
      </c>
      <c r="T171" s="76">
        <v>-30</v>
      </c>
      <c r="U171" s="76">
        <v>10477</v>
      </c>
      <c r="V171" s="76">
        <v>0</v>
      </c>
      <c r="W171" s="76">
        <v>-1873</v>
      </c>
      <c r="X171" s="76">
        <v>0</v>
      </c>
      <c r="Y171" s="76">
        <v>0</v>
      </c>
      <c r="Z171" s="76">
        <v>8604</v>
      </c>
      <c r="AA171" s="76">
        <v>31137</v>
      </c>
      <c r="AB171" s="76">
        <v>925</v>
      </c>
      <c r="AC171" s="76">
        <v>32062</v>
      </c>
      <c r="AD171" s="76">
        <v>273</v>
      </c>
      <c r="AE171" s="76">
        <v>0</v>
      </c>
      <c r="AF171" s="76">
        <v>0</v>
      </c>
      <c r="AG171" s="76">
        <v>0</v>
      </c>
      <c r="AH171" s="76">
        <v>32335</v>
      </c>
      <c r="AI171" s="76">
        <v>4211</v>
      </c>
      <c r="AJ171" s="76">
        <v>2007</v>
      </c>
      <c r="AK171" s="76">
        <v>4188</v>
      </c>
      <c r="AL171" s="76">
        <v>1966</v>
      </c>
      <c r="AM171" s="76">
        <v>2363</v>
      </c>
      <c r="AN171" s="76">
        <v>131</v>
      </c>
      <c r="AO171" s="76">
        <v>5431</v>
      </c>
      <c r="AP171" s="76">
        <v>0</v>
      </c>
      <c r="AQ171" s="76">
        <v>0</v>
      </c>
      <c r="AR171" s="76">
        <v>20297</v>
      </c>
      <c r="AS171" s="76">
        <v>12038</v>
      </c>
      <c r="AT171" s="76">
        <v>289</v>
      </c>
      <c r="AU171" s="76">
        <v>354945</v>
      </c>
      <c r="AV171" s="76">
        <v>0</v>
      </c>
      <c r="AW171" s="76">
        <v>3034</v>
      </c>
      <c r="AX171" s="76">
        <v>0</v>
      </c>
      <c r="AY171" s="76">
        <v>0</v>
      </c>
      <c r="AZ171" s="76">
        <v>1297</v>
      </c>
      <c r="BA171" s="76">
        <v>0</v>
      </c>
      <c r="BB171" s="76">
        <v>0</v>
      </c>
      <c r="BC171" s="76">
        <v>0</v>
      </c>
      <c r="BD171" s="76">
        <v>0</v>
      </c>
      <c r="BE171" s="76">
        <v>359276</v>
      </c>
      <c r="BF171" s="76">
        <v>953</v>
      </c>
      <c r="BG171" s="76">
        <v>1954</v>
      </c>
      <c r="BH171" s="76">
        <v>31558</v>
      </c>
      <c r="BI171" s="76">
        <v>0</v>
      </c>
      <c r="BJ171" s="76">
        <v>652</v>
      </c>
      <c r="BK171" s="76">
        <v>35117</v>
      </c>
      <c r="BL171" s="76">
        <v>0</v>
      </c>
      <c r="BM171" s="76">
        <v>0</v>
      </c>
      <c r="BN171" s="76">
        <v>0</v>
      </c>
      <c r="BO171" s="76">
        <v>7236</v>
      </c>
      <c r="BP171" s="76">
        <v>7236</v>
      </c>
      <c r="BQ171" s="76">
        <v>27881</v>
      </c>
      <c r="BR171" s="76">
        <v>387157</v>
      </c>
      <c r="BS171" s="76">
        <v>132471</v>
      </c>
      <c r="BT171" s="76">
        <v>0</v>
      </c>
      <c r="BU171" s="76">
        <v>0</v>
      </c>
      <c r="BV171" s="76">
        <v>24553</v>
      </c>
      <c r="BW171" s="76">
        <v>0</v>
      </c>
      <c r="BX171" s="76">
        <v>0</v>
      </c>
      <c r="BY171" s="76">
        <v>1103</v>
      </c>
      <c r="BZ171" s="76">
        <v>158127</v>
      </c>
      <c r="CA171" s="76">
        <v>7453</v>
      </c>
      <c r="CB171" s="76">
        <v>4</v>
      </c>
      <c r="CC171" s="76">
        <v>221573</v>
      </c>
      <c r="CD171" s="76">
        <v>79763</v>
      </c>
      <c r="CE171" s="76">
        <v>141810</v>
      </c>
      <c r="CF171" s="76">
        <v>0</v>
      </c>
      <c r="CG171" s="76">
        <v>0</v>
      </c>
      <c r="CH171" s="76">
        <v>0</v>
      </c>
      <c r="CI171" s="76">
        <v>221573</v>
      </c>
      <c r="CJ171" s="76">
        <v>1608</v>
      </c>
      <c r="CK171" s="76">
        <v>1292</v>
      </c>
      <c r="CL171" s="76">
        <v>0</v>
      </c>
      <c r="CM171" s="76">
        <v>316</v>
      </c>
      <c r="CN171" s="76">
        <v>155</v>
      </c>
      <c r="CO171" s="76">
        <v>0</v>
      </c>
      <c r="CP171" s="76">
        <v>90</v>
      </c>
      <c r="CQ171" s="76">
        <v>65</v>
      </c>
      <c r="CR171" s="76">
        <v>0</v>
      </c>
      <c r="CS171" s="76">
        <v>0</v>
      </c>
      <c r="CT171" s="76">
        <v>463</v>
      </c>
      <c r="CU171" s="76">
        <v>-463</v>
      </c>
      <c r="CV171" s="76">
        <v>0</v>
      </c>
      <c r="CW171" s="76">
        <v>0</v>
      </c>
      <c r="CX171" s="76">
        <v>0</v>
      </c>
      <c r="CY171" s="76">
        <v>0</v>
      </c>
      <c r="CZ171" s="76">
        <v>0</v>
      </c>
      <c r="DA171" s="76">
        <v>0</v>
      </c>
      <c r="DB171" s="76">
        <v>0</v>
      </c>
      <c r="DC171" s="76">
        <v>0</v>
      </c>
      <c r="DD171" s="76">
        <v>1763</v>
      </c>
      <c r="DE171" s="76">
        <v>1292</v>
      </c>
      <c r="DF171" s="76">
        <v>553</v>
      </c>
      <c r="DG171" s="76">
        <v>-82</v>
      </c>
      <c r="DH171" s="76">
        <v>443</v>
      </c>
      <c r="DI171" s="76">
        <v>364</v>
      </c>
      <c r="DJ171" s="76">
        <v>3</v>
      </c>
      <c r="DK171" s="76">
        <v>76</v>
      </c>
      <c r="DL171" s="76">
        <v>0</v>
      </c>
      <c r="DM171" s="76">
        <v>0</v>
      </c>
      <c r="DN171" s="76">
        <v>0</v>
      </c>
      <c r="DO171" s="76">
        <v>0</v>
      </c>
      <c r="DP171" s="76">
        <v>0</v>
      </c>
      <c r="DQ171" s="76">
        <v>0</v>
      </c>
      <c r="DR171" s="76">
        <v>0</v>
      </c>
      <c r="DS171" s="76">
        <v>0</v>
      </c>
      <c r="DT171" s="76">
        <v>40</v>
      </c>
      <c r="DU171" s="76">
        <v>0</v>
      </c>
      <c r="DV171" s="76">
        <v>15</v>
      </c>
      <c r="DW171" s="76">
        <v>25</v>
      </c>
      <c r="DX171" s="76">
        <v>0</v>
      </c>
      <c r="DY171" s="76">
        <v>0</v>
      </c>
      <c r="DZ171" s="76">
        <v>0</v>
      </c>
      <c r="EA171" s="76">
        <v>0</v>
      </c>
      <c r="EB171" s="76">
        <v>1647</v>
      </c>
      <c r="EC171" s="76">
        <v>0</v>
      </c>
      <c r="ED171" s="76">
        <v>873</v>
      </c>
      <c r="EE171" s="76">
        <v>774</v>
      </c>
      <c r="EF171" s="76">
        <v>2130</v>
      </c>
      <c r="EG171" s="76">
        <v>364</v>
      </c>
      <c r="EH171" s="76">
        <v>891</v>
      </c>
      <c r="EI171" s="76">
        <v>875</v>
      </c>
      <c r="EJ171" s="76">
        <v>3893</v>
      </c>
      <c r="EK171" s="76">
        <v>1656</v>
      </c>
      <c r="EL171" s="76">
        <v>1444</v>
      </c>
      <c r="EM171" s="76">
        <v>793</v>
      </c>
      <c r="EN171" s="76">
        <v>846</v>
      </c>
      <c r="EO171" s="76">
        <v>361</v>
      </c>
      <c r="EP171" s="76">
        <v>33</v>
      </c>
      <c r="EQ171" s="76">
        <v>361</v>
      </c>
      <c r="ER171" s="76">
        <v>352461</v>
      </c>
      <c r="ES171" s="76">
        <v>0</v>
      </c>
      <c r="ET171" s="76">
        <v>352461</v>
      </c>
      <c r="EU171" s="76">
        <v>23847</v>
      </c>
      <c r="EV171" s="76">
        <v>-1204</v>
      </c>
      <c r="EW171" s="76">
        <v>0</v>
      </c>
      <c r="EX171" s="76">
        <v>0</v>
      </c>
      <c r="EY171" s="76">
        <v>0</v>
      </c>
      <c r="EZ171" s="76">
        <v>375104</v>
      </c>
      <c r="FA171" s="76">
        <v>14879</v>
      </c>
      <c r="FB171" s="76">
        <v>5367</v>
      </c>
      <c r="FC171" s="76">
        <v>0</v>
      </c>
      <c r="FD171" s="76">
        <v>0</v>
      </c>
      <c r="FE171" s="76">
        <v>-86</v>
      </c>
      <c r="FF171" s="76">
        <v>0</v>
      </c>
      <c r="FG171" s="76">
        <v>-1</v>
      </c>
      <c r="FH171" s="76">
        <v>20159</v>
      </c>
      <c r="FI171" s="76">
        <v>354945</v>
      </c>
      <c r="FJ171" s="76">
        <v>337582</v>
      </c>
      <c r="FK171" s="76">
        <v>133</v>
      </c>
      <c r="FL171" s="76">
        <v>58</v>
      </c>
      <c r="FM171" s="76">
        <v>75</v>
      </c>
      <c r="FN171" s="76">
        <v>493</v>
      </c>
      <c r="FO171" s="76">
        <v>392</v>
      </c>
      <c r="FP171" s="76">
        <v>101</v>
      </c>
      <c r="FQ171" s="76">
        <v>10</v>
      </c>
      <c r="FR171" s="76">
        <v>102</v>
      </c>
      <c r="FS171" s="76">
        <v>-92</v>
      </c>
      <c r="FT171" s="76">
        <v>913</v>
      </c>
      <c r="FU171" s="76">
        <v>479</v>
      </c>
      <c r="FV171" s="76">
        <v>434</v>
      </c>
      <c r="FW171" s="76">
        <v>0</v>
      </c>
      <c r="FX171" s="76">
        <v>0</v>
      </c>
      <c r="FY171" s="76">
        <v>0</v>
      </c>
      <c r="FZ171" s="76">
        <v>0</v>
      </c>
      <c r="GA171" s="76">
        <v>0</v>
      </c>
      <c r="GB171" s="76">
        <v>0</v>
      </c>
      <c r="GC171" s="76">
        <v>1549</v>
      </c>
      <c r="GD171" s="76">
        <v>1031</v>
      </c>
      <c r="GE171" s="76">
        <v>518</v>
      </c>
      <c r="GF171" s="76">
        <v>0</v>
      </c>
      <c r="GG171" s="76">
        <v>0</v>
      </c>
      <c r="GH171" s="76">
        <v>0</v>
      </c>
      <c r="GI171" s="76">
        <v>0</v>
      </c>
      <c r="GJ171" s="76">
        <v>0</v>
      </c>
      <c r="GK171" s="76">
        <v>652</v>
      </c>
      <c r="GL171" s="76">
        <v>652</v>
      </c>
      <c r="GM171" s="76">
        <v>618</v>
      </c>
      <c r="GN171" s="76">
        <v>415</v>
      </c>
      <c r="GO171" s="76">
        <v>0</v>
      </c>
      <c r="GP171" s="76">
        <v>0</v>
      </c>
      <c r="GQ171" s="76">
        <v>0</v>
      </c>
      <c r="GR171" s="76">
        <v>5491</v>
      </c>
      <c r="GS171" s="76">
        <v>0</v>
      </c>
      <c r="GT171" s="76">
        <v>0</v>
      </c>
      <c r="GU171" s="76">
        <v>0</v>
      </c>
      <c r="GV171" s="76">
        <v>0</v>
      </c>
      <c r="GW171" s="76">
        <v>712</v>
      </c>
      <c r="GX171" s="76">
        <v>7236</v>
      </c>
      <c r="GY171" s="76">
        <v>109</v>
      </c>
      <c r="GZ171" s="76">
        <v>510</v>
      </c>
      <c r="HA171" s="76">
        <v>0</v>
      </c>
      <c r="HB171" s="76">
        <v>484</v>
      </c>
      <c r="HC171" s="76">
        <v>1103</v>
      </c>
      <c r="HD171" s="76">
        <v>0</v>
      </c>
      <c r="HE171" s="76">
        <v>0</v>
      </c>
      <c r="HF171" s="76">
        <v>0</v>
      </c>
      <c r="HG171" s="76">
        <v>3082</v>
      </c>
      <c r="HH171" s="76">
        <v>-38</v>
      </c>
      <c r="HI171" s="76">
        <v>192</v>
      </c>
      <c r="HJ171" s="76">
        <v>0</v>
      </c>
      <c r="HK171" s="76">
        <v>0</v>
      </c>
      <c r="HL171" s="76">
        <v>-82</v>
      </c>
      <c r="HM171" s="76">
        <v>3154</v>
      </c>
      <c r="HN171" s="76">
        <v>2212</v>
      </c>
      <c r="HO171" s="76">
        <v>5748</v>
      </c>
      <c r="HP171" s="76">
        <v>0</v>
      </c>
      <c r="HQ171" s="76">
        <v>141</v>
      </c>
      <c r="HR171" s="76">
        <v>-17</v>
      </c>
      <c r="HS171" s="76">
        <v>-20</v>
      </c>
      <c r="HT171" s="76">
        <v>6066</v>
      </c>
      <c r="HU171" s="76">
        <v>0</v>
      </c>
      <c r="HV171" s="76">
        <v>0</v>
      </c>
      <c r="HW171" s="76">
        <v>1</v>
      </c>
      <c r="HX171" s="76">
        <v>94</v>
      </c>
    </row>
    <row r="172" spans="1:232" x14ac:dyDescent="0.2">
      <c r="A172" s="74" t="s">
        <v>659</v>
      </c>
      <c r="B172" s="74" t="s">
        <v>660</v>
      </c>
      <c r="C172" s="75" t="s">
        <v>200</v>
      </c>
      <c r="D172" s="75">
        <v>12</v>
      </c>
      <c r="E172" s="76">
        <v>79268</v>
      </c>
      <c r="F172" s="76">
        <v>-10703</v>
      </c>
      <c r="G172" s="76">
        <v>-32707</v>
      </c>
      <c r="H172" s="76">
        <v>35858</v>
      </c>
      <c r="I172" s="76">
        <v>4397</v>
      </c>
      <c r="J172" s="76">
        <v>0</v>
      </c>
      <c r="K172" s="76">
        <v>0</v>
      </c>
      <c r="L172" s="76">
        <v>0</v>
      </c>
      <c r="M172" s="76">
        <v>516</v>
      </c>
      <c r="N172" s="76">
        <v>-7974</v>
      </c>
      <c r="O172" s="76">
        <v>136</v>
      </c>
      <c r="P172" s="76">
        <v>0</v>
      </c>
      <c r="Q172" s="76">
        <v>0</v>
      </c>
      <c r="R172" s="76">
        <v>0</v>
      </c>
      <c r="S172" s="76">
        <v>32933</v>
      </c>
      <c r="T172" s="76">
        <v>-33</v>
      </c>
      <c r="U172" s="76">
        <v>32900</v>
      </c>
      <c r="V172" s="76">
        <v>0</v>
      </c>
      <c r="W172" s="76">
        <v>170</v>
      </c>
      <c r="X172" s="76">
        <v>0</v>
      </c>
      <c r="Y172" s="76">
        <v>0</v>
      </c>
      <c r="Z172" s="76">
        <v>33070</v>
      </c>
      <c r="AA172" s="76">
        <v>55164</v>
      </c>
      <c r="AB172" s="76">
        <v>1685</v>
      </c>
      <c r="AC172" s="76">
        <v>56849</v>
      </c>
      <c r="AD172" s="76">
        <v>1594</v>
      </c>
      <c r="AE172" s="76">
        <v>0</v>
      </c>
      <c r="AF172" s="76">
        <v>0</v>
      </c>
      <c r="AG172" s="76">
        <v>2</v>
      </c>
      <c r="AH172" s="76">
        <v>58445</v>
      </c>
      <c r="AI172" s="76">
        <v>6466</v>
      </c>
      <c r="AJ172" s="76">
        <v>2051</v>
      </c>
      <c r="AK172" s="76">
        <v>5097</v>
      </c>
      <c r="AL172" s="76">
        <v>2145</v>
      </c>
      <c r="AM172" s="76">
        <v>3521</v>
      </c>
      <c r="AN172" s="76">
        <v>135</v>
      </c>
      <c r="AO172" s="76">
        <v>10312</v>
      </c>
      <c r="AP172" s="76">
        <v>0</v>
      </c>
      <c r="AQ172" s="76">
        <v>487</v>
      </c>
      <c r="AR172" s="76">
        <v>30214</v>
      </c>
      <c r="AS172" s="76">
        <v>28231</v>
      </c>
      <c r="AT172" s="76">
        <v>314</v>
      </c>
      <c r="AU172" s="76">
        <v>606995</v>
      </c>
      <c r="AV172" s="76">
        <v>0</v>
      </c>
      <c r="AW172" s="76">
        <v>5741</v>
      </c>
      <c r="AX172" s="76">
        <v>0</v>
      </c>
      <c r="AY172" s="76">
        <v>2709</v>
      </c>
      <c r="AZ172" s="76">
        <v>31651</v>
      </c>
      <c r="BA172" s="76">
        <v>0</v>
      </c>
      <c r="BB172" s="76">
        <v>0</v>
      </c>
      <c r="BC172" s="76">
        <v>0</v>
      </c>
      <c r="BD172" s="76">
        <v>0</v>
      </c>
      <c r="BE172" s="76">
        <v>647096</v>
      </c>
      <c r="BF172" s="76">
        <v>24445</v>
      </c>
      <c r="BG172" s="76">
        <v>4522</v>
      </c>
      <c r="BH172" s="76">
        <v>69365</v>
      </c>
      <c r="BI172" s="76">
        <v>0</v>
      </c>
      <c r="BJ172" s="76">
        <v>0</v>
      </c>
      <c r="BK172" s="76">
        <v>98332</v>
      </c>
      <c r="BL172" s="76">
        <v>532</v>
      </c>
      <c r="BM172" s="76">
        <v>0</v>
      </c>
      <c r="BN172" s="76">
        <v>1741</v>
      </c>
      <c r="BO172" s="76">
        <v>17475</v>
      </c>
      <c r="BP172" s="76">
        <v>19748</v>
      </c>
      <c r="BQ172" s="76">
        <v>78584</v>
      </c>
      <c r="BR172" s="76">
        <v>725680</v>
      </c>
      <c r="BS172" s="76">
        <v>347438</v>
      </c>
      <c r="BT172" s="76">
        <v>0</v>
      </c>
      <c r="BU172" s="76">
        <v>0</v>
      </c>
      <c r="BV172" s="76">
        <v>157529</v>
      </c>
      <c r="BW172" s="76">
        <v>1387</v>
      </c>
      <c r="BX172" s="76">
        <v>0</v>
      </c>
      <c r="BY172" s="76">
        <v>2349</v>
      </c>
      <c r="BZ172" s="76">
        <v>508703</v>
      </c>
      <c r="CA172" s="76">
        <v>7580</v>
      </c>
      <c r="CB172" s="76">
        <v>87</v>
      </c>
      <c r="CC172" s="76">
        <v>209310</v>
      </c>
      <c r="CD172" s="76">
        <v>209310</v>
      </c>
      <c r="CE172" s="76">
        <v>0</v>
      </c>
      <c r="CF172" s="76">
        <v>0</v>
      </c>
      <c r="CG172" s="76">
        <v>0</v>
      </c>
      <c r="CH172" s="76">
        <v>0</v>
      </c>
      <c r="CI172" s="76">
        <v>209310</v>
      </c>
      <c r="CJ172" s="76">
        <v>16294</v>
      </c>
      <c r="CK172" s="76">
        <v>9369</v>
      </c>
      <c r="CL172" s="76">
        <v>0</v>
      </c>
      <c r="CM172" s="76">
        <v>6925</v>
      </c>
      <c r="CN172" s="76">
        <v>0</v>
      </c>
      <c r="CO172" s="76">
        <v>0</v>
      </c>
      <c r="CP172" s="76">
        <v>255</v>
      </c>
      <c r="CQ172" s="76">
        <v>-255</v>
      </c>
      <c r="CR172" s="76">
        <v>0</v>
      </c>
      <c r="CS172" s="76">
        <v>0</v>
      </c>
      <c r="CT172" s="76">
        <v>1104</v>
      </c>
      <c r="CU172" s="76">
        <v>-1104</v>
      </c>
      <c r="CV172" s="76">
        <v>0</v>
      </c>
      <c r="CW172" s="76">
        <v>0</v>
      </c>
      <c r="CX172" s="76">
        <v>0</v>
      </c>
      <c r="CY172" s="76">
        <v>0</v>
      </c>
      <c r="CZ172" s="76">
        <v>0</v>
      </c>
      <c r="DA172" s="76">
        <v>0</v>
      </c>
      <c r="DB172" s="76">
        <v>0</v>
      </c>
      <c r="DC172" s="76">
        <v>0</v>
      </c>
      <c r="DD172" s="76">
        <v>16294</v>
      </c>
      <c r="DE172" s="76">
        <v>9369</v>
      </c>
      <c r="DF172" s="76">
        <v>1359</v>
      </c>
      <c r="DG172" s="76">
        <v>5566</v>
      </c>
      <c r="DH172" s="76">
        <v>1781</v>
      </c>
      <c r="DI172" s="76">
        <v>1334</v>
      </c>
      <c r="DJ172" s="76">
        <v>0</v>
      </c>
      <c r="DK172" s="76">
        <v>447</v>
      </c>
      <c r="DL172" s="76">
        <v>0</v>
      </c>
      <c r="DM172" s="76">
        <v>0</v>
      </c>
      <c r="DN172" s="76">
        <v>0</v>
      </c>
      <c r="DO172" s="76">
        <v>0</v>
      </c>
      <c r="DP172" s="76">
        <v>0</v>
      </c>
      <c r="DQ172" s="76">
        <v>0</v>
      </c>
      <c r="DR172" s="76">
        <v>0</v>
      </c>
      <c r="DS172" s="76">
        <v>0</v>
      </c>
      <c r="DT172" s="76">
        <v>1389</v>
      </c>
      <c r="DU172" s="76">
        <v>0</v>
      </c>
      <c r="DV172" s="76">
        <v>196</v>
      </c>
      <c r="DW172" s="76">
        <v>1193</v>
      </c>
      <c r="DX172" s="76">
        <v>0</v>
      </c>
      <c r="DY172" s="76">
        <v>0</v>
      </c>
      <c r="DZ172" s="76">
        <v>0</v>
      </c>
      <c r="EA172" s="76">
        <v>0</v>
      </c>
      <c r="EB172" s="76">
        <v>1359</v>
      </c>
      <c r="EC172" s="76">
        <v>0</v>
      </c>
      <c r="ED172" s="76">
        <v>938</v>
      </c>
      <c r="EE172" s="76">
        <v>421</v>
      </c>
      <c r="EF172" s="76">
        <v>4529</v>
      </c>
      <c r="EG172" s="76">
        <v>1334</v>
      </c>
      <c r="EH172" s="76">
        <v>1134</v>
      </c>
      <c r="EI172" s="76">
        <v>2061</v>
      </c>
      <c r="EJ172" s="76">
        <v>20823</v>
      </c>
      <c r="EK172" s="76">
        <v>10703</v>
      </c>
      <c r="EL172" s="76">
        <v>2493</v>
      </c>
      <c r="EM172" s="76">
        <v>7627</v>
      </c>
      <c r="EN172" s="76">
        <v>1655</v>
      </c>
      <c r="EO172" s="76">
        <v>444</v>
      </c>
      <c r="EP172" s="76">
        <v>203</v>
      </c>
      <c r="EQ172" s="76">
        <v>444</v>
      </c>
      <c r="ER172" s="76">
        <v>636213</v>
      </c>
      <c r="ES172" s="76">
        <v>0</v>
      </c>
      <c r="ET172" s="76">
        <v>636213</v>
      </c>
      <c r="EU172" s="76">
        <v>59586</v>
      </c>
      <c r="EV172" s="76">
        <v>-5946</v>
      </c>
      <c r="EW172" s="76">
        <v>0</v>
      </c>
      <c r="EX172" s="76">
        <v>0</v>
      </c>
      <c r="EY172" s="76">
        <v>0</v>
      </c>
      <c r="EZ172" s="76">
        <v>689853</v>
      </c>
      <c r="FA172" s="76">
        <v>74641</v>
      </c>
      <c r="FB172" s="76">
        <v>10389</v>
      </c>
      <c r="FC172" s="76">
        <v>-10</v>
      </c>
      <c r="FD172" s="76">
        <v>0</v>
      </c>
      <c r="FE172" s="76">
        <v>-2162</v>
      </c>
      <c r="FF172" s="76">
        <v>0</v>
      </c>
      <c r="FG172" s="76">
        <v>0</v>
      </c>
      <c r="FH172" s="76">
        <v>82858</v>
      </c>
      <c r="FI172" s="76">
        <v>606995</v>
      </c>
      <c r="FJ172" s="76">
        <v>561572</v>
      </c>
      <c r="FK172" s="76">
        <v>4542</v>
      </c>
      <c r="FL172" s="76">
        <v>2829</v>
      </c>
      <c r="FM172" s="76">
        <v>1713</v>
      </c>
      <c r="FN172" s="76">
        <v>2051</v>
      </c>
      <c r="FO172" s="76">
        <v>646</v>
      </c>
      <c r="FP172" s="76">
        <v>1405</v>
      </c>
      <c r="FQ172" s="76">
        <v>0</v>
      </c>
      <c r="FR172" s="76">
        <v>0</v>
      </c>
      <c r="FS172" s="76">
        <v>0</v>
      </c>
      <c r="FT172" s="76">
        <v>807</v>
      </c>
      <c r="FU172" s="76">
        <v>-427</v>
      </c>
      <c r="FV172" s="76">
        <v>1234</v>
      </c>
      <c r="FW172" s="76">
        <v>0</v>
      </c>
      <c r="FX172" s="76">
        <v>0</v>
      </c>
      <c r="FY172" s="76">
        <v>0</v>
      </c>
      <c r="FZ172" s="76">
        <v>278</v>
      </c>
      <c r="GA172" s="76">
        <v>233</v>
      </c>
      <c r="GB172" s="76">
        <v>45</v>
      </c>
      <c r="GC172" s="76">
        <v>7678</v>
      </c>
      <c r="GD172" s="76">
        <v>3281</v>
      </c>
      <c r="GE172" s="76">
        <v>4397</v>
      </c>
      <c r="GF172" s="76">
        <v>0</v>
      </c>
      <c r="GG172" s="76">
        <v>0</v>
      </c>
      <c r="GH172" s="76">
        <v>0</v>
      </c>
      <c r="GI172" s="76">
        <v>0</v>
      </c>
      <c r="GJ172" s="76">
        <v>0</v>
      </c>
      <c r="GK172" s="76">
        <v>0</v>
      </c>
      <c r="GL172" s="76">
        <v>0</v>
      </c>
      <c r="GM172" s="76">
        <v>1344</v>
      </c>
      <c r="GN172" s="76">
        <v>1303</v>
      </c>
      <c r="GO172" s="76">
        <v>0</v>
      </c>
      <c r="GP172" s="76">
        <v>971</v>
      </c>
      <c r="GQ172" s="76">
        <v>347</v>
      </c>
      <c r="GR172" s="76">
        <v>7446</v>
      </c>
      <c r="GS172" s="76">
        <v>0</v>
      </c>
      <c r="GT172" s="76">
        <v>0</v>
      </c>
      <c r="GU172" s="76">
        <v>631</v>
      </c>
      <c r="GV172" s="76">
        <v>0</v>
      </c>
      <c r="GW172" s="76">
        <v>5433</v>
      </c>
      <c r="GX172" s="76">
        <v>17475</v>
      </c>
      <c r="GY172" s="76">
        <v>1808</v>
      </c>
      <c r="GZ172" s="76">
        <v>108</v>
      </c>
      <c r="HA172" s="76">
        <v>0</v>
      </c>
      <c r="HB172" s="76">
        <v>433</v>
      </c>
      <c r="HC172" s="76">
        <v>2349</v>
      </c>
      <c r="HD172" s="76">
        <v>0</v>
      </c>
      <c r="HE172" s="76">
        <v>87</v>
      </c>
      <c r="HF172" s="76">
        <v>87</v>
      </c>
      <c r="HG172" s="76">
        <v>8024</v>
      </c>
      <c r="HH172" s="76">
        <v>266</v>
      </c>
      <c r="HI172" s="76">
        <v>510</v>
      </c>
      <c r="HJ172" s="76">
        <v>15</v>
      </c>
      <c r="HK172" s="76">
        <v>461</v>
      </c>
      <c r="HL172" s="76">
        <v>-1302</v>
      </c>
      <c r="HM172" s="76">
        <v>7974</v>
      </c>
      <c r="HN172" s="76">
        <v>6572</v>
      </c>
      <c r="HO172" s="76">
        <v>10900</v>
      </c>
      <c r="HP172" s="76">
        <v>-10</v>
      </c>
      <c r="HQ172" s="76">
        <v>331</v>
      </c>
      <c r="HR172" s="76">
        <v>-14</v>
      </c>
      <c r="HS172" s="76">
        <v>-30</v>
      </c>
      <c r="HT172" s="76">
        <v>9415</v>
      </c>
      <c r="HU172" s="76">
        <v>0</v>
      </c>
      <c r="HV172" s="76">
        <v>0</v>
      </c>
      <c r="HW172" s="76">
        <v>0</v>
      </c>
      <c r="HX172" s="76">
        <v>137</v>
      </c>
    </row>
    <row r="173" spans="1:232" x14ac:dyDescent="0.2">
      <c r="A173" s="74" t="s">
        <v>664</v>
      </c>
      <c r="B173" s="74" t="s">
        <v>665</v>
      </c>
      <c r="C173" s="75" t="s">
        <v>200</v>
      </c>
      <c r="D173" s="75">
        <v>12</v>
      </c>
      <c r="E173" s="76">
        <v>21506</v>
      </c>
      <c r="F173" s="76">
        <v>-379</v>
      </c>
      <c r="G173" s="76">
        <v>-11852</v>
      </c>
      <c r="H173" s="76">
        <v>9275</v>
      </c>
      <c r="I173" s="76">
        <v>163</v>
      </c>
      <c r="J173" s="76">
        <v>0</v>
      </c>
      <c r="K173" s="76">
        <v>-134</v>
      </c>
      <c r="L173" s="76">
        <v>0</v>
      </c>
      <c r="M173" s="76">
        <v>1</v>
      </c>
      <c r="N173" s="76">
        <v>-6037</v>
      </c>
      <c r="O173" s="76">
        <v>705</v>
      </c>
      <c r="P173" s="76">
        <v>0</v>
      </c>
      <c r="Q173" s="76">
        <v>0</v>
      </c>
      <c r="R173" s="76">
        <v>0</v>
      </c>
      <c r="S173" s="76">
        <v>3973</v>
      </c>
      <c r="T173" s="76">
        <v>0</v>
      </c>
      <c r="U173" s="76">
        <v>3973</v>
      </c>
      <c r="V173" s="76">
        <v>0</v>
      </c>
      <c r="W173" s="76">
        <v>-695</v>
      </c>
      <c r="X173" s="76">
        <v>0</v>
      </c>
      <c r="Y173" s="76">
        <v>0</v>
      </c>
      <c r="Z173" s="76">
        <v>3278</v>
      </c>
      <c r="AA173" s="76">
        <v>16240</v>
      </c>
      <c r="AB173" s="76">
        <v>1040</v>
      </c>
      <c r="AC173" s="76">
        <v>17280</v>
      </c>
      <c r="AD173" s="76">
        <v>169</v>
      </c>
      <c r="AE173" s="76">
        <v>0</v>
      </c>
      <c r="AF173" s="76">
        <v>0</v>
      </c>
      <c r="AG173" s="76">
        <v>0</v>
      </c>
      <c r="AH173" s="76">
        <v>17449</v>
      </c>
      <c r="AI173" s="76">
        <v>4478</v>
      </c>
      <c r="AJ173" s="76">
        <v>957</v>
      </c>
      <c r="AK173" s="76">
        <v>2219</v>
      </c>
      <c r="AL173" s="76">
        <v>998</v>
      </c>
      <c r="AM173" s="76">
        <v>0</v>
      </c>
      <c r="AN173" s="76">
        <v>75</v>
      </c>
      <c r="AO173" s="76">
        <v>2204</v>
      </c>
      <c r="AP173" s="76">
        <v>0</v>
      </c>
      <c r="AQ173" s="76">
        <v>0</v>
      </c>
      <c r="AR173" s="76">
        <v>10931</v>
      </c>
      <c r="AS173" s="76">
        <v>6518</v>
      </c>
      <c r="AT173" s="76">
        <v>152</v>
      </c>
      <c r="AU173" s="76">
        <v>83376</v>
      </c>
      <c r="AV173" s="76">
        <v>0</v>
      </c>
      <c r="AW173" s="76">
        <v>1486</v>
      </c>
      <c r="AX173" s="76">
        <v>0</v>
      </c>
      <c r="AY173" s="76">
        <v>0</v>
      </c>
      <c r="AZ173" s="76">
        <v>26600</v>
      </c>
      <c r="BA173" s="76">
        <v>0</v>
      </c>
      <c r="BB173" s="76">
        <v>0</v>
      </c>
      <c r="BC173" s="76">
        <v>0</v>
      </c>
      <c r="BD173" s="76">
        <v>0</v>
      </c>
      <c r="BE173" s="76">
        <v>111462</v>
      </c>
      <c r="BF173" s="76">
        <v>37</v>
      </c>
      <c r="BG173" s="76">
        <v>565</v>
      </c>
      <c r="BH173" s="76">
        <v>5924</v>
      </c>
      <c r="BI173" s="76">
        <v>0</v>
      </c>
      <c r="BJ173" s="76">
        <v>572</v>
      </c>
      <c r="BK173" s="76">
        <v>7098</v>
      </c>
      <c r="BL173" s="76">
        <v>0</v>
      </c>
      <c r="BM173" s="76">
        <v>0</v>
      </c>
      <c r="BN173" s="76">
        <v>169</v>
      </c>
      <c r="BO173" s="76">
        <v>3184</v>
      </c>
      <c r="BP173" s="76">
        <v>3353</v>
      </c>
      <c r="BQ173" s="76">
        <v>3745</v>
      </c>
      <c r="BR173" s="76">
        <v>115207</v>
      </c>
      <c r="BS173" s="76">
        <v>118288</v>
      </c>
      <c r="BT173" s="76">
        <v>0</v>
      </c>
      <c r="BU173" s="76">
        <v>0</v>
      </c>
      <c r="BV173" s="76">
        <v>15171</v>
      </c>
      <c r="BW173" s="76">
        <v>0</v>
      </c>
      <c r="BX173" s="76">
        <v>0</v>
      </c>
      <c r="BY173" s="76">
        <v>1102</v>
      </c>
      <c r="BZ173" s="76">
        <v>134561</v>
      </c>
      <c r="CA173" s="76">
        <v>3645</v>
      </c>
      <c r="CB173" s="76">
        <v>377</v>
      </c>
      <c r="CC173" s="76">
        <v>-23376</v>
      </c>
      <c r="CD173" s="76">
        <v>-23376</v>
      </c>
      <c r="CE173" s="76">
        <v>0</v>
      </c>
      <c r="CF173" s="76">
        <v>0</v>
      </c>
      <c r="CG173" s="76">
        <v>0</v>
      </c>
      <c r="CH173" s="76">
        <v>0</v>
      </c>
      <c r="CI173" s="76">
        <v>-23376</v>
      </c>
      <c r="CJ173" s="76">
        <v>592</v>
      </c>
      <c r="CK173" s="76">
        <v>338</v>
      </c>
      <c r="CL173" s="76">
        <v>0</v>
      </c>
      <c r="CM173" s="76">
        <v>254</v>
      </c>
      <c r="CN173" s="76">
        <v>0</v>
      </c>
      <c r="CO173" s="76">
        <v>0</v>
      </c>
      <c r="CP173" s="76">
        <v>0</v>
      </c>
      <c r="CQ173" s="76">
        <v>0</v>
      </c>
      <c r="CR173" s="76">
        <v>57</v>
      </c>
      <c r="CS173" s="76">
        <v>0</v>
      </c>
      <c r="CT173" s="76">
        <v>0</v>
      </c>
      <c r="CU173" s="76">
        <v>57</v>
      </c>
      <c r="CV173" s="76">
        <v>0</v>
      </c>
      <c r="CW173" s="76">
        <v>0</v>
      </c>
      <c r="CX173" s="76">
        <v>0</v>
      </c>
      <c r="CY173" s="76">
        <v>0</v>
      </c>
      <c r="CZ173" s="76">
        <v>1355</v>
      </c>
      <c r="DA173" s="76">
        <v>41</v>
      </c>
      <c r="DB173" s="76">
        <v>58</v>
      </c>
      <c r="DC173" s="76">
        <v>1256</v>
      </c>
      <c r="DD173" s="76">
        <v>2004</v>
      </c>
      <c r="DE173" s="76">
        <v>379</v>
      </c>
      <c r="DF173" s="76">
        <v>58</v>
      </c>
      <c r="DG173" s="76">
        <v>1567</v>
      </c>
      <c r="DH173" s="76">
        <v>0</v>
      </c>
      <c r="DI173" s="76">
        <v>0</v>
      </c>
      <c r="DJ173" s="76">
        <v>0</v>
      </c>
      <c r="DK173" s="76">
        <v>0</v>
      </c>
      <c r="DL173" s="76">
        <v>1174</v>
      </c>
      <c r="DM173" s="76">
        <v>0</v>
      </c>
      <c r="DN173" s="76">
        <v>544</v>
      </c>
      <c r="DO173" s="76">
        <v>630</v>
      </c>
      <c r="DP173" s="76">
        <v>0</v>
      </c>
      <c r="DQ173" s="76">
        <v>0</v>
      </c>
      <c r="DR173" s="76">
        <v>0</v>
      </c>
      <c r="DS173" s="76">
        <v>0</v>
      </c>
      <c r="DT173" s="76">
        <v>703</v>
      </c>
      <c r="DU173" s="76">
        <v>0</v>
      </c>
      <c r="DV173" s="76">
        <v>218</v>
      </c>
      <c r="DW173" s="76">
        <v>485</v>
      </c>
      <c r="DX173" s="76">
        <v>0</v>
      </c>
      <c r="DY173" s="76">
        <v>0</v>
      </c>
      <c r="DZ173" s="76">
        <v>0</v>
      </c>
      <c r="EA173" s="76">
        <v>0</v>
      </c>
      <c r="EB173" s="76">
        <v>176</v>
      </c>
      <c r="EC173" s="76">
        <v>0</v>
      </c>
      <c r="ED173" s="76">
        <v>101</v>
      </c>
      <c r="EE173" s="76">
        <v>75</v>
      </c>
      <c r="EF173" s="76">
        <v>2053</v>
      </c>
      <c r="EG173" s="76">
        <v>0</v>
      </c>
      <c r="EH173" s="76">
        <v>863</v>
      </c>
      <c r="EI173" s="76">
        <v>1190</v>
      </c>
      <c r="EJ173" s="76">
        <v>4057</v>
      </c>
      <c r="EK173" s="76">
        <v>379</v>
      </c>
      <c r="EL173" s="76">
        <v>921</v>
      </c>
      <c r="EM173" s="76">
        <v>2757</v>
      </c>
      <c r="EN173" s="76">
        <v>652</v>
      </c>
      <c r="EO173" s="76">
        <v>70</v>
      </c>
      <c r="EP173" s="76">
        <v>104</v>
      </c>
      <c r="EQ173" s="76">
        <v>53</v>
      </c>
      <c r="ER173" s="76">
        <v>103180</v>
      </c>
      <c r="ES173" s="76">
        <v>0</v>
      </c>
      <c r="ET173" s="76">
        <v>103180</v>
      </c>
      <c r="EU173" s="76">
        <v>1515</v>
      </c>
      <c r="EV173" s="76">
        <v>-2610</v>
      </c>
      <c r="EW173" s="76">
        <v>0</v>
      </c>
      <c r="EX173" s="76">
        <v>0</v>
      </c>
      <c r="EY173" s="76">
        <v>0</v>
      </c>
      <c r="EZ173" s="76">
        <v>102085</v>
      </c>
      <c r="FA173" s="76">
        <v>17501</v>
      </c>
      <c r="FB173" s="76">
        <v>1763</v>
      </c>
      <c r="FC173" s="76">
        <v>0</v>
      </c>
      <c r="FD173" s="76">
        <v>0</v>
      </c>
      <c r="FE173" s="76">
        <v>-555</v>
      </c>
      <c r="FF173" s="76">
        <v>0</v>
      </c>
      <c r="FG173" s="76">
        <v>0</v>
      </c>
      <c r="FH173" s="76">
        <v>18709</v>
      </c>
      <c r="FI173" s="76">
        <v>83376</v>
      </c>
      <c r="FJ173" s="76">
        <v>85679</v>
      </c>
      <c r="FK173" s="76">
        <v>436</v>
      </c>
      <c r="FL173" s="76">
        <v>290</v>
      </c>
      <c r="FM173" s="76">
        <v>146</v>
      </c>
      <c r="FN173" s="76">
        <v>587</v>
      </c>
      <c r="FO173" s="76">
        <v>595</v>
      </c>
      <c r="FP173" s="76">
        <v>-8</v>
      </c>
      <c r="FQ173" s="76">
        <v>135</v>
      </c>
      <c r="FR173" s="76">
        <v>150</v>
      </c>
      <c r="FS173" s="76">
        <v>-15</v>
      </c>
      <c r="FT173" s="76">
        <v>1077</v>
      </c>
      <c r="FU173" s="76">
        <v>1037</v>
      </c>
      <c r="FV173" s="76">
        <v>40</v>
      </c>
      <c r="FW173" s="76">
        <v>0</v>
      </c>
      <c r="FX173" s="76">
        <v>0</v>
      </c>
      <c r="FY173" s="76">
        <v>0</v>
      </c>
      <c r="FZ173" s="76">
        <v>0</v>
      </c>
      <c r="GA173" s="76">
        <v>0</v>
      </c>
      <c r="GB173" s="76">
        <v>0</v>
      </c>
      <c r="GC173" s="76">
        <v>2235</v>
      </c>
      <c r="GD173" s="76">
        <v>2072</v>
      </c>
      <c r="GE173" s="76">
        <v>163</v>
      </c>
      <c r="GF173" s="76">
        <v>0</v>
      </c>
      <c r="GG173" s="76">
        <v>2</v>
      </c>
      <c r="GH173" s="76">
        <v>0</v>
      </c>
      <c r="GI173" s="76">
        <v>0</v>
      </c>
      <c r="GJ173" s="76">
        <v>0</v>
      </c>
      <c r="GK173" s="76">
        <v>570</v>
      </c>
      <c r="GL173" s="76">
        <v>572</v>
      </c>
      <c r="GM173" s="76">
        <v>585</v>
      </c>
      <c r="GN173" s="76">
        <v>361</v>
      </c>
      <c r="GO173" s="76">
        <v>0</v>
      </c>
      <c r="GP173" s="76">
        <v>386</v>
      </c>
      <c r="GQ173" s="76">
        <v>215</v>
      </c>
      <c r="GR173" s="76">
        <v>425</v>
      </c>
      <c r="GS173" s="76">
        <v>0</v>
      </c>
      <c r="GT173" s="76">
        <v>0</v>
      </c>
      <c r="GU173" s="76">
        <v>189</v>
      </c>
      <c r="GV173" s="76">
        <v>0</v>
      </c>
      <c r="GW173" s="76">
        <v>1023</v>
      </c>
      <c r="GX173" s="76">
        <v>3184</v>
      </c>
      <c r="GY173" s="76">
        <v>0</v>
      </c>
      <c r="GZ173" s="76">
        <v>0</v>
      </c>
      <c r="HA173" s="76">
        <v>1102</v>
      </c>
      <c r="HB173" s="76">
        <v>0</v>
      </c>
      <c r="HC173" s="76">
        <v>1102</v>
      </c>
      <c r="HD173" s="76">
        <v>0</v>
      </c>
      <c r="HE173" s="76">
        <v>377</v>
      </c>
      <c r="HF173" s="76">
        <v>377</v>
      </c>
      <c r="HG173" s="76">
        <v>5961</v>
      </c>
      <c r="HH173" s="76">
        <v>77</v>
      </c>
      <c r="HI173" s="76">
        <v>0</v>
      </c>
      <c r="HJ173" s="76">
        <v>0</v>
      </c>
      <c r="HK173" s="76">
        <v>0</v>
      </c>
      <c r="HL173" s="76">
        <v>-1</v>
      </c>
      <c r="HM173" s="76">
        <v>6037</v>
      </c>
      <c r="HN173" s="76">
        <v>959</v>
      </c>
      <c r="HO173" s="76">
        <v>2492</v>
      </c>
      <c r="HP173" s="76">
        <v>0</v>
      </c>
      <c r="HQ173" s="76">
        <v>31</v>
      </c>
      <c r="HR173" s="76">
        <v>-30</v>
      </c>
      <c r="HS173" s="76">
        <v>-1</v>
      </c>
      <c r="HT173" s="76">
        <v>3593</v>
      </c>
      <c r="HU173" s="76">
        <v>0</v>
      </c>
      <c r="HV173" s="76">
        <v>0</v>
      </c>
      <c r="HW173" s="76">
        <v>1</v>
      </c>
      <c r="HX173" s="76">
        <v>367</v>
      </c>
    </row>
    <row r="174" spans="1:232" x14ac:dyDescent="0.2">
      <c r="A174" s="74" t="s">
        <v>669</v>
      </c>
      <c r="B174" s="74" t="s">
        <v>670</v>
      </c>
      <c r="C174" s="75" t="s">
        <v>200</v>
      </c>
      <c r="D174" s="75">
        <v>12</v>
      </c>
      <c r="E174" s="76">
        <v>42898</v>
      </c>
      <c r="F174" s="76">
        <v>0</v>
      </c>
      <c r="G174" s="76">
        <v>-32101</v>
      </c>
      <c r="H174" s="76">
        <v>10797</v>
      </c>
      <c r="I174" s="76">
        <v>3428</v>
      </c>
      <c r="J174" s="76">
        <v>0</v>
      </c>
      <c r="K174" s="76">
        <v>0</v>
      </c>
      <c r="L174" s="76">
        <v>0</v>
      </c>
      <c r="M174" s="76">
        <v>274</v>
      </c>
      <c r="N174" s="76">
        <v>-5200</v>
      </c>
      <c r="O174" s="76">
        <v>3229</v>
      </c>
      <c r="P174" s="76">
        <v>0</v>
      </c>
      <c r="Q174" s="76">
        <v>0</v>
      </c>
      <c r="R174" s="76">
        <v>0</v>
      </c>
      <c r="S174" s="76">
        <v>12528</v>
      </c>
      <c r="T174" s="76">
        <v>0</v>
      </c>
      <c r="U174" s="76">
        <v>12528</v>
      </c>
      <c r="V174" s="76">
        <v>0</v>
      </c>
      <c r="W174" s="76">
        <v>0</v>
      </c>
      <c r="X174" s="76">
        <v>0</v>
      </c>
      <c r="Y174" s="76">
        <v>0</v>
      </c>
      <c r="Z174" s="76">
        <v>12528</v>
      </c>
      <c r="AA174" s="76">
        <v>26068</v>
      </c>
      <c r="AB174" s="76">
        <v>2624</v>
      </c>
      <c r="AC174" s="76">
        <v>28692</v>
      </c>
      <c r="AD174" s="76">
        <v>1678</v>
      </c>
      <c r="AE174" s="76">
        <v>0</v>
      </c>
      <c r="AF174" s="76">
        <v>0</v>
      </c>
      <c r="AG174" s="76">
        <v>1549</v>
      </c>
      <c r="AH174" s="76">
        <v>31919</v>
      </c>
      <c r="AI174" s="76">
        <v>4241</v>
      </c>
      <c r="AJ174" s="76">
        <v>2757</v>
      </c>
      <c r="AK174" s="76">
        <v>4200</v>
      </c>
      <c r="AL174" s="76">
        <v>4822</v>
      </c>
      <c r="AM174" s="76">
        <v>0</v>
      </c>
      <c r="AN174" s="76">
        <v>211</v>
      </c>
      <c r="AO174" s="76">
        <v>4231</v>
      </c>
      <c r="AP174" s="76">
        <v>0</v>
      </c>
      <c r="AQ174" s="76">
        <v>359</v>
      </c>
      <c r="AR174" s="76">
        <v>20821</v>
      </c>
      <c r="AS174" s="76">
        <v>11098</v>
      </c>
      <c r="AT174" s="76">
        <v>100</v>
      </c>
      <c r="AU174" s="76">
        <v>379562</v>
      </c>
      <c r="AV174" s="76">
        <v>0</v>
      </c>
      <c r="AW174" s="76">
        <v>1774</v>
      </c>
      <c r="AX174" s="76">
        <v>0</v>
      </c>
      <c r="AY174" s="76">
        <v>5796</v>
      </c>
      <c r="AZ174" s="76">
        <v>21495</v>
      </c>
      <c r="BA174" s="76">
        <v>0</v>
      </c>
      <c r="BB174" s="76">
        <v>0</v>
      </c>
      <c r="BC174" s="76">
        <v>0</v>
      </c>
      <c r="BD174" s="76">
        <v>0</v>
      </c>
      <c r="BE174" s="76">
        <v>408627</v>
      </c>
      <c r="BF174" s="76">
        <v>2195</v>
      </c>
      <c r="BG174" s="76">
        <v>8174</v>
      </c>
      <c r="BH174" s="76">
        <v>41577</v>
      </c>
      <c r="BI174" s="76">
        <v>0</v>
      </c>
      <c r="BJ174" s="76">
        <v>171</v>
      </c>
      <c r="BK174" s="76">
        <v>52117</v>
      </c>
      <c r="BL174" s="76">
        <v>7565</v>
      </c>
      <c r="BM174" s="76">
        <v>0</v>
      </c>
      <c r="BN174" s="76">
        <v>1677</v>
      </c>
      <c r="BO174" s="76">
        <v>17413</v>
      </c>
      <c r="BP174" s="76">
        <v>26655</v>
      </c>
      <c r="BQ174" s="76">
        <v>25462</v>
      </c>
      <c r="BR174" s="76">
        <v>434089</v>
      </c>
      <c r="BS174" s="76">
        <v>155182</v>
      </c>
      <c r="BT174" s="76">
        <v>0</v>
      </c>
      <c r="BU174" s="76">
        <v>0</v>
      </c>
      <c r="BV174" s="76">
        <v>186716</v>
      </c>
      <c r="BW174" s="76">
        <v>5762</v>
      </c>
      <c r="BX174" s="76">
        <v>0</v>
      </c>
      <c r="BY174" s="76">
        <v>2621</v>
      </c>
      <c r="BZ174" s="76">
        <v>350281</v>
      </c>
      <c r="CA174" s="76">
        <v>4813</v>
      </c>
      <c r="CB174" s="76">
        <v>353</v>
      </c>
      <c r="CC174" s="76">
        <v>78642</v>
      </c>
      <c r="CD174" s="76">
        <v>76922</v>
      </c>
      <c r="CE174" s="76">
        <v>0</v>
      </c>
      <c r="CF174" s="76">
        <v>1719</v>
      </c>
      <c r="CG174" s="76">
        <v>0</v>
      </c>
      <c r="CH174" s="76">
        <v>0</v>
      </c>
      <c r="CI174" s="76">
        <v>78641</v>
      </c>
      <c r="CJ174" s="76">
        <v>0</v>
      </c>
      <c r="CK174" s="76">
        <v>0</v>
      </c>
      <c r="CL174" s="76">
        <v>0</v>
      </c>
      <c r="CM174" s="76">
        <v>0</v>
      </c>
      <c r="CN174" s="76">
        <v>82</v>
      </c>
      <c r="CO174" s="76">
        <v>0</v>
      </c>
      <c r="CP174" s="76">
        <v>174</v>
      </c>
      <c r="CQ174" s="76">
        <v>-92</v>
      </c>
      <c r="CR174" s="76">
        <v>0</v>
      </c>
      <c r="CS174" s="76">
        <v>0</v>
      </c>
      <c r="CT174" s="76">
        <v>339</v>
      </c>
      <c r="CU174" s="76">
        <v>-339</v>
      </c>
      <c r="CV174" s="76">
        <v>2325</v>
      </c>
      <c r="CW174" s="76">
        <v>0</v>
      </c>
      <c r="CX174" s="76">
        <v>3681</v>
      </c>
      <c r="CY174" s="76">
        <v>-1356</v>
      </c>
      <c r="CZ174" s="76">
        <v>0</v>
      </c>
      <c r="DA174" s="76">
        <v>0</v>
      </c>
      <c r="DB174" s="76">
        <v>0</v>
      </c>
      <c r="DC174" s="76">
        <v>0</v>
      </c>
      <c r="DD174" s="76">
        <v>2407</v>
      </c>
      <c r="DE174" s="76">
        <v>0</v>
      </c>
      <c r="DF174" s="76">
        <v>4194</v>
      </c>
      <c r="DG174" s="76">
        <v>-1787</v>
      </c>
      <c r="DH174" s="76">
        <v>0</v>
      </c>
      <c r="DI174" s="76">
        <v>0</v>
      </c>
      <c r="DJ174" s="76">
        <v>0</v>
      </c>
      <c r="DK174" s="76">
        <v>0</v>
      </c>
      <c r="DL174" s="76">
        <v>0</v>
      </c>
      <c r="DM174" s="76">
        <v>0</v>
      </c>
      <c r="DN174" s="76">
        <v>0</v>
      </c>
      <c r="DO174" s="76">
        <v>0</v>
      </c>
      <c r="DP174" s="76">
        <v>0</v>
      </c>
      <c r="DQ174" s="76">
        <v>0</v>
      </c>
      <c r="DR174" s="76">
        <v>0</v>
      </c>
      <c r="DS174" s="76">
        <v>0</v>
      </c>
      <c r="DT174" s="76">
        <v>0</v>
      </c>
      <c r="DU174" s="76">
        <v>0</v>
      </c>
      <c r="DV174" s="76">
        <v>0</v>
      </c>
      <c r="DW174" s="76">
        <v>0</v>
      </c>
      <c r="DX174" s="76">
        <v>0</v>
      </c>
      <c r="DY174" s="76">
        <v>0</v>
      </c>
      <c r="DZ174" s="76">
        <v>0</v>
      </c>
      <c r="EA174" s="76">
        <v>0</v>
      </c>
      <c r="EB174" s="76">
        <v>8572</v>
      </c>
      <c r="EC174" s="76">
        <v>0</v>
      </c>
      <c r="ED174" s="76">
        <v>7086</v>
      </c>
      <c r="EE174" s="76">
        <v>1486</v>
      </c>
      <c r="EF174" s="76">
        <v>8572</v>
      </c>
      <c r="EG174" s="76">
        <v>0</v>
      </c>
      <c r="EH174" s="76">
        <v>7086</v>
      </c>
      <c r="EI174" s="76">
        <v>1486</v>
      </c>
      <c r="EJ174" s="76">
        <v>10979</v>
      </c>
      <c r="EK174" s="76">
        <v>0</v>
      </c>
      <c r="EL174" s="76">
        <v>11280</v>
      </c>
      <c r="EM174" s="76">
        <v>-301</v>
      </c>
      <c r="EN174" s="76">
        <v>1131</v>
      </c>
      <c r="EO174" s="76">
        <v>1124</v>
      </c>
      <c r="EP174" s="76">
        <v>252</v>
      </c>
      <c r="EQ174" s="76">
        <v>1124</v>
      </c>
      <c r="ER174" s="76">
        <v>410848</v>
      </c>
      <c r="ES174" s="76">
        <v>0</v>
      </c>
      <c r="ET174" s="76">
        <v>410848</v>
      </c>
      <c r="EU174" s="76">
        <v>12956</v>
      </c>
      <c r="EV174" s="76">
        <v>-4009</v>
      </c>
      <c r="EW174" s="76">
        <v>0</v>
      </c>
      <c r="EX174" s="76">
        <v>0</v>
      </c>
      <c r="EY174" s="76">
        <v>337</v>
      </c>
      <c r="EZ174" s="76">
        <v>420132</v>
      </c>
      <c r="FA174" s="76">
        <v>37649</v>
      </c>
      <c r="FB174" s="76">
        <v>3792</v>
      </c>
      <c r="FC174" s="76">
        <v>0</v>
      </c>
      <c r="FD174" s="76">
        <v>0</v>
      </c>
      <c r="FE174" s="76">
        <v>-870</v>
      </c>
      <c r="FF174" s="76">
        <v>0</v>
      </c>
      <c r="FG174" s="76">
        <v>0</v>
      </c>
      <c r="FH174" s="76">
        <v>40571</v>
      </c>
      <c r="FI174" s="76">
        <v>379561</v>
      </c>
      <c r="FJ174" s="76">
        <v>373199</v>
      </c>
      <c r="FK174" s="76">
        <v>4688</v>
      </c>
      <c r="FL174" s="76">
        <v>2686</v>
      </c>
      <c r="FM174" s="76">
        <v>2002</v>
      </c>
      <c r="FN174" s="76">
        <v>0</v>
      </c>
      <c r="FO174" s="76">
        <v>0</v>
      </c>
      <c r="FP174" s="76">
        <v>0</v>
      </c>
      <c r="FQ174" s="76">
        <v>0</v>
      </c>
      <c r="FR174" s="76">
        <v>0</v>
      </c>
      <c r="FS174" s="76">
        <v>0</v>
      </c>
      <c r="FT174" s="76">
        <v>1928</v>
      </c>
      <c r="FU174" s="76">
        <v>502</v>
      </c>
      <c r="FV174" s="76">
        <v>1426</v>
      </c>
      <c r="FW174" s="76">
        <v>0</v>
      </c>
      <c r="FX174" s="76">
        <v>0</v>
      </c>
      <c r="FY174" s="76">
        <v>0</v>
      </c>
      <c r="FZ174" s="76">
        <v>0</v>
      </c>
      <c r="GA174" s="76">
        <v>0</v>
      </c>
      <c r="GB174" s="76">
        <v>0</v>
      </c>
      <c r="GC174" s="76">
        <v>6616</v>
      </c>
      <c r="GD174" s="76">
        <v>3188</v>
      </c>
      <c r="GE174" s="76">
        <v>3428</v>
      </c>
      <c r="GF174" s="76">
        <v>0</v>
      </c>
      <c r="GG174" s="76">
        <v>0</v>
      </c>
      <c r="GH174" s="76">
        <v>0</v>
      </c>
      <c r="GI174" s="76">
        <v>0</v>
      </c>
      <c r="GJ174" s="76">
        <v>0</v>
      </c>
      <c r="GK174" s="76">
        <v>171</v>
      </c>
      <c r="GL174" s="76">
        <v>171</v>
      </c>
      <c r="GM174" s="76">
        <v>1803</v>
      </c>
      <c r="GN174" s="76">
        <v>1614</v>
      </c>
      <c r="GO174" s="76">
        <v>0</v>
      </c>
      <c r="GP174" s="76">
        <v>4367</v>
      </c>
      <c r="GQ174" s="76">
        <v>571</v>
      </c>
      <c r="GR174" s="76">
        <v>2108</v>
      </c>
      <c r="GS174" s="76">
        <v>0</v>
      </c>
      <c r="GT174" s="76">
        <v>0</v>
      </c>
      <c r="GU174" s="76">
        <v>757</v>
      </c>
      <c r="GV174" s="76">
        <v>0</v>
      </c>
      <c r="GW174" s="76">
        <v>6194</v>
      </c>
      <c r="GX174" s="76">
        <v>17414</v>
      </c>
      <c r="GY174" s="76">
        <v>2621</v>
      </c>
      <c r="GZ174" s="76">
        <v>0</v>
      </c>
      <c r="HA174" s="76">
        <v>0</v>
      </c>
      <c r="HB174" s="76">
        <v>0</v>
      </c>
      <c r="HC174" s="76">
        <v>2621</v>
      </c>
      <c r="HD174" s="76">
        <v>353</v>
      </c>
      <c r="HE174" s="76">
        <v>0</v>
      </c>
      <c r="HF174" s="76">
        <v>353</v>
      </c>
      <c r="HG174" s="76">
        <v>5583</v>
      </c>
      <c r="HH174" s="76">
        <v>0</v>
      </c>
      <c r="HI174" s="76">
        <v>141</v>
      </c>
      <c r="HJ174" s="76">
        <v>0</v>
      </c>
      <c r="HK174" s="76">
        <v>20</v>
      </c>
      <c r="HL174" s="76">
        <v>-544</v>
      </c>
      <c r="HM174" s="76">
        <v>5200</v>
      </c>
      <c r="HN174" s="76">
        <v>2589</v>
      </c>
      <c r="HO174" s="76">
        <v>4231</v>
      </c>
      <c r="HP174" s="76">
        <v>0</v>
      </c>
      <c r="HQ174" s="76">
        <v>65</v>
      </c>
      <c r="HR174" s="76">
        <v>-5</v>
      </c>
      <c r="HS174" s="76">
        <v>-5</v>
      </c>
      <c r="HT174" s="76">
        <v>4643</v>
      </c>
      <c r="HU174" s="76">
        <v>9</v>
      </c>
      <c r="HV174" s="76">
        <v>0</v>
      </c>
      <c r="HW174" s="76">
        <v>-2</v>
      </c>
      <c r="HX174" s="76">
        <v>470</v>
      </c>
    </row>
    <row r="175" spans="1:232" x14ac:dyDescent="0.2">
      <c r="A175" s="74" t="s">
        <v>672</v>
      </c>
      <c r="B175" s="74" t="s">
        <v>673</v>
      </c>
      <c r="C175" s="75" t="s">
        <v>200</v>
      </c>
      <c r="D175" s="75">
        <v>12</v>
      </c>
      <c r="E175" s="76">
        <v>31225</v>
      </c>
      <c r="F175" s="76">
        <v>-61</v>
      </c>
      <c r="G175" s="76">
        <v>-20531</v>
      </c>
      <c r="H175" s="76">
        <v>10633</v>
      </c>
      <c r="I175" s="76">
        <v>488</v>
      </c>
      <c r="J175" s="76">
        <v>0</v>
      </c>
      <c r="K175" s="76">
        <v>0</v>
      </c>
      <c r="L175" s="76">
        <v>0</v>
      </c>
      <c r="M175" s="76">
        <v>92</v>
      </c>
      <c r="N175" s="76">
        <v>-3473</v>
      </c>
      <c r="O175" s="76">
        <v>0</v>
      </c>
      <c r="P175" s="76">
        <v>0</v>
      </c>
      <c r="Q175" s="76">
        <v>0</v>
      </c>
      <c r="R175" s="76">
        <v>0</v>
      </c>
      <c r="S175" s="76">
        <v>7740</v>
      </c>
      <c r="T175" s="76">
        <v>0</v>
      </c>
      <c r="U175" s="76">
        <v>7740</v>
      </c>
      <c r="V175" s="76">
        <v>0</v>
      </c>
      <c r="W175" s="76">
        <v>736</v>
      </c>
      <c r="X175" s="76">
        <v>0</v>
      </c>
      <c r="Y175" s="76">
        <v>0</v>
      </c>
      <c r="Z175" s="76">
        <v>8476</v>
      </c>
      <c r="AA175" s="76">
        <v>28266</v>
      </c>
      <c r="AB175" s="76">
        <v>912</v>
      </c>
      <c r="AC175" s="76">
        <v>29178</v>
      </c>
      <c r="AD175" s="76">
        <v>702</v>
      </c>
      <c r="AE175" s="76">
        <v>0</v>
      </c>
      <c r="AF175" s="76">
        <v>0</v>
      </c>
      <c r="AG175" s="76">
        <v>1171</v>
      </c>
      <c r="AH175" s="76">
        <v>31051</v>
      </c>
      <c r="AI175" s="76">
        <v>9253</v>
      </c>
      <c r="AJ175" s="76">
        <v>1295</v>
      </c>
      <c r="AK175" s="76">
        <v>3717</v>
      </c>
      <c r="AL175" s="76">
        <v>1136</v>
      </c>
      <c r="AM175" s="76">
        <v>483</v>
      </c>
      <c r="AN175" s="76">
        <v>118</v>
      </c>
      <c r="AO175" s="76">
        <v>3910</v>
      </c>
      <c r="AP175" s="76">
        <v>285</v>
      </c>
      <c r="AQ175" s="76">
        <v>326</v>
      </c>
      <c r="AR175" s="76">
        <v>20523</v>
      </c>
      <c r="AS175" s="76">
        <v>10528</v>
      </c>
      <c r="AT175" s="76">
        <v>496</v>
      </c>
      <c r="AU175" s="76">
        <v>112172</v>
      </c>
      <c r="AV175" s="76">
        <v>0</v>
      </c>
      <c r="AW175" s="76">
        <v>733</v>
      </c>
      <c r="AX175" s="76">
        <v>0</v>
      </c>
      <c r="AY175" s="76">
        <v>0</v>
      </c>
      <c r="AZ175" s="76">
        <v>0</v>
      </c>
      <c r="BA175" s="76">
        <v>0</v>
      </c>
      <c r="BB175" s="76">
        <v>0</v>
      </c>
      <c r="BC175" s="76">
        <v>0</v>
      </c>
      <c r="BD175" s="76">
        <v>0</v>
      </c>
      <c r="BE175" s="76">
        <v>112905</v>
      </c>
      <c r="BF175" s="76">
        <v>0</v>
      </c>
      <c r="BG175" s="76">
        <v>1996</v>
      </c>
      <c r="BH175" s="76">
        <v>27404</v>
      </c>
      <c r="BI175" s="76">
        <v>0</v>
      </c>
      <c r="BJ175" s="76">
        <v>92</v>
      </c>
      <c r="BK175" s="76">
        <v>29492</v>
      </c>
      <c r="BL175" s="76">
        <v>0</v>
      </c>
      <c r="BM175" s="76">
        <v>0</v>
      </c>
      <c r="BN175" s="76">
        <v>700</v>
      </c>
      <c r="BO175" s="76">
        <v>6905</v>
      </c>
      <c r="BP175" s="76">
        <v>7605</v>
      </c>
      <c r="BQ175" s="76">
        <v>21887</v>
      </c>
      <c r="BR175" s="76">
        <v>134792</v>
      </c>
      <c r="BS175" s="76">
        <v>69449</v>
      </c>
      <c r="BT175" s="76">
        <v>0</v>
      </c>
      <c r="BU175" s="76">
        <v>0</v>
      </c>
      <c r="BV175" s="76">
        <v>19110</v>
      </c>
      <c r="BW175" s="76">
        <v>0</v>
      </c>
      <c r="BX175" s="76">
        <v>0</v>
      </c>
      <c r="BY175" s="76">
        <v>1249</v>
      </c>
      <c r="BZ175" s="76">
        <v>89808</v>
      </c>
      <c r="CA175" s="76">
        <v>2535</v>
      </c>
      <c r="CB175" s="76">
        <v>0</v>
      </c>
      <c r="CC175" s="76">
        <v>42449</v>
      </c>
      <c r="CD175" s="76">
        <v>42449</v>
      </c>
      <c r="CE175" s="76">
        <v>0</v>
      </c>
      <c r="CF175" s="76">
        <v>0</v>
      </c>
      <c r="CG175" s="76">
        <v>0</v>
      </c>
      <c r="CH175" s="76">
        <v>0</v>
      </c>
      <c r="CI175" s="76">
        <v>42449</v>
      </c>
      <c r="CJ175" s="76">
        <v>127</v>
      </c>
      <c r="CK175" s="76">
        <v>61</v>
      </c>
      <c r="CL175" s="76">
        <v>0</v>
      </c>
      <c r="CM175" s="76">
        <v>66</v>
      </c>
      <c r="CN175" s="76">
        <v>0</v>
      </c>
      <c r="CO175" s="76">
        <v>0</v>
      </c>
      <c r="CP175" s="76">
        <v>0</v>
      </c>
      <c r="CQ175" s="76">
        <v>0</v>
      </c>
      <c r="CR175" s="76">
        <v>0</v>
      </c>
      <c r="CS175" s="76">
        <v>0</v>
      </c>
      <c r="CT175" s="76">
        <v>0</v>
      </c>
      <c r="CU175" s="76">
        <v>0</v>
      </c>
      <c r="CV175" s="76">
        <v>0</v>
      </c>
      <c r="CW175" s="76">
        <v>0</v>
      </c>
      <c r="CX175" s="76">
        <v>0</v>
      </c>
      <c r="CY175" s="76">
        <v>0</v>
      </c>
      <c r="CZ175" s="76">
        <v>0</v>
      </c>
      <c r="DA175" s="76">
        <v>0</v>
      </c>
      <c r="DB175" s="76">
        <v>0</v>
      </c>
      <c r="DC175" s="76">
        <v>0</v>
      </c>
      <c r="DD175" s="76">
        <v>127</v>
      </c>
      <c r="DE175" s="76">
        <v>61</v>
      </c>
      <c r="DF175" s="76">
        <v>0</v>
      </c>
      <c r="DG175" s="76">
        <v>66</v>
      </c>
      <c r="DH175" s="76">
        <v>0</v>
      </c>
      <c r="DI175" s="76">
        <v>0</v>
      </c>
      <c r="DJ175" s="76">
        <v>0</v>
      </c>
      <c r="DK175" s="76">
        <v>0</v>
      </c>
      <c r="DL175" s="76">
        <v>0</v>
      </c>
      <c r="DM175" s="76">
        <v>0</v>
      </c>
      <c r="DN175" s="76">
        <v>0</v>
      </c>
      <c r="DO175" s="76">
        <v>0</v>
      </c>
      <c r="DP175" s="76">
        <v>0</v>
      </c>
      <c r="DQ175" s="76">
        <v>0</v>
      </c>
      <c r="DR175" s="76">
        <v>0</v>
      </c>
      <c r="DS175" s="76">
        <v>0</v>
      </c>
      <c r="DT175" s="76">
        <v>0</v>
      </c>
      <c r="DU175" s="76">
        <v>0</v>
      </c>
      <c r="DV175" s="76">
        <v>0</v>
      </c>
      <c r="DW175" s="76">
        <v>0</v>
      </c>
      <c r="DX175" s="76">
        <v>0</v>
      </c>
      <c r="DY175" s="76">
        <v>0</v>
      </c>
      <c r="DZ175" s="76">
        <v>0</v>
      </c>
      <c r="EA175" s="76">
        <v>0</v>
      </c>
      <c r="EB175" s="76">
        <v>47</v>
      </c>
      <c r="EC175" s="76">
        <v>0</v>
      </c>
      <c r="ED175" s="76">
        <v>8</v>
      </c>
      <c r="EE175" s="76">
        <v>39</v>
      </c>
      <c r="EF175" s="76">
        <v>47</v>
      </c>
      <c r="EG175" s="76">
        <v>0</v>
      </c>
      <c r="EH175" s="76">
        <v>8</v>
      </c>
      <c r="EI175" s="76">
        <v>39</v>
      </c>
      <c r="EJ175" s="76">
        <v>174</v>
      </c>
      <c r="EK175" s="76">
        <v>61</v>
      </c>
      <c r="EL175" s="76">
        <v>8</v>
      </c>
      <c r="EM175" s="76">
        <v>105</v>
      </c>
      <c r="EN175" s="76">
        <v>1123</v>
      </c>
      <c r="EO175" s="76">
        <v>1230</v>
      </c>
      <c r="EP175" s="76">
        <v>424</v>
      </c>
      <c r="EQ175" s="76">
        <v>1230</v>
      </c>
      <c r="ER175" s="76">
        <v>134873</v>
      </c>
      <c r="ES175" s="76">
        <v>0</v>
      </c>
      <c r="ET175" s="76">
        <v>134873</v>
      </c>
      <c r="EU175" s="76">
        <v>10569</v>
      </c>
      <c r="EV175" s="76">
        <v>-1501</v>
      </c>
      <c r="EW175" s="76">
        <v>0</v>
      </c>
      <c r="EX175" s="76">
        <v>0</v>
      </c>
      <c r="EY175" s="76">
        <v>0</v>
      </c>
      <c r="EZ175" s="76">
        <v>143941</v>
      </c>
      <c r="FA175" s="76">
        <v>28586</v>
      </c>
      <c r="FB175" s="76">
        <v>3910</v>
      </c>
      <c r="FC175" s="76">
        <v>285</v>
      </c>
      <c r="FD175" s="76">
        <v>0</v>
      </c>
      <c r="FE175" s="76">
        <v>-1013</v>
      </c>
      <c r="FF175" s="76">
        <v>0</v>
      </c>
      <c r="FG175" s="76">
        <v>0</v>
      </c>
      <c r="FH175" s="76">
        <v>31768</v>
      </c>
      <c r="FI175" s="76">
        <v>112173</v>
      </c>
      <c r="FJ175" s="76">
        <v>106287</v>
      </c>
      <c r="FK175" s="76">
        <v>0</v>
      </c>
      <c r="FL175" s="76">
        <v>0</v>
      </c>
      <c r="FM175" s="76">
        <v>0</v>
      </c>
      <c r="FN175" s="76">
        <v>759</v>
      </c>
      <c r="FO175" s="76">
        <v>451</v>
      </c>
      <c r="FP175" s="76">
        <v>308</v>
      </c>
      <c r="FQ175" s="76">
        <v>0</v>
      </c>
      <c r="FR175" s="76">
        <v>4</v>
      </c>
      <c r="FS175" s="76">
        <v>-4</v>
      </c>
      <c r="FT175" s="76">
        <v>310</v>
      </c>
      <c r="FU175" s="76">
        <v>126</v>
      </c>
      <c r="FV175" s="76">
        <v>184</v>
      </c>
      <c r="FW175" s="76">
        <v>0</v>
      </c>
      <c r="FX175" s="76">
        <v>0</v>
      </c>
      <c r="FY175" s="76">
        <v>0</v>
      </c>
      <c r="FZ175" s="76">
        <v>0</v>
      </c>
      <c r="GA175" s="76">
        <v>0</v>
      </c>
      <c r="GB175" s="76">
        <v>0</v>
      </c>
      <c r="GC175" s="76">
        <v>1069</v>
      </c>
      <c r="GD175" s="76">
        <v>581</v>
      </c>
      <c r="GE175" s="76">
        <v>488</v>
      </c>
      <c r="GF175" s="76">
        <v>0</v>
      </c>
      <c r="GG175" s="76">
        <v>0</v>
      </c>
      <c r="GH175" s="76">
        <v>0</v>
      </c>
      <c r="GI175" s="76">
        <v>0</v>
      </c>
      <c r="GJ175" s="76">
        <v>0</v>
      </c>
      <c r="GK175" s="76">
        <v>92</v>
      </c>
      <c r="GL175" s="76">
        <v>92</v>
      </c>
      <c r="GM175" s="76">
        <v>1641</v>
      </c>
      <c r="GN175" s="76">
        <v>496</v>
      </c>
      <c r="GO175" s="76">
        <v>0</v>
      </c>
      <c r="GP175" s="76">
        <v>24</v>
      </c>
      <c r="GQ175" s="76">
        <v>437</v>
      </c>
      <c r="GR175" s="76">
        <v>2405</v>
      </c>
      <c r="GS175" s="76">
        <v>0</v>
      </c>
      <c r="GT175" s="76">
        <v>0</v>
      </c>
      <c r="GU175" s="76">
        <v>135</v>
      </c>
      <c r="GV175" s="76">
        <v>0</v>
      </c>
      <c r="GW175" s="76">
        <v>1767</v>
      </c>
      <c r="GX175" s="76">
        <v>6905</v>
      </c>
      <c r="GY175" s="76">
        <v>92</v>
      </c>
      <c r="GZ175" s="76">
        <v>407</v>
      </c>
      <c r="HA175" s="76">
        <v>715</v>
      </c>
      <c r="HB175" s="76">
        <v>35</v>
      </c>
      <c r="HC175" s="76">
        <v>1249</v>
      </c>
      <c r="HD175" s="76">
        <v>0</v>
      </c>
      <c r="HE175" s="76">
        <v>0</v>
      </c>
      <c r="HF175" s="76">
        <v>0</v>
      </c>
      <c r="HG175" s="76">
        <v>3258</v>
      </c>
      <c r="HH175" s="76">
        <v>0</v>
      </c>
      <c r="HI175" s="76">
        <v>131</v>
      </c>
      <c r="HJ175" s="76">
        <v>0</v>
      </c>
      <c r="HK175" s="76">
        <v>84</v>
      </c>
      <c r="HL175" s="76">
        <v>0</v>
      </c>
      <c r="HM175" s="76">
        <v>3473</v>
      </c>
      <c r="HN175" s="76">
        <v>9585</v>
      </c>
      <c r="HO175" s="76">
        <v>4234</v>
      </c>
      <c r="HP175" s="76">
        <v>285</v>
      </c>
      <c r="HQ175" s="76">
        <v>5</v>
      </c>
      <c r="HR175" s="76">
        <v>-122</v>
      </c>
      <c r="HS175" s="76">
        <v>1</v>
      </c>
      <c r="HT175" s="76">
        <v>7966</v>
      </c>
      <c r="HU175" s="76">
        <v>0</v>
      </c>
      <c r="HV175" s="76">
        <v>0</v>
      </c>
      <c r="HW175" s="76">
        <v>-1</v>
      </c>
      <c r="HX175" s="76">
        <v>216</v>
      </c>
    </row>
    <row r="176" spans="1:232" x14ac:dyDescent="0.2">
      <c r="A176" s="74" t="s">
        <v>677</v>
      </c>
      <c r="B176" s="74" t="s">
        <v>676</v>
      </c>
      <c r="C176" s="75" t="s">
        <v>200</v>
      </c>
      <c r="D176" s="75">
        <v>12</v>
      </c>
      <c r="E176" s="76">
        <v>45568</v>
      </c>
      <c r="F176" s="76">
        <v>-4660</v>
      </c>
      <c r="G176" s="76">
        <v>-19755</v>
      </c>
      <c r="H176" s="76">
        <v>21153</v>
      </c>
      <c r="I176" s="76">
        <v>1765</v>
      </c>
      <c r="J176" s="76">
        <v>0</v>
      </c>
      <c r="K176" s="76">
        <v>0</v>
      </c>
      <c r="L176" s="76">
        <v>0</v>
      </c>
      <c r="M176" s="76">
        <v>177</v>
      </c>
      <c r="N176" s="76">
        <v>-9706</v>
      </c>
      <c r="O176" s="76">
        <v>1030</v>
      </c>
      <c r="P176" s="76">
        <v>38</v>
      </c>
      <c r="Q176" s="76">
        <v>0</v>
      </c>
      <c r="R176" s="76">
        <v>0</v>
      </c>
      <c r="S176" s="76">
        <v>14457</v>
      </c>
      <c r="T176" s="76">
        <v>-133</v>
      </c>
      <c r="U176" s="76">
        <v>14324</v>
      </c>
      <c r="V176" s="76">
        <v>0</v>
      </c>
      <c r="W176" s="76">
        <v>0</v>
      </c>
      <c r="X176" s="76">
        <v>0</v>
      </c>
      <c r="Y176" s="76">
        <v>0</v>
      </c>
      <c r="Z176" s="76">
        <v>14324</v>
      </c>
      <c r="AA176" s="76">
        <v>34752</v>
      </c>
      <c r="AB176" s="76">
        <v>893</v>
      </c>
      <c r="AC176" s="76">
        <v>35645</v>
      </c>
      <c r="AD176" s="76">
        <v>562</v>
      </c>
      <c r="AE176" s="76">
        <v>0</v>
      </c>
      <c r="AF176" s="76">
        <v>0</v>
      </c>
      <c r="AG176" s="76">
        <v>0</v>
      </c>
      <c r="AH176" s="76">
        <v>36207</v>
      </c>
      <c r="AI176" s="76">
        <v>2649</v>
      </c>
      <c r="AJ176" s="76">
        <v>1507</v>
      </c>
      <c r="AK176" s="76">
        <v>5595</v>
      </c>
      <c r="AL176" s="76">
        <v>4036</v>
      </c>
      <c r="AM176" s="76">
        <v>0</v>
      </c>
      <c r="AN176" s="76">
        <v>190</v>
      </c>
      <c r="AO176" s="76">
        <v>4504</v>
      </c>
      <c r="AP176" s="76">
        <v>0</v>
      </c>
      <c r="AQ176" s="76">
        <v>0</v>
      </c>
      <c r="AR176" s="76">
        <v>18481</v>
      </c>
      <c r="AS176" s="76">
        <v>17726</v>
      </c>
      <c r="AT176" s="76">
        <v>190</v>
      </c>
      <c r="AU176" s="76">
        <v>498335</v>
      </c>
      <c r="AV176" s="76">
        <v>0</v>
      </c>
      <c r="AW176" s="76">
        <v>2354</v>
      </c>
      <c r="AX176" s="76">
        <v>0</v>
      </c>
      <c r="AY176" s="76">
        <v>1104</v>
      </c>
      <c r="AZ176" s="76">
        <v>2777</v>
      </c>
      <c r="BA176" s="76">
        <v>0</v>
      </c>
      <c r="BB176" s="76">
        <v>0</v>
      </c>
      <c r="BC176" s="76">
        <v>0</v>
      </c>
      <c r="BD176" s="76">
        <v>0</v>
      </c>
      <c r="BE176" s="76">
        <v>504570</v>
      </c>
      <c r="BF176" s="76">
        <v>3240</v>
      </c>
      <c r="BG176" s="76">
        <v>1743</v>
      </c>
      <c r="BH176" s="76">
        <v>42231</v>
      </c>
      <c r="BI176" s="76">
        <v>0</v>
      </c>
      <c r="BJ176" s="76">
        <v>921</v>
      </c>
      <c r="BK176" s="76">
        <v>48135</v>
      </c>
      <c r="BL176" s="76">
        <v>2103</v>
      </c>
      <c r="BM176" s="76">
        <v>0</v>
      </c>
      <c r="BN176" s="76">
        <v>557</v>
      </c>
      <c r="BO176" s="76">
        <v>10546</v>
      </c>
      <c r="BP176" s="76">
        <v>13206</v>
      </c>
      <c r="BQ176" s="76">
        <v>34929</v>
      </c>
      <c r="BR176" s="76">
        <v>539499</v>
      </c>
      <c r="BS176" s="76">
        <v>220237</v>
      </c>
      <c r="BT176" s="76">
        <v>0</v>
      </c>
      <c r="BU176" s="76">
        <v>0</v>
      </c>
      <c r="BV176" s="76">
        <v>51058</v>
      </c>
      <c r="BW176" s="76">
        <v>0</v>
      </c>
      <c r="BX176" s="76">
        <v>0</v>
      </c>
      <c r="BY176" s="76">
        <v>866</v>
      </c>
      <c r="BZ176" s="76">
        <v>272161</v>
      </c>
      <c r="CA176" s="76">
        <v>2960</v>
      </c>
      <c r="CB176" s="76">
        <v>0</v>
      </c>
      <c r="CC176" s="76">
        <v>264378</v>
      </c>
      <c r="CD176" s="76">
        <v>101545</v>
      </c>
      <c r="CE176" s="76">
        <v>162833</v>
      </c>
      <c r="CF176" s="76">
        <v>0</v>
      </c>
      <c r="CG176" s="76">
        <v>0</v>
      </c>
      <c r="CH176" s="76">
        <v>0</v>
      </c>
      <c r="CI176" s="76">
        <v>264378</v>
      </c>
      <c r="CJ176" s="76">
        <v>7300</v>
      </c>
      <c r="CK176" s="76">
        <v>4252</v>
      </c>
      <c r="CL176" s="76">
        <v>0</v>
      </c>
      <c r="CM176" s="76">
        <v>3048</v>
      </c>
      <c r="CN176" s="76">
        <v>0</v>
      </c>
      <c r="CO176" s="76">
        <v>0</v>
      </c>
      <c r="CP176" s="76">
        <v>0</v>
      </c>
      <c r="CQ176" s="76">
        <v>0</v>
      </c>
      <c r="CR176" s="76">
        <v>0</v>
      </c>
      <c r="CS176" s="76">
        <v>0</v>
      </c>
      <c r="CT176" s="76">
        <v>576</v>
      </c>
      <c r="CU176" s="76">
        <v>-576</v>
      </c>
      <c r="CV176" s="76">
        <v>0</v>
      </c>
      <c r="CW176" s="76">
        <v>0</v>
      </c>
      <c r="CX176" s="76">
        <v>0</v>
      </c>
      <c r="CY176" s="76">
        <v>0</v>
      </c>
      <c r="CZ176" s="76">
        <v>230</v>
      </c>
      <c r="DA176" s="76">
        <v>19</v>
      </c>
      <c r="DB176" s="76">
        <v>621</v>
      </c>
      <c r="DC176" s="76">
        <v>-410</v>
      </c>
      <c r="DD176" s="76">
        <v>7530</v>
      </c>
      <c r="DE176" s="76">
        <v>4271</v>
      </c>
      <c r="DF176" s="76">
        <v>1197</v>
      </c>
      <c r="DG176" s="76">
        <v>2062</v>
      </c>
      <c r="DH176" s="76">
        <v>1055</v>
      </c>
      <c r="DI176" s="76">
        <v>389</v>
      </c>
      <c r="DJ176" s="76">
        <v>0</v>
      </c>
      <c r="DK176" s="76">
        <v>666</v>
      </c>
      <c r="DL176" s="76">
        <v>0</v>
      </c>
      <c r="DM176" s="76">
        <v>0</v>
      </c>
      <c r="DN176" s="76">
        <v>0</v>
      </c>
      <c r="DO176" s="76">
        <v>0</v>
      </c>
      <c r="DP176" s="76">
        <v>0</v>
      </c>
      <c r="DQ176" s="76">
        <v>0</v>
      </c>
      <c r="DR176" s="76">
        <v>0</v>
      </c>
      <c r="DS176" s="76">
        <v>0</v>
      </c>
      <c r="DT176" s="76">
        <v>511</v>
      </c>
      <c r="DU176" s="76">
        <v>0</v>
      </c>
      <c r="DV176" s="76">
        <v>49</v>
      </c>
      <c r="DW176" s="76">
        <v>462</v>
      </c>
      <c r="DX176" s="76">
        <v>0</v>
      </c>
      <c r="DY176" s="76">
        <v>0</v>
      </c>
      <c r="DZ176" s="76">
        <v>0</v>
      </c>
      <c r="EA176" s="76">
        <v>0</v>
      </c>
      <c r="EB176" s="76">
        <v>265</v>
      </c>
      <c r="EC176" s="76">
        <v>0</v>
      </c>
      <c r="ED176" s="76">
        <v>28</v>
      </c>
      <c r="EE176" s="76">
        <v>237</v>
      </c>
      <c r="EF176" s="76">
        <v>1831</v>
      </c>
      <c r="EG176" s="76">
        <v>389</v>
      </c>
      <c r="EH176" s="76">
        <v>77</v>
      </c>
      <c r="EI176" s="76">
        <v>1365</v>
      </c>
      <c r="EJ176" s="76">
        <v>9361</v>
      </c>
      <c r="EK176" s="76">
        <v>4660</v>
      </c>
      <c r="EL176" s="76">
        <v>1274</v>
      </c>
      <c r="EM176" s="76">
        <v>3427</v>
      </c>
      <c r="EN176" s="76">
        <v>675</v>
      </c>
      <c r="EO176" s="76">
        <v>215</v>
      </c>
      <c r="EP176" s="76">
        <v>0</v>
      </c>
      <c r="EQ176" s="76">
        <v>0</v>
      </c>
      <c r="ER176" s="76">
        <v>0</v>
      </c>
      <c r="ES176" s="76">
        <v>510728</v>
      </c>
      <c r="ET176" s="76">
        <v>510728</v>
      </c>
      <c r="EU176" s="76">
        <v>26721</v>
      </c>
      <c r="EV176" s="76">
        <v>-8276</v>
      </c>
      <c r="EW176" s="76">
        <v>0</v>
      </c>
      <c r="EX176" s="76">
        <v>0</v>
      </c>
      <c r="EY176" s="76">
        <v>0</v>
      </c>
      <c r="EZ176" s="76">
        <v>529173</v>
      </c>
      <c r="FA176" s="76">
        <v>26735</v>
      </c>
      <c r="FB176" s="76">
        <v>4504</v>
      </c>
      <c r="FC176" s="76">
        <v>0</v>
      </c>
      <c r="FD176" s="76">
        <v>0</v>
      </c>
      <c r="FE176" s="76">
        <v>-401</v>
      </c>
      <c r="FF176" s="76">
        <v>0</v>
      </c>
      <c r="FG176" s="76">
        <v>0</v>
      </c>
      <c r="FH176" s="76">
        <v>30838</v>
      </c>
      <c r="FI176" s="76">
        <v>498335</v>
      </c>
      <c r="FJ176" s="76">
        <v>483993</v>
      </c>
      <c r="FK176" s="76">
        <v>2089</v>
      </c>
      <c r="FL176" s="76">
        <v>1987</v>
      </c>
      <c r="FM176" s="76">
        <v>102</v>
      </c>
      <c r="FN176" s="76">
        <v>831</v>
      </c>
      <c r="FO176" s="76">
        <v>0</v>
      </c>
      <c r="FP176" s="76">
        <v>831</v>
      </c>
      <c r="FQ176" s="76">
        <v>436</v>
      </c>
      <c r="FR176" s="76">
        <v>126</v>
      </c>
      <c r="FS176" s="76">
        <v>310</v>
      </c>
      <c r="FT176" s="76">
        <v>0</v>
      </c>
      <c r="FU176" s="76">
        <v>0</v>
      </c>
      <c r="FV176" s="76">
        <v>0</v>
      </c>
      <c r="FW176" s="76">
        <v>0</v>
      </c>
      <c r="FX176" s="76">
        <v>0</v>
      </c>
      <c r="FY176" s="76">
        <v>0</v>
      </c>
      <c r="FZ176" s="76">
        <v>7587</v>
      </c>
      <c r="GA176" s="76">
        <v>7065</v>
      </c>
      <c r="GB176" s="76">
        <v>522</v>
      </c>
      <c r="GC176" s="76">
        <v>10943</v>
      </c>
      <c r="GD176" s="76">
        <v>9178</v>
      </c>
      <c r="GE176" s="76">
        <v>1765</v>
      </c>
      <c r="GF176" s="76">
        <v>0</v>
      </c>
      <c r="GG176" s="76">
        <v>0</v>
      </c>
      <c r="GH176" s="76">
        <v>0</v>
      </c>
      <c r="GI176" s="76">
        <v>0</v>
      </c>
      <c r="GJ176" s="76">
        <v>0</v>
      </c>
      <c r="GK176" s="76">
        <v>921</v>
      </c>
      <c r="GL176" s="76">
        <v>921</v>
      </c>
      <c r="GM176" s="76">
        <v>4025</v>
      </c>
      <c r="GN176" s="76">
        <v>653</v>
      </c>
      <c r="GO176" s="76">
        <v>0</v>
      </c>
      <c r="GP176" s="76">
        <v>0</v>
      </c>
      <c r="GQ176" s="76">
        <v>0</v>
      </c>
      <c r="GR176" s="76">
        <v>5091</v>
      </c>
      <c r="GS176" s="76">
        <v>0</v>
      </c>
      <c r="GT176" s="76">
        <v>0</v>
      </c>
      <c r="GU176" s="76">
        <v>0</v>
      </c>
      <c r="GV176" s="76">
        <v>0</v>
      </c>
      <c r="GW176" s="76">
        <v>777</v>
      </c>
      <c r="GX176" s="76">
        <v>10546</v>
      </c>
      <c r="GY176" s="76">
        <v>289</v>
      </c>
      <c r="GZ176" s="76">
        <v>577</v>
      </c>
      <c r="HA176" s="76">
        <v>0</v>
      </c>
      <c r="HB176" s="76">
        <v>0</v>
      </c>
      <c r="HC176" s="76">
        <v>866</v>
      </c>
      <c r="HD176" s="76">
        <v>0</v>
      </c>
      <c r="HE176" s="76">
        <v>0</v>
      </c>
      <c r="HF176" s="76">
        <v>0</v>
      </c>
      <c r="HG176" s="76">
        <v>9642</v>
      </c>
      <c r="HH176" s="76">
        <v>0</v>
      </c>
      <c r="HI176" s="76">
        <v>62</v>
      </c>
      <c r="HJ176" s="76">
        <v>2</v>
      </c>
      <c r="HK176" s="76">
        <v>0</v>
      </c>
      <c r="HL176" s="76">
        <v>0</v>
      </c>
      <c r="HM176" s="76">
        <v>9706</v>
      </c>
      <c r="HN176" s="76">
        <v>3811</v>
      </c>
      <c r="HO176" s="76">
        <v>4504</v>
      </c>
      <c r="HP176" s="76">
        <v>0</v>
      </c>
      <c r="HQ176" s="76">
        <v>170</v>
      </c>
      <c r="HR176" s="76">
        <v>-43</v>
      </c>
      <c r="HS176" s="76">
        <v>-6</v>
      </c>
      <c r="HT176" s="76">
        <v>6322</v>
      </c>
      <c r="HU176" s="76">
        <v>0</v>
      </c>
      <c r="HV176" s="76">
        <v>0</v>
      </c>
      <c r="HW176" s="76">
        <v>0</v>
      </c>
      <c r="HX176" s="76">
        <v>0</v>
      </c>
    </row>
    <row r="177" spans="1:232" x14ac:dyDescent="0.2">
      <c r="A177" s="74" t="s">
        <v>161</v>
      </c>
      <c r="B177" s="74" t="s">
        <v>160</v>
      </c>
      <c r="C177" s="75" t="s">
        <v>200</v>
      </c>
      <c r="D177" s="75">
        <v>12</v>
      </c>
      <c r="E177" s="76">
        <v>7814</v>
      </c>
      <c r="F177" s="76">
        <v>0</v>
      </c>
      <c r="G177" s="76">
        <v>-4749</v>
      </c>
      <c r="H177" s="76">
        <v>3065</v>
      </c>
      <c r="I177" s="76">
        <v>29</v>
      </c>
      <c r="J177" s="76">
        <v>0</v>
      </c>
      <c r="K177" s="76">
        <v>0</v>
      </c>
      <c r="L177" s="76">
        <v>0</v>
      </c>
      <c r="M177" s="76">
        <v>15</v>
      </c>
      <c r="N177" s="76">
        <v>-1203</v>
      </c>
      <c r="O177" s="76">
        <v>0</v>
      </c>
      <c r="P177" s="76">
        <v>0</v>
      </c>
      <c r="Q177" s="76">
        <v>0</v>
      </c>
      <c r="R177" s="76">
        <v>0</v>
      </c>
      <c r="S177" s="76">
        <v>1906</v>
      </c>
      <c r="T177" s="76">
        <v>0</v>
      </c>
      <c r="U177" s="76">
        <v>1906</v>
      </c>
      <c r="V177" s="76">
        <v>0</v>
      </c>
      <c r="W177" s="76">
        <v>0</v>
      </c>
      <c r="X177" s="76">
        <v>0</v>
      </c>
      <c r="Y177" s="76">
        <v>0</v>
      </c>
      <c r="Z177" s="76">
        <v>1906</v>
      </c>
      <c r="AA177" s="76">
        <v>6333</v>
      </c>
      <c r="AB177" s="76">
        <v>251</v>
      </c>
      <c r="AC177" s="76">
        <v>6584</v>
      </c>
      <c r="AD177" s="76">
        <v>794</v>
      </c>
      <c r="AE177" s="76">
        <v>0</v>
      </c>
      <c r="AF177" s="76">
        <v>0</v>
      </c>
      <c r="AG177" s="76">
        <v>0</v>
      </c>
      <c r="AH177" s="76">
        <v>7378</v>
      </c>
      <c r="AI177" s="76">
        <v>1508</v>
      </c>
      <c r="AJ177" s="76">
        <v>208</v>
      </c>
      <c r="AK177" s="76">
        <v>475</v>
      </c>
      <c r="AL177" s="76">
        <v>1084</v>
      </c>
      <c r="AM177" s="76">
        <v>168</v>
      </c>
      <c r="AN177" s="76">
        <v>95</v>
      </c>
      <c r="AO177" s="76">
        <v>889</v>
      </c>
      <c r="AP177" s="76">
        <v>0</v>
      </c>
      <c r="AQ177" s="76">
        <v>51</v>
      </c>
      <c r="AR177" s="76">
        <v>4478</v>
      </c>
      <c r="AS177" s="76">
        <v>2900</v>
      </c>
      <c r="AT177" s="76">
        <v>123</v>
      </c>
      <c r="AU177" s="76">
        <v>73983</v>
      </c>
      <c r="AV177" s="76">
        <v>0</v>
      </c>
      <c r="AW177" s="76">
        <v>336</v>
      </c>
      <c r="AX177" s="76">
        <v>0</v>
      </c>
      <c r="AY177" s="76">
        <v>0</v>
      </c>
      <c r="AZ177" s="76">
        <v>0</v>
      </c>
      <c r="BA177" s="76">
        <v>0</v>
      </c>
      <c r="BB177" s="76">
        <v>0</v>
      </c>
      <c r="BC177" s="76">
        <v>0</v>
      </c>
      <c r="BD177" s="76">
        <v>0</v>
      </c>
      <c r="BE177" s="76">
        <v>74319</v>
      </c>
      <c r="BF177" s="76">
        <v>0</v>
      </c>
      <c r="BG177" s="76">
        <v>0</v>
      </c>
      <c r="BH177" s="76">
        <v>3858</v>
      </c>
      <c r="BI177" s="76">
        <v>0</v>
      </c>
      <c r="BJ177" s="76">
        <v>384</v>
      </c>
      <c r="BK177" s="76">
        <v>4242</v>
      </c>
      <c r="BL177" s="76">
        <v>0</v>
      </c>
      <c r="BM177" s="76">
        <v>0</v>
      </c>
      <c r="BN177" s="76">
        <v>557</v>
      </c>
      <c r="BO177" s="76">
        <v>1655</v>
      </c>
      <c r="BP177" s="76">
        <v>2212</v>
      </c>
      <c r="BQ177" s="76">
        <v>2030</v>
      </c>
      <c r="BR177" s="76">
        <v>76349</v>
      </c>
      <c r="BS177" s="76">
        <v>24971</v>
      </c>
      <c r="BT177" s="76">
        <v>0</v>
      </c>
      <c r="BU177" s="76">
        <v>0</v>
      </c>
      <c r="BV177" s="76">
        <v>25672</v>
      </c>
      <c r="BW177" s="76">
        <v>0</v>
      </c>
      <c r="BX177" s="76">
        <v>0</v>
      </c>
      <c r="BY177" s="76">
        <v>122</v>
      </c>
      <c r="BZ177" s="76">
        <v>50765</v>
      </c>
      <c r="CA177" s="76">
        <v>0</v>
      </c>
      <c r="CB177" s="76">
        <v>0</v>
      </c>
      <c r="CC177" s="76">
        <v>25584</v>
      </c>
      <c r="CD177" s="76">
        <v>25584</v>
      </c>
      <c r="CE177" s="76">
        <v>0</v>
      </c>
      <c r="CF177" s="76">
        <v>0</v>
      </c>
      <c r="CG177" s="76">
        <v>0</v>
      </c>
      <c r="CH177" s="76">
        <v>0</v>
      </c>
      <c r="CI177" s="76">
        <v>25584</v>
      </c>
      <c r="CJ177" s="76">
        <v>325</v>
      </c>
      <c r="CK177" s="76">
        <v>0</v>
      </c>
      <c r="CL177" s="76">
        <v>180</v>
      </c>
      <c r="CM177" s="76">
        <v>145</v>
      </c>
      <c r="CN177" s="76">
        <v>77</v>
      </c>
      <c r="CO177" s="76">
        <v>0</v>
      </c>
      <c r="CP177" s="76">
        <v>60</v>
      </c>
      <c r="CQ177" s="76">
        <v>17</v>
      </c>
      <c r="CR177" s="76">
        <v>0</v>
      </c>
      <c r="CS177" s="76">
        <v>0</v>
      </c>
      <c r="CT177" s="76">
        <v>0</v>
      </c>
      <c r="CU177" s="76">
        <v>0</v>
      </c>
      <c r="CV177" s="76">
        <v>0</v>
      </c>
      <c r="CW177" s="76">
        <v>0</v>
      </c>
      <c r="CX177" s="76">
        <v>0</v>
      </c>
      <c r="CY177" s="76">
        <v>0</v>
      </c>
      <c r="CZ177" s="76">
        <v>34</v>
      </c>
      <c r="DA177" s="76">
        <v>0</v>
      </c>
      <c r="DB177" s="76">
        <v>31</v>
      </c>
      <c r="DC177" s="76">
        <v>3</v>
      </c>
      <c r="DD177" s="76">
        <v>436</v>
      </c>
      <c r="DE177" s="76">
        <v>0</v>
      </c>
      <c r="DF177" s="76">
        <v>271</v>
      </c>
      <c r="DG177" s="76">
        <v>165</v>
      </c>
      <c r="DH177" s="76">
        <v>0</v>
      </c>
      <c r="DI177" s="76">
        <v>0</v>
      </c>
      <c r="DJ177" s="76">
        <v>0</v>
      </c>
      <c r="DK177" s="76">
        <v>0</v>
      </c>
      <c r="DL177" s="76">
        <v>0</v>
      </c>
      <c r="DM177" s="76">
        <v>0</v>
      </c>
      <c r="DN177" s="76">
        <v>0</v>
      </c>
      <c r="DO177" s="76">
        <v>0</v>
      </c>
      <c r="DP177" s="76">
        <v>0</v>
      </c>
      <c r="DQ177" s="76">
        <v>0</v>
      </c>
      <c r="DR177" s="76">
        <v>0</v>
      </c>
      <c r="DS177" s="76">
        <v>0</v>
      </c>
      <c r="DT177" s="76">
        <v>0</v>
      </c>
      <c r="DU177" s="76">
        <v>0</v>
      </c>
      <c r="DV177" s="76">
        <v>0</v>
      </c>
      <c r="DW177" s="76">
        <v>0</v>
      </c>
      <c r="DX177" s="76">
        <v>0</v>
      </c>
      <c r="DY177" s="76">
        <v>0</v>
      </c>
      <c r="DZ177" s="76">
        <v>0</v>
      </c>
      <c r="EA177" s="76">
        <v>0</v>
      </c>
      <c r="EB177" s="76">
        <v>0</v>
      </c>
      <c r="EC177" s="76">
        <v>0</v>
      </c>
      <c r="ED177" s="76">
        <v>0</v>
      </c>
      <c r="EE177" s="76">
        <v>0</v>
      </c>
      <c r="EF177" s="76">
        <v>0</v>
      </c>
      <c r="EG177" s="76">
        <v>0</v>
      </c>
      <c r="EH177" s="76">
        <v>0</v>
      </c>
      <c r="EI177" s="76">
        <v>0</v>
      </c>
      <c r="EJ177" s="76">
        <v>436</v>
      </c>
      <c r="EK177" s="76">
        <v>0</v>
      </c>
      <c r="EL177" s="76">
        <v>271</v>
      </c>
      <c r="EM177" s="76">
        <v>165</v>
      </c>
      <c r="EN177" s="76">
        <v>214</v>
      </c>
      <c r="EO177" s="76">
        <v>43</v>
      </c>
      <c r="EP177" s="76">
        <v>32</v>
      </c>
      <c r="EQ177" s="76">
        <v>43</v>
      </c>
      <c r="ER177" s="76">
        <v>75524</v>
      </c>
      <c r="ES177" s="76">
        <v>0</v>
      </c>
      <c r="ET177" s="76">
        <v>75524</v>
      </c>
      <c r="EU177" s="76">
        <v>6975</v>
      </c>
      <c r="EV177" s="76">
        <v>-314</v>
      </c>
      <c r="EW177" s="76">
        <v>0</v>
      </c>
      <c r="EX177" s="76">
        <v>0</v>
      </c>
      <c r="EY177" s="76">
        <v>0</v>
      </c>
      <c r="EZ177" s="76">
        <v>82185</v>
      </c>
      <c r="FA177" s="76">
        <v>7506</v>
      </c>
      <c r="FB177" s="76">
        <v>889</v>
      </c>
      <c r="FC177" s="76">
        <v>0</v>
      </c>
      <c r="FD177" s="76">
        <v>0</v>
      </c>
      <c r="FE177" s="76">
        <v>-11</v>
      </c>
      <c r="FF177" s="76">
        <v>0</v>
      </c>
      <c r="FG177" s="76">
        <v>-182</v>
      </c>
      <c r="FH177" s="76">
        <v>8202</v>
      </c>
      <c r="FI177" s="76">
        <v>73983</v>
      </c>
      <c r="FJ177" s="76">
        <v>68018</v>
      </c>
      <c r="FK177" s="76">
        <v>78</v>
      </c>
      <c r="FL177" s="76">
        <v>49</v>
      </c>
      <c r="FM177" s="76">
        <v>29</v>
      </c>
      <c r="FN177" s="76">
        <v>0</v>
      </c>
      <c r="FO177" s="76">
        <v>0</v>
      </c>
      <c r="FP177" s="76">
        <v>0</v>
      </c>
      <c r="FQ177" s="76">
        <v>0</v>
      </c>
      <c r="FR177" s="76">
        <v>0</v>
      </c>
      <c r="FS177" s="76">
        <v>0</v>
      </c>
      <c r="FT177" s="76">
        <v>0</v>
      </c>
      <c r="FU177" s="76">
        <v>0</v>
      </c>
      <c r="FV177" s="76">
        <v>0</v>
      </c>
      <c r="FW177" s="76">
        <v>0</v>
      </c>
      <c r="FX177" s="76">
        <v>0</v>
      </c>
      <c r="FY177" s="76">
        <v>0</v>
      </c>
      <c r="FZ177" s="76">
        <v>0</v>
      </c>
      <c r="GA177" s="76">
        <v>0</v>
      </c>
      <c r="GB177" s="76">
        <v>0</v>
      </c>
      <c r="GC177" s="76">
        <v>78</v>
      </c>
      <c r="GD177" s="76">
        <v>49</v>
      </c>
      <c r="GE177" s="76">
        <v>29</v>
      </c>
      <c r="GF177" s="76">
        <v>0</v>
      </c>
      <c r="GG177" s="76">
        <v>0</v>
      </c>
      <c r="GH177" s="76">
        <v>0</v>
      </c>
      <c r="GI177" s="76">
        <v>0</v>
      </c>
      <c r="GJ177" s="76">
        <v>0</v>
      </c>
      <c r="GK177" s="76">
        <v>384</v>
      </c>
      <c r="GL177" s="76">
        <v>384</v>
      </c>
      <c r="GM177" s="76">
        <v>142</v>
      </c>
      <c r="GN177" s="76">
        <v>124</v>
      </c>
      <c r="GO177" s="76">
        <v>0</v>
      </c>
      <c r="GP177" s="76">
        <v>0</v>
      </c>
      <c r="GQ177" s="76">
        <v>0</v>
      </c>
      <c r="GR177" s="76">
        <v>837</v>
      </c>
      <c r="GS177" s="76">
        <v>0</v>
      </c>
      <c r="GT177" s="76">
        <v>0</v>
      </c>
      <c r="GU177" s="76">
        <v>0</v>
      </c>
      <c r="GV177" s="76">
        <v>0</v>
      </c>
      <c r="GW177" s="76">
        <v>552</v>
      </c>
      <c r="GX177" s="76">
        <v>1655</v>
      </c>
      <c r="GY177" s="76">
        <v>122</v>
      </c>
      <c r="GZ177" s="76">
        <v>0</v>
      </c>
      <c r="HA177" s="76">
        <v>0</v>
      </c>
      <c r="HB177" s="76">
        <v>0</v>
      </c>
      <c r="HC177" s="76">
        <v>122</v>
      </c>
      <c r="HD177" s="76">
        <v>0</v>
      </c>
      <c r="HE177" s="76">
        <v>0</v>
      </c>
      <c r="HF177" s="76">
        <v>0</v>
      </c>
      <c r="HG177" s="76">
        <v>1204</v>
      </c>
      <c r="HH177" s="76">
        <v>0</v>
      </c>
      <c r="HI177" s="76">
        <v>0</v>
      </c>
      <c r="HJ177" s="76">
        <v>0</v>
      </c>
      <c r="HK177" s="76">
        <v>0</v>
      </c>
      <c r="HL177" s="76">
        <v>-1</v>
      </c>
      <c r="HM177" s="76">
        <v>1203</v>
      </c>
      <c r="HN177" s="76">
        <v>442</v>
      </c>
      <c r="HO177" s="76">
        <v>889</v>
      </c>
      <c r="HP177" s="76">
        <v>0</v>
      </c>
      <c r="HQ177" s="76">
        <v>73</v>
      </c>
      <c r="HR177" s="76">
        <v>0</v>
      </c>
      <c r="HS177" s="76">
        <v>-6</v>
      </c>
      <c r="HT177" s="76">
        <v>1145</v>
      </c>
      <c r="HU177" s="76">
        <v>0</v>
      </c>
      <c r="HV177" s="76">
        <v>0</v>
      </c>
      <c r="HW177" s="76">
        <v>0</v>
      </c>
      <c r="HX177" s="76">
        <v>0</v>
      </c>
    </row>
    <row r="178" spans="1:232" x14ac:dyDescent="0.2">
      <c r="A178" s="74" t="s">
        <v>163</v>
      </c>
      <c r="B178" s="74" t="s">
        <v>162</v>
      </c>
      <c r="C178" s="75" t="s">
        <v>200</v>
      </c>
      <c r="D178" s="75">
        <v>12</v>
      </c>
      <c r="E178" s="76">
        <v>16379</v>
      </c>
      <c r="F178" s="76">
        <v>0</v>
      </c>
      <c r="G178" s="76">
        <v>-8494</v>
      </c>
      <c r="H178" s="76">
        <v>7885</v>
      </c>
      <c r="I178" s="76">
        <v>561</v>
      </c>
      <c r="J178" s="76">
        <v>0</v>
      </c>
      <c r="K178" s="76">
        <v>0</v>
      </c>
      <c r="L178" s="76">
        <v>0</v>
      </c>
      <c r="M178" s="76">
        <v>32</v>
      </c>
      <c r="N178" s="76">
        <v>-2227</v>
      </c>
      <c r="O178" s="76">
        <v>0</v>
      </c>
      <c r="P178" s="76">
        <v>0</v>
      </c>
      <c r="Q178" s="76">
        <v>0</v>
      </c>
      <c r="R178" s="76">
        <v>0</v>
      </c>
      <c r="S178" s="76">
        <v>6251</v>
      </c>
      <c r="T178" s="76">
        <v>0</v>
      </c>
      <c r="U178" s="76">
        <v>6251</v>
      </c>
      <c r="V178" s="76">
        <v>0</v>
      </c>
      <c r="W178" s="76">
        <v>-1163</v>
      </c>
      <c r="X178" s="76">
        <v>0</v>
      </c>
      <c r="Y178" s="76">
        <v>0</v>
      </c>
      <c r="Z178" s="76">
        <v>5088</v>
      </c>
      <c r="AA178" s="76">
        <v>14479</v>
      </c>
      <c r="AB178" s="76">
        <v>640</v>
      </c>
      <c r="AC178" s="76">
        <v>15119</v>
      </c>
      <c r="AD178" s="76">
        <v>221</v>
      </c>
      <c r="AE178" s="76">
        <v>0</v>
      </c>
      <c r="AF178" s="76">
        <v>0</v>
      </c>
      <c r="AG178" s="76">
        <v>2</v>
      </c>
      <c r="AH178" s="76">
        <v>15342</v>
      </c>
      <c r="AI178" s="76">
        <v>3524</v>
      </c>
      <c r="AJ178" s="76">
        <v>511</v>
      </c>
      <c r="AK178" s="76">
        <v>1820</v>
      </c>
      <c r="AL178" s="76">
        <v>1161</v>
      </c>
      <c r="AM178" s="76">
        <v>0</v>
      </c>
      <c r="AN178" s="76">
        <v>91</v>
      </c>
      <c r="AO178" s="76">
        <v>1008</v>
      </c>
      <c r="AP178" s="76">
        <v>0</v>
      </c>
      <c r="AQ178" s="76">
        <v>0</v>
      </c>
      <c r="AR178" s="76">
        <v>8115</v>
      </c>
      <c r="AS178" s="76">
        <v>7227</v>
      </c>
      <c r="AT178" s="76">
        <v>121</v>
      </c>
      <c r="AU178" s="76">
        <v>76283</v>
      </c>
      <c r="AV178" s="76">
        <v>0</v>
      </c>
      <c r="AW178" s="76">
        <v>660</v>
      </c>
      <c r="AX178" s="76">
        <v>0</v>
      </c>
      <c r="AY178" s="76">
        <v>0</v>
      </c>
      <c r="AZ178" s="76">
        <v>0</v>
      </c>
      <c r="BA178" s="76">
        <v>0</v>
      </c>
      <c r="BB178" s="76">
        <v>0</v>
      </c>
      <c r="BC178" s="76">
        <v>0</v>
      </c>
      <c r="BD178" s="76">
        <v>57686</v>
      </c>
      <c r="BE178" s="76">
        <v>134629</v>
      </c>
      <c r="BF178" s="76">
        <v>300</v>
      </c>
      <c r="BG178" s="76">
        <v>6654</v>
      </c>
      <c r="BH178" s="76">
        <v>9086</v>
      </c>
      <c r="BI178" s="76">
        <v>0</v>
      </c>
      <c r="BJ178" s="76">
        <v>159</v>
      </c>
      <c r="BK178" s="76">
        <v>16199</v>
      </c>
      <c r="BL178" s="76">
        <v>0</v>
      </c>
      <c r="BM178" s="76">
        <v>0</v>
      </c>
      <c r="BN178" s="76">
        <v>227</v>
      </c>
      <c r="BO178" s="76">
        <v>2080</v>
      </c>
      <c r="BP178" s="76">
        <v>2307</v>
      </c>
      <c r="BQ178" s="76">
        <v>13892</v>
      </c>
      <c r="BR178" s="76">
        <v>148521</v>
      </c>
      <c r="BS178" s="76">
        <v>30000</v>
      </c>
      <c r="BT178" s="76">
        <v>0</v>
      </c>
      <c r="BU178" s="76">
        <v>0</v>
      </c>
      <c r="BV178" s="76">
        <v>21223</v>
      </c>
      <c r="BW178" s="76">
        <v>0</v>
      </c>
      <c r="BX178" s="76">
        <v>0</v>
      </c>
      <c r="BY178" s="76">
        <v>63220</v>
      </c>
      <c r="BZ178" s="76">
        <v>114443</v>
      </c>
      <c r="CA178" s="76">
        <v>2254</v>
      </c>
      <c r="CB178" s="76">
        <v>0</v>
      </c>
      <c r="CC178" s="76">
        <v>31824</v>
      </c>
      <c r="CD178" s="76">
        <v>31824</v>
      </c>
      <c r="CE178" s="76">
        <v>0</v>
      </c>
      <c r="CF178" s="76">
        <v>0</v>
      </c>
      <c r="CG178" s="76">
        <v>0</v>
      </c>
      <c r="CH178" s="76">
        <v>0</v>
      </c>
      <c r="CI178" s="76">
        <v>31824</v>
      </c>
      <c r="CJ178" s="76">
        <v>0</v>
      </c>
      <c r="CK178" s="76">
        <v>0</v>
      </c>
      <c r="CL178" s="76">
        <v>0</v>
      </c>
      <c r="CM178" s="76">
        <v>0</v>
      </c>
      <c r="CN178" s="76">
        <v>0</v>
      </c>
      <c r="CO178" s="76">
        <v>0</v>
      </c>
      <c r="CP178" s="76">
        <v>0</v>
      </c>
      <c r="CQ178" s="76">
        <v>0</v>
      </c>
      <c r="CR178" s="76">
        <v>0</v>
      </c>
      <c r="CS178" s="76">
        <v>0</v>
      </c>
      <c r="CT178" s="76">
        <v>0</v>
      </c>
      <c r="CU178" s="76">
        <v>0</v>
      </c>
      <c r="CV178" s="76">
        <v>0</v>
      </c>
      <c r="CW178" s="76">
        <v>0</v>
      </c>
      <c r="CX178" s="76">
        <v>0</v>
      </c>
      <c r="CY178" s="76">
        <v>0</v>
      </c>
      <c r="CZ178" s="76">
        <v>905</v>
      </c>
      <c r="DA178" s="76">
        <v>0</v>
      </c>
      <c r="DB178" s="76">
        <v>351</v>
      </c>
      <c r="DC178" s="76">
        <v>554</v>
      </c>
      <c r="DD178" s="76">
        <v>905</v>
      </c>
      <c r="DE178" s="76">
        <v>0</v>
      </c>
      <c r="DF178" s="76">
        <v>351</v>
      </c>
      <c r="DG178" s="76">
        <v>554</v>
      </c>
      <c r="DH178" s="76">
        <v>0</v>
      </c>
      <c r="DI178" s="76">
        <v>0</v>
      </c>
      <c r="DJ178" s="76">
        <v>0</v>
      </c>
      <c r="DK178" s="76">
        <v>0</v>
      </c>
      <c r="DL178" s="76">
        <v>0</v>
      </c>
      <c r="DM178" s="76">
        <v>0</v>
      </c>
      <c r="DN178" s="76">
        <v>0</v>
      </c>
      <c r="DO178" s="76">
        <v>0</v>
      </c>
      <c r="DP178" s="76">
        <v>0</v>
      </c>
      <c r="DQ178" s="76">
        <v>0</v>
      </c>
      <c r="DR178" s="76">
        <v>0</v>
      </c>
      <c r="DS178" s="76">
        <v>0</v>
      </c>
      <c r="DT178" s="76">
        <v>0</v>
      </c>
      <c r="DU178" s="76">
        <v>0</v>
      </c>
      <c r="DV178" s="76">
        <v>0</v>
      </c>
      <c r="DW178" s="76">
        <v>0</v>
      </c>
      <c r="DX178" s="76">
        <v>0</v>
      </c>
      <c r="DY178" s="76">
        <v>0</v>
      </c>
      <c r="DZ178" s="76">
        <v>0</v>
      </c>
      <c r="EA178" s="76">
        <v>0</v>
      </c>
      <c r="EB178" s="76">
        <v>132</v>
      </c>
      <c r="EC178" s="76">
        <v>0</v>
      </c>
      <c r="ED178" s="76">
        <v>28</v>
      </c>
      <c r="EE178" s="76">
        <v>104</v>
      </c>
      <c r="EF178" s="76">
        <v>132</v>
      </c>
      <c r="EG178" s="76">
        <v>0</v>
      </c>
      <c r="EH178" s="76">
        <v>28</v>
      </c>
      <c r="EI178" s="76">
        <v>104</v>
      </c>
      <c r="EJ178" s="76">
        <v>1037</v>
      </c>
      <c r="EK178" s="76">
        <v>0</v>
      </c>
      <c r="EL178" s="76">
        <v>379</v>
      </c>
      <c r="EM178" s="76">
        <v>658</v>
      </c>
      <c r="EN178" s="76">
        <v>642</v>
      </c>
      <c r="EO178" s="76">
        <v>406</v>
      </c>
      <c r="EP178" s="76">
        <v>182</v>
      </c>
      <c r="EQ178" s="76">
        <v>157</v>
      </c>
      <c r="ER178" s="76">
        <v>72824</v>
      </c>
      <c r="ES178" s="76">
        <v>0</v>
      </c>
      <c r="ET178" s="76">
        <v>72824</v>
      </c>
      <c r="EU178" s="76">
        <v>6432</v>
      </c>
      <c r="EV178" s="76">
        <v>-295</v>
      </c>
      <c r="EW178" s="76">
        <v>0</v>
      </c>
      <c r="EX178" s="76">
        <v>0</v>
      </c>
      <c r="EY178" s="76">
        <v>0</v>
      </c>
      <c r="EZ178" s="76">
        <v>78961</v>
      </c>
      <c r="FA178" s="76">
        <v>1670</v>
      </c>
      <c r="FB178" s="76">
        <v>1008</v>
      </c>
      <c r="FC178" s="76">
        <v>0</v>
      </c>
      <c r="FD178" s="76">
        <v>0</v>
      </c>
      <c r="FE178" s="76">
        <v>0</v>
      </c>
      <c r="FF178" s="76">
        <v>0</v>
      </c>
      <c r="FG178" s="76">
        <v>0</v>
      </c>
      <c r="FH178" s="76">
        <v>2678</v>
      </c>
      <c r="FI178" s="76">
        <v>76283</v>
      </c>
      <c r="FJ178" s="76">
        <v>71154</v>
      </c>
      <c r="FK178" s="76">
        <v>0</v>
      </c>
      <c r="FL178" s="76">
        <v>0</v>
      </c>
      <c r="FM178" s="76">
        <v>0</v>
      </c>
      <c r="FN178" s="76">
        <v>1562</v>
      </c>
      <c r="FO178" s="76">
        <v>1001</v>
      </c>
      <c r="FP178" s="76">
        <v>561</v>
      </c>
      <c r="FQ178" s="76">
        <v>0</v>
      </c>
      <c r="FR178" s="76">
        <v>0</v>
      </c>
      <c r="FS178" s="76">
        <v>0</v>
      </c>
      <c r="FT178" s="76">
        <v>0</v>
      </c>
      <c r="FU178" s="76">
        <v>0</v>
      </c>
      <c r="FV178" s="76">
        <v>0</v>
      </c>
      <c r="FW178" s="76">
        <v>0</v>
      </c>
      <c r="FX178" s="76">
        <v>0</v>
      </c>
      <c r="FY178" s="76">
        <v>0</v>
      </c>
      <c r="FZ178" s="76">
        <v>0</v>
      </c>
      <c r="GA178" s="76">
        <v>0</v>
      </c>
      <c r="GB178" s="76">
        <v>0</v>
      </c>
      <c r="GC178" s="76">
        <v>1562</v>
      </c>
      <c r="GD178" s="76">
        <v>1001</v>
      </c>
      <c r="GE178" s="76">
        <v>561</v>
      </c>
      <c r="GF178" s="76">
        <v>0</v>
      </c>
      <c r="GG178" s="76">
        <v>0</v>
      </c>
      <c r="GH178" s="76">
        <v>0</v>
      </c>
      <c r="GI178" s="76">
        <v>0</v>
      </c>
      <c r="GJ178" s="76">
        <v>0</v>
      </c>
      <c r="GK178" s="76">
        <v>159</v>
      </c>
      <c r="GL178" s="76">
        <v>159</v>
      </c>
      <c r="GM178" s="76">
        <v>470</v>
      </c>
      <c r="GN178" s="76">
        <v>214</v>
      </c>
      <c r="GO178" s="76">
        <v>0</v>
      </c>
      <c r="GP178" s="76">
        <v>0</v>
      </c>
      <c r="GQ178" s="76">
        <v>0</v>
      </c>
      <c r="GR178" s="76">
        <v>1240</v>
      </c>
      <c r="GS178" s="76">
        <v>0</v>
      </c>
      <c r="GT178" s="76">
        <v>0</v>
      </c>
      <c r="GU178" s="76">
        <v>0</v>
      </c>
      <c r="GV178" s="76">
        <v>0</v>
      </c>
      <c r="GW178" s="76">
        <v>156</v>
      </c>
      <c r="GX178" s="76">
        <v>2080</v>
      </c>
      <c r="GY178" s="76">
        <v>0</v>
      </c>
      <c r="GZ178" s="76">
        <v>0</v>
      </c>
      <c r="HA178" s="76">
        <v>0</v>
      </c>
      <c r="HB178" s="76">
        <v>63220</v>
      </c>
      <c r="HC178" s="76">
        <v>63220</v>
      </c>
      <c r="HD178" s="76">
        <v>0</v>
      </c>
      <c r="HE178" s="76">
        <v>0</v>
      </c>
      <c r="HF178" s="76">
        <v>0</v>
      </c>
      <c r="HG178" s="76">
        <v>1490</v>
      </c>
      <c r="HH178" s="76">
        <v>593</v>
      </c>
      <c r="HI178" s="76">
        <v>24</v>
      </c>
      <c r="HJ178" s="76">
        <v>0</v>
      </c>
      <c r="HK178" s="76">
        <v>120</v>
      </c>
      <c r="HL178" s="76">
        <v>0</v>
      </c>
      <c r="HM178" s="76">
        <v>2227</v>
      </c>
      <c r="HN178" s="76">
        <v>5592</v>
      </c>
      <c r="HO178" s="76">
        <v>1211</v>
      </c>
      <c r="HP178" s="76">
        <v>0</v>
      </c>
      <c r="HQ178" s="76">
        <v>8</v>
      </c>
      <c r="HR178" s="76">
        <v>-22</v>
      </c>
      <c r="HS178" s="76">
        <v>0</v>
      </c>
      <c r="HT178" s="76">
        <v>3093</v>
      </c>
      <c r="HU178" s="76">
        <v>0</v>
      </c>
      <c r="HV178" s="76">
        <v>0</v>
      </c>
      <c r="HW178" s="76">
        <v>0</v>
      </c>
      <c r="HX178" s="76">
        <v>0</v>
      </c>
    </row>
    <row r="179" spans="1:232" x14ac:dyDescent="0.2">
      <c r="A179" s="74" t="s">
        <v>678</v>
      </c>
      <c r="B179" s="74" t="s">
        <v>679</v>
      </c>
      <c r="C179" s="75" t="s">
        <v>200</v>
      </c>
      <c r="D179" s="75">
        <v>12</v>
      </c>
      <c r="E179" s="76">
        <v>20007</v>
      </c>
      <c r="F179" s="76">
        <v>-391</v>
      </c>
      <c r="G179" s="76">
        <v>-14035</v>
      </c>
      <c r="H179" s="76">
        <v>5581</v>
      </c>
      <c r="I179" s="76">
        <v>96</v>
      </c>
      <c r="J179" s="76">
        <v>0</v>
      </c>
      <c r="K179" s="76">
        <v>-165</v>
      </c>
      <c r="L179" s="76">
        <v>0</v>
      </c>
      <c r="M179" s="76">
        <v>7</v>
      </c>
      <c r="N179" s="76">
        <v>-958</v>
      </c>
      <c r="O179" s="76">
        <v>167</v>
      </c>
      <c r="P179" s="76">
        <v>0</v>
      </c>
      <c r="Q179" s="76">
        <v>0</v>
      </c>
      <c r="R179" s="76">
        <v>0</v>
      </c>
      <c r="S179" s="76">
        <v>4728</v>
      </c>
      <c r="T179" s="76">
        <v>-19</v>
      </c>
      <c r="U179" s="76">
        <v>4709</v>
      </c>
      <c r="V179" s="76">
        <v>0</v>
      </c>
      <c r="W179" s="76">
        <v>-854</v>
      </c>
      <c r="X179" s="76">
        <v>0</v>
      </c>
      <c r="Y179" s="76">
        <v>0</v>
      </c>
      <c r="Z179" s="76">
        <v>3855</v>
      </c>
      <c r="AA179" s="76">
        <v>17067</v>
      </c>
      <c r="AB179" s="76">
        <v>778</v>
      </c>
      <c r="AC179" s="76">
        <v>17845</v>
      </c>
      <c r="AD179" s="76">
        <v>705</v>
      </c>
      <c r="AE179" s="76">
        <v>0</v>
      </c>
      <c r="AF179" s="76">
        <v>0</v>
      </c>
      <c r="AG179" s="76">
        <v>20</v>
      </c>
      <c r="AH179" s="76">
        <v>18570</v>
      </c>
      <c r="AI179" s="76">
        <v>4762</v>
      </c>
      <c r="AJ179" s="76">
        <v>745</v>
      </c>
      <c r="AK179" s="76">
        <v>2392</v>
      </c>
      <c r="AL179" s="76">
        <v>1688</v>
      </c>
      <c r="AM179" s="76">
        <v>589</v>
      </c>
      <c r="AN179" s="76">
        <v>116</v>
      </c>
      <c r="AO179" s="76">
        <v>3174</v>
      </c>
      <c r="AP179" s="76">
        <v>0</v>
      </c>
      <c r="AQ179" s="76">
        <v>0</v>
      </c>
      <c r="AR179" s="76">
        <v>13466</v>
      </c>
      <c r="AS179" s="76">
        <v>5104</v>
      </c>
      <c r="AT179" s="76">
        <v>104</v>
      </c>
      <c r="AU179" s="76">
        <v>76516</v>
      </c>
      <c r="AV179" s="76">
        <v>0</v>
      </c>
      <c r="AW179" s="76">
        <v>3126</v>
      </c>
      <c r="AX179" s="76">
        <v>0</v>
      </c>
      <c r="AY179" s="76">
        <v>0</v>
      </c>
      <c r="AZ179" s="76">
        <v>500</v>
      </c>
      <c r="BA179" s="76">
        <v>0</v>
      </c>
      <c r="BB179" s="76">
        <v>0</v>
      </c>
      <c r="BC179" s="76">
        <v>0</v>
      </c>
      <c r="BD179" s="76">
        <v>0</v>
      </c>
      <c r="BE179" s="76">
        <v>80142</v>
      </c>
      <c r="BF179" s="76">
        <v>315</v>
      </c>
      <c r="BG179" s="76">
        <v>2739</v>
      </c>
      <c r="BH179" s="76">
        <v>3362</v>
      </c>
      <c r="BI179" s="76">
        <v>0</v>
      </c>
      <c r="BJ179" s="76">
        <v>128</v>
      </c>
      <c r="BK179" s="76">
        <v>6544</v>
      </c>
      <c r="BL179" s="76">
        <v>0</v>
      </c>
      <c r="BM179" s="76">
        <v>0</v>
      </c>
      <c r="BN179" s="76">
        <v>705</v>
      </c>
      <c r="BO179" s="76">
        <v>3708</v>
      </c>
      <c r="BP179" s="76">
        <v>4413</v>
      </c>
      <c r="BQ179" s="76">
        <v>2131</v>
      </c>
      <c r="BR179" s="76">
        <v>82273</v>
      </c>
      <c r="BS179" s="76">
        <v>21508</v>
      </c>
      <c r="BT179" s="76">
        <v>0</v>
      </c>
      <c r="BU179" s="76">
        <v>0</v>
      </c>
      <c r="BV179" s="76">
        <v>17509</v>
      </c>
      <c r="BW179" s="76">
        <v>0</v>
      </c>
      <c r="BX179" s="76">
        <v>0</v>
      </c>
      <c r="BY179" s="76">
        <v>1872</v>
      </c>
      <c r="BZ179" s="76">
        <v>40889</v>
      </c>
      <c r="CA179" s="76">
        <v>2907</v>
      </c>
      <c r="CB179" s="76">
        <v>0</v>
      </c>
      <c r="CC179" s="76">
        <v>38477</v>
      </c>
      <c r="CD179" s="76">
        <v>38044</v>
      </c>
      <c r="CE179" s="76">
        <v>205</v>
      </c>
      <c r="CF179" s="76">
        <v>0</v>
      </c>
      <c r="CG179" s="76">
        <v>0</v>
      </c>
      <c r="CH179" s="76">
        <v>228</v>
      </c>
      <c r="CI179" s="76">
        <v>38477</v>
      </c>
      <c r="CJ179" s="76">
        <v>0</v>
      </c>
      <c r="CK179" s="76">
        <v>0</v>
      </c>
      <c r="CL179" s="76">
        <v>0</v>
      </c>
      <c r="CM179" s="76">
        <v>0</v>
      </c>
      <c r="CN179" s="76">
        <v>0</v>
      </c>
      <c r="CO179" s="76">
        <v>0</v>
      </c>
      <c r="CP179" s="76">
        <v>0</v>
      </c>
      <c r="CQ179" s="76">
        <v>0</v>
      </c>
      <c r="CR179" s="76">
        <v>0</v>
      </c>
      <c r="CS179" s="76">
        <v>0</v>
      </c>
      <c r="CT179" s="76">
        <v>0</v>
      </c>
      <c r="CU179" s="76">
        <v>0</v>
      </c>
      <c r="CV179" s="76">
        <v>0</v>
      </c>
      <c r="CW179" s="76">
        <v>0</v>
      </c>
      <c r="CX179" s="76">
        <v>0</v>
      </c>
      <c r="CY179" s="76">
        <v>0</v>
      </c>
      <c r="CZ179" s="76">
        <v>0</v>
      </c>
      <c r="DA179" s="76">
        <v>0</v>
      </c>
      <c r="DB179" s="76">
        <v>569</v>
      </c>
      <c r="DC179" s="76">
        <v>-569</v>
      </c>
      <c r="DD179" s="76">
        <v>0</v>
      </c>
      <c r="DE179" s="76">
        <v>0</v>
      </c>
      <c r="DF179" s="76">
        <v>569</v>
      </c>
      <c r="DG179" s="76">
        <v>-569</v>
      </c>
      <c r="DH179" s="76">
        <v>0</v>
      </c>
      <c r="DI179" s="76">
        <v>0</v>
      </c>
      <c r="DJ179" s="76">
        <v>0</v>
      </c>
      <c r="DK179" s="76">
        <v>0</v>
      </c>
      <c r="DL179" s="76">
        <v>0</v>
      </c>
      <c r="DM179" s="76">
        <v>0</v>
      </c>
      <c r="DN179" s="76">
        <v>0</v>
      </c>
      <c r="DO179" s="76">
        <v>0</v>
      </c>
      <c r="DP179" s="76">
        <v>0</v>
      </c>
      <c r="DQ179" s="76">
        <v>0</v>
      </c>
      <c r="DR179" s="76">
        <v>0</v>
      </c>
      <c r="DS179" s="76">
        <v>0</v>
      </c>
      <c r="DT179" s="76">
        <v>0</v>
      </c>
      <c r="DU179" s="76">
        <v>0</v>
      </c>
      <c r="DV179" s="76">
        <v>0</v>
      </c>
      <c r="DW179" s="76">
        <v>0</v>
      </c>
      <c r="DX179" s="76">
        <v>0</v>
      </c>
      <c r="DY179" s="76">
        <v>0</v>
      </c>
      <c r="DZ179" s="76">
        <v>0</v>
      </c>
      <c r="EA179" s="76">
        <v>0</v>
      </c>
      <c r="EB179" s="76">
        <v>1437</v>
      </c>
      <c r="EC179" s="76">
        <v>391</v>
      </c>
      <c r="ED179" s="76">
        <v>0</v>
      </c>
      <c r="EE179" s="76">
        <v>1046</v>
      </c>
      <c r="EF179" s="76">
        <v>1437</v>
      </c>
      <c r="EG179" s="76">
        <v>391</v>
      </c>
      <c r="EH179" s="76">
        <v>0</v>
      </c>
      <c r="EI179" s="76">
        <v>1046</v>
      </c>
      <c r="EJ179" s="76">
        <v>1437</v>
      </c>
      <c r="EK179" s="76">
        <v>391</v>
      </c>
      <c r="EL179" s="76">
        <v>569</v>
      </c>
      <c r="EM179" s="76">
        <v>477</v>
      </c>
      <c r="EN179" s="76">
        <v>1052</v>
      </c>
      <c r="EO179" s="76">
        <v>0</v>
      </c>
      <c r="EP179" s="76">
        <v>164</v>
      </c>
      <c r="EQ179" s="76">
        <v>0</v>
      </c>
      <c r="ER179" s="76">
        <v>105372</v>
      </c>
      <c r="ES179" s="76">
        <v>0</v>
      </c>
      <c r="ET179" s="76">
        <v>105372</v>
      </c>
      <c r="EU179" s="76">
        <v>6701</v>
      </c>
      <c r="EV179" s="76">
        <v>-742</v>
      </c>
      <c r="EW179" s="76">
        <v>0</v>
      </c>
      <c r="EX179" s="76">
        <v>0</v>
      </c>
      <c r="EY179" s="76">
        <v>-2631</v>
      </c>
      <c r="EZ179" s="76">
        <v>108700</v>
      </c>
      <c r="FA179" s="76">
        <v>29348</v>
      </c>
      <c r="FB179" s="76">
        <v>3174</v>
      </c>
      <c r="FC179" s="76">
        <v>0</v>
      </c>
      <c r="FD179" s="76">
        <v>0</v>
      </c>
      <c r="FE179" s="76">
        <v>-338</v>
      </c>
      <c r="FF179" s="76">
        <v>0</v>
      </c>
      <c r="FG179" s="76">
        <v>0</v>
      </c>
      <c r="FH179" s="76">
        <v>32184</v>
      </c>
      <c r="FI179" s="76">
        <v>76516</v>
      </c>
      <c r="FJ179" s="76">
        <v>76024</v>
      </c>
      <c r="FK179" s="76">
        <v>0</v>
      </c>
      <c r="FL179" s="76">
        <v>0</v>
      </c>
      <c r="FM179" s="76">
        <v>0</v>
      </c>
      <c r="FN179" s="76">
        <v>534</v>
      </c>
      <c r="FO179" s="76">
        <v>259</v>
      </c>
      <c r="FP179" s="76">
        <v>275</v>
      </c>
      <c r="FQ179" s="76">
        <v>0</v>
      </c>
      <c r="FR179" s="76">
        <v>54</v>
      </c>
      <c r="FS179" s="76">
        <v>-54</v>
      </c>
      <c r="FT179" s="76">
        <v>0</v>
      </c>
      <c r="FU179" s="76">
        <v>0</v>
      </c>
      <c r="FV179" s="76">
        <v>0</v>
      </c>
      <c r="FW179" s="76">
        <v>0</v>
      </c>
      <c r="FX179" s="76">
        <v>0</v>
      </c>
      <c r="FY179" s="76">
        <v>0</v>
      </c>
      <c r="FZ179" s="76">
        <v>0</v>
      </c>
      <c r="GA179" s="76">
        <v>125</v>
      </c>
      <c r="GB179" s="76">
        <v>-125</v>
      </c>
      <c r="GC179" s="76">
        <v>534</v>
      </c>
      <c r="GD179" s="76">
        <v>438</v>
      </c>
      <c r="GE179" s="76">
        <v>96</v>
      </c>
      <c r="GF179" s="76">
        <v>0</v>
      </c>
      <c r="GG179" s="76">
        <v>0</v>
      </c>
      <c r="GH179" s="76">
        <v>0</v>
      </c>
      <c r="GI179" s="76">
        <v>0</v>
      </c>
      <c r="GJ179" s="76">
        <v>0</v>
      </c>
      <c r="GK179" s="76">
        <v>128</v>
      </c>
      <c r="GL179" s="76">
        <v>128</v>
      </c>
      <c r="GM179" s="76">
        <v>543</v>
      </c>
      <c r="GN179" s="76">
        <v>381</v>
      </c>
      <c r="GO179" s="76">
        <v>0</v>
      </c>
      <c r="GP179" s="76">
        <v>0</v>
      </c>
      <c r="GQ179" s="76">
        <v>0</v>
      </c>
      <c r="GR179" s="76">
        <v>1530</v>
      </c>
      <c r="GS179" s="76">
        <v>0</v>
      </c>
      <c r="GT179" s="76">
        <v>0</v>
      </c>
      <c r="GU179" s="76">
        <v>171</v>
      </c>
      <c r="GV179" s="76">
        <v>0</v>
      </c>
      <c r="GW179" s="76">
        <v>1083</v>
      </c>
      <c r="GX179" s="76">
        <v>3708</v>
      </c>
      <c r="GY179" s="76">
        <v>0</v>
      </c>
      <c r="GZ179" s="76">
        <v>590</v>
      </c>
      <c r="HA179" s="76">
        <v>998</v>
      </c>
      <c r="HB179" s="76">
        <v>284</v>
      </c>
      <c r="HC179" s="76">
        <v>1872</v>
      </c>
      <c r="HD179" s="76">
        <v>0</v>
      </c>
      <c r="HE179" s="76">
        <v>0</v>
      </c>
      <c r="HF179" s="76">
        <v>0</v>
      </c>
      <c r="HG179" s="76">
        <v>878</v>
      </c>
      <c r="HH179" s="76">
        <v>56</v>
      </c>
      <c r="HI179" s="76">
        <v>24</v>
      </c>
      <c r="HJ179" s="76">
        <v>0</v>
      </c>
      <c r="HK179" s="76">
        <v>0</v>
      </c>
      <c r="HL179" s="76">
        <v>0</v>
      </c>
      <c r="HM179" s="76">
        <v>958</v>
      </c>
      <c r="HN179" s="76">
        <v>2403</v>
      </c>
      <c r="HO179" s="76">
        <v>3594</v>
      </c>
      <c r="HP179" s="76">
        <v>0</v>
      </c>
      <c r="HQ179" s="76">
        <v>28</v>
      </c>
      <c r="HR179" s="76">
        <v>-22</v>
      </c>
      <c r="HS179" s="76">
        <v>0</v>
      </c>
      <c r="HT179" s="76">
        <v>3748</v>
      </c>
      <c r="HU179" s="76">
        <v>0</v>
      </c>
      <c r="HV179" s="76">
        <v>0</v>
      </c>
      <c r="HW179" s="76">
        <v>0</v>
      </c>
      <c r="HX179" s="76">
        <v>0</v>
      </c>
    </row>
    <row r="180" spans="1:232" x14ac:dyDescent="0.2">
      <c r="A180" s="74" t="s">
        <v>685</v>
      </c>
      <c r="B180" s="74" t="s">
        <v>686</v>
      </c>
      <c r="C180" s="75" t="s">
        <v>200</v>
      </c>
      <c r="D180" s="75">
        <v>12</v>
      </c>
      <c r="E180" s="76">
        <v>45043</v>
      </c>
      <c r="F180" s="76">
        <v>-938</v>
      </c>
      <c r="G180" s="76">
        <v>-36597</v>
      </c>
      <c r="H180" s="76">
        <v>7508</v>
      </c>
      <c r="I180" s="76">
        <v>577</v>
      </c>
      <c r="J180" s="76">
        <v>0</v>
      </c>
      <c r="K180" s="76">
        <v>0</v>
      </c>
      <c r="L180" s="76">
        <v>0</v>
      </c>
      <c r="M180" s="76">
        <v>61</v>
      </c>
      <c r="N180" s="76">
        <v>-4759</v>
      </c>
      <c r="O180" s="76">
        <v>120</v>
      </c>
      <c r="P180" s="76">
        <v>0</v>
      </c>
      <c r="Q180" s="76">
        <v>0</v>
      </c>
      <c r="R180" s="76">
        <v>0</v>
      </c>
      <c r="S180" s="76">
        <v>3507</v>
      </c>
      <c r="T180" s="76">
        <v>0</v>
      </c>
      <c r="U180" s="76">
        <v>3507</v>
      </c>
      <c r="V180" s="76">
        <v>0</v>
      </c>
      <c r="W180" s="76">
        <v>-160</v>
      </c>
      <c r="X180" s="76">
        <v>0</v>
      </c>
      <c r="Y180" s="76">
        <v>0</v>
      </c>
      <c r="Z180" s="76">
        <v>3347</v>
      </c>
      <c r="AA180" s="76">
        <v>26792</v>
      </c>
      <c r="AB180" s="76">
        <v>4315</v>
      </c>
      <c r="AC180" s="76">
        <v>31107</v>
      </c>
      <c r="AD180" s="76">
        <v>1671</v>
      </c>
      <c r="AE180" s="76">
        <v>0</v>
      </c>
      <c r="AF180" s="76">
        <v>907</v>
      </c>
      <c r="AG180" s="76">
        <v>0</v>
      </c>
      <c r="AH180" s="76">
        <v>33685</v>
      </c>
      <c r="AI180" s="76">
        <v>4762</v>
      </c>
      <c r="AJ180" s="76">
        <v>3050</v>
      </c>
      <c r="AK180" s="76">
        <v>4696</v>
      </c>
      <c r="AL180" s="76">
        <v>986</v>
      </c>
      <c r="AM180" s="76">
        <v>0</v>
      </c>
      <c r="AN180" s="76">
        <v>244</v>
      </c>
      <c r="AO180" s="76">
        <v>5388</v>
      </c>
      <c r="AP180" s="76">
        <v>0</v>
      </c>
      <c r="AQ180" s="76">
        <v>6657</v>
      </c>
      <c r="AR180" s="76">
        <v>25783</v>
      </c>
      <c r="AS180" s="76">
        <v>7902</v>
      </c>
      <c r="AT180" s="76">
        <v>1119</v>
      </c>
      <c r="AU180" s="76">
        <v>303512</v>
      </c>
      <c r="AV180" s="76">
        <v>0</v>
      </c>
      <c r="AW180" s="76">
        <v>1985</v>
      </c>
      <c r="AX180" s="76">
        <v>895</v>
      </c>
      <c r="AY180" s="76">
        <v>0</v>
      </c>
      <c r="AZ180" s="76">
        <v>0</v>
      </c>
      <c r="BA180" s="76">
        <v>0</v>
      </c>
      <c r="BB180" s="76">
        <v>0</v>
      </c>
      <c r="BC180" s="76">
        <v>0</v>
      </c>
      <c r="BD180" s="76">
        <v>3222</v>
      </c>
      <c r="BE180" s="76">
        <v>309614</v>
      </c>
      <c r="BF180" s="76">
        <v>613</v>
      </c>
      <c r="BG180" s="76">
        <v>2254</v>
      </c>
      <c r="BH180" s="76">
        <v>8877</v>
      </c>
      <c r="BI180" s="76">
        <v>0</v>
      </c>
      <c r="BJ180" s="76">
        <v>102</v>
      </c>
      <c r="BK180" s="76">
        <v>11846</v>
      </c>
      <c r="BL180" s="76">
        <v>3014</v>
      </c>
      <c r="BM180" s="76">
        <v>0</v>
      </c>
      <c r="BN180" s="76">
        <v>0</v>
      </c>
      <c r="BO180" s="76">
        <v>8519</v>
      </c>
      <c r="BP180" s="76">
        <v>11533</v>
      </c>
      <c r="BQ180" s="76">
        <v>313</v>
      </c>
      <c r="BR180" s="76">
        <v>309927</v>
      </c>
      <c r="BS180" s="76">
        <v>113071</v>
      </c>
      <c r="BT180" s="76">
        <v>0</v>
      </c>
      <c r="BU180" s="76">
        <v>10873</v>
      </c>
      <c r="BV180" s="76">
        <v>145266</v>
      </c>
      <c r="BW180" s="76">
        <v>0</v>
      </c>
      <c r="BX180" s="76">
        <v>0</v>
      </c>
      <c r="BY180" s="76">
        <v>6671</v>
      </c>
      <c r="BZ180" s="76">
        <v>275881</v>
      </c>
      <c r="CA180" s="76">
        <v>933</v>
      </c>
      <c r="CB180" s="76">
        <v>0</v>
      </c>
      <c r="CC180" s="76">
        <v>33113</v>
      </c>
      <c r="CD180" s="76">
        <v>32892</v>
      </c>
      <c r="CE180" s="76">
        <v>0</v>
      </c>
      <c r="CF180" s="76">
        <v>221</v>
      </c>
      <c r="CG180" s="76">
        <v>0</v>
      </c>
      <c r="CH180" s="76">
        <v>0</v>
      </c>
      <c r="CI180" s="76">
        <v>33113</v>
      </c>
      <c r="CJ180" s="76">
        <v>1042</v>
      </c>
      <c r="CK180" s="76">
        <v>938</v>
      </c>
      <c r="CL180" s="76">
        <v>0</v>
      </c>
      <c r="CM180" s="76">
        <v>104</v>
      </c>
      <c r="CN180" s="76">
        <v>3304</v>
      </c>
      <c r="CO180" s="76">
        <v>0</v>
      </c>
      <c r="CP180" s="76">
        <v>3682</v>
      </c>
      <c r="CQ180" s="76">
        <v>-378</v>
      </c>
      <c r="CR180" s="76">
        <v>0</v>
      </c>
      <c r="CS180" s="76">
        <v>0</v>
      </c>
      <c r="CT180" s="76">
        <v>0</v>
      </c>
      <c r="CU180" s="76">
        <v>0</v>
      </c>
      <c r="CV180" s="76">
        <v>0</v>
      </c>
      <c r="CW180" s="76">
        <v>0</v>
      </c>
      <c r="CX180" s="76">
        <v>0</v>
      </c>
      <c r="CY180" s="76">
        <v>0</v>
      </c>
      <c r="CZ180" s="76">
        <v>4660</v>
      </c>
      <c r="DA180" s="76">
        <v>0</v>
      </c>
      <c r="DB180" s="76">
        <v>4692</v>
      </c>
      <c r="DC180" s="76">
        <v>-32</v>
      </c>
      <c r="DD180" s="76">
        <v>9006</v>
      </c>
      <c r="DE180" s="76">
        <v>938</v>
      </c>
      <c r="DF180" s="76">
        <v>8374</v>
      </c>
      <c r="DG180" s="76">
        <v>-306</v>
      </c>
      <c r="DH180" s="76">
        <v>0</v>
      </c>
      <c r="DI180" s="76">
        <v>0</v>
      </c>
      <c r="DJ180" s="76">
        <v>0</v>
      </c>
      <c r="DK180" s="76">
        <v>0</v>
      </c>
      <c r="DL180" s="76">
        <v>0</v>
      </c>
      <c r="DM180" s="76">
        <v>0</v>
      </c>
      <c r="DN180" s="76">
        <v>0</v>
      </c>
      <c r="DO180" s="76">
        <v>0</v>
      </c>
      <c r="DP180" s="76">
        <v>2352</v>
      </c>
      <c r="DQ180" s="76">
        <v>0</v>
      </c>
      <c r="DR180" s="76">
        <v>2440</v>
      </c>
      <c r="DS180" s="76">
        <v>-88</v>
      </c>
      <c r="DT180" s="76">
        <v>0</v>
      </c>
      <c r="DU180" s="76">
        <v>0</v>
      </c>
      <c r="DV180" s="76">
        <v>0</v>
      </c>
      <c r="DW180" s="76">
        <v>0</v>
      </c>
      <c r="DX180" s="76">
        <v>0</v>
      </c>
      <c r="DY180" s="76">
        <v>0</v>
      </c>
      <c r="DZ180" s="76">
        <v>0</v>
      </c>
      <c r="EA180" s="76">
        <v>0</v>
      </c>
      <c r="EB180" s="76">
        <v>0</v>
      </c>
      <c r="EC180" s="76">
        <v>0</v>
      </c>
      <c r="ED180" s="76">
        <v>0</v>
      </c>
      <c r="EE180" s="76">
        <v>0</v>
      </c>
      <c r="EF180" s="76">
        <v>2352</v>
      </c>
      <c r="EG180" s="76">
        <v>0</v>
      </c>
      <c r="EH180" s="76">
        <v>2440</v>
      </c>
      <c r="EI180" s="76">
        <v>-88</v>
      </c>
      <c r="EJ180" s="76">
        <v>11358</v>
      </c>
      <c r="EK180" s="76">
        <v>938</v>
      </c>
      <c r="EL180" s="76">
        <v>10814</v>
      </c>
      <c r="EM180" s="76">
        <v>-394</v>
      </c>
      <c r="EN180" s="76">
        <v>893</v>
      </c>
      <c r="EO180" s="76">
        <v>1053</v>
      </c>
      <c r="EP180" s="76">
        <v>410</v>
      </c>
      <c r="EQ180" s="76">
        <v>850</v>
      </c>
      <c r="ER180" s="76">
        <v>347129</v>
      </c>
      <c r="ES180" s="76">
        <v>0</v>
      </c>
      <c r="ET180" s="76">
        <v>347129</v>
      </c>
      <c r="EU180" s="76">
        <v>7596</v>
      </c>
      <c r="EV180" s="76">
        <v>-1904</v>
      </c>
      <c r="EW180" s="76">
        <v>0</v>
      </c>
      <c r="EX180" s="76">
        <v>0</v>
      </c>
      <c r="EY180" s="76">
        <v>-1013</v>
      </c>
      <c r="EZ180" s="76">
        <v>351808</v>
      </c>
      <c r="FA180" s="76">
        <v>44115</v>
      </c>
      <c r="FB180" s="76">
        <v>5146</v>
      </c>
      <c r="FC180" s="76">
        <v>0</v>
      </c>
      <c r="FD180" s="76">
        <v>0</v>
      </c>
      <c r="FE180" s="76">
        <v>-198</v>
      </c>
      <c r="FF180" s="76">
        <v>0</v>
      </c>
      <c r="FG180" s="76">
        <v>-767</v>
      </c>
      <c r="FH180" s="76">
        <v>48296</v>
      </c>
      <c r="FI180" s="76">
        <v>303512</v>
      </c>
      <c r="FJ180" s="76">
        <v>303014</v>
      </c>
      <c r="FK180" s="76">
        <v>451</v>
      </c>
      <c r="FL180" s="76">
        <v>314</v>
      </c>
      <c r="FM180" s="76">
        <v>137</v>
      </c>
      <c r="FN180" s="76">
        <v>0</v>
      </c>
      <c r="FO180" s="76">
        <v>0</v>
      </c>
      <c r="FP180" s="76">
        <v>0</v>
      </c>
      <c r="FQ180" s="76">
        <v>0</v>
      </c>
      <c r="FR180" s="76">
        <v>0</v>
      </c>
      <c r="FS180" s="76">
        <v>0</v>
      </c>
      <c r="FT180" s="76">
        <v>1179</v>
      </c>
      <c r="FU180" s="76">
        <v>739</v>
      </c>
      <c r="FV180" s="76">
        <v>440</v>
      </c>
      <c r="FW180" s="76">
        <v>0</v>
      </c>
      <c r="FX180" s="76">
        <v>0</v>
      </c>
      <c r="FY180" s="76">
        <v>0</v>
      </c>
      <c r="FZ180" s="76">
        <v>0</v>
      </c>
      <c r="GA180" s="76">
        <v>0</v>
      </c>
      <c r="GB180" s="76">
        <v>0</v>
      </c>
      <c r="GC180" s="76">
        <v>1630</v>
      </c>
      <c r="GD180" s="76">
        <v>1053</v>
      </c>
      <c r="GE180" s="76">
        <v>577</v>
      </c>
      <c r="GF180" s="76">
        <v>0</v>
      </c>
      <c r="GG180" s="76">
        <v>0</v>
      </c>
      <c r="GH180" s="76">
        <v>0</v>
      </c>
      <c r="GI180" s="76">
        <v>0</v>
      </c>
      <c r="GJ180" s="76">
        <v>0</v>
      </c>
      <c r="GK180" s="76">
        <v>102</v>
      </c>
      <c r="GL180" s="76">
        <v>102</v>
      </c>
      <c r="GM180" s="76">
        <v>1861</v>
      </c>
      <c r="GN180" s="76">
        <v>1408</v>
      </c>
      <c r="GO180" s="76">
        <v>0</v>
      </c>
      <c r="GP180" s="76">
        <v>0</v>
      </c>
      <c r="GQ180" s="76">
        <v>0</v>
      </c>
      <c r="GR180" s="76">
        <v>1358</v>
      </c>
      <c r="GS180" s="76">
        <v>464</v>
      </c>
      <c r="GT180" s="76">
        <v>0</v>
      </c>
      <c r="GU180" s="76">
        <v>0</v>
      </c>
      <c r="GV180" s="76">
        <v>0</v>
      </c>
      <c r="GW180" s="76">
        <v>3428</v>
      </c>
      <c r="GX180" s="76">
        <v>8519</v>
      </c>
      <c r="GY180" s="76">
        <v>0</v>
      </c>
      <c r="GZ180" s="76">
        <v>0</v>
      </c>
      <c r="HA180" s="76">
        <v>6671</v>
      </c>
      <c r="HB180" s="76">
        <v>0</v>
      </c>
      <c r="HC180" s="76">
        <v>6671</v>
      </c>
      <c r="HD180" s="76">
        <v>0</v>
      </c>
      <c r="HE180" s="76">
        <v>0</v>
      </c>
      <c r="HF180" s="76">
        <v>0</v>
      </c>
      <c r="HG180" s="76">
        <v>4212</v>
      </c>
      <c r="HH180" s="76">
        <v>19</v>
      </c>
      <c r="HI180" s="76">
        <v>167</v>
      </c>
      <c r="HJ180" s="76">
        <v>0</v>
      </c>
      <c r="HK180" s="76">
        <v>392</v>
      </c>
      <c r="HL180" s="76">
        <v>-31</v>
      </c>
      <c r="HM180" s="76">
        <v>4759</v>
      </c>
      <c r="HN180" s="76">
        <v>3809</v>
      </c>
      <c r="HO180" s="76">
        <v>6600</v>
      </c>
      <c r="HP180" s="76">
        <v>0</v>
      </c>
      <c r="HQ180" s="76">
        <v>84</v>
      </c>
      <c r="HR180" s="76">
        <v>-96</v>
      </c>
      <c r="HS180" s="76">
        <v>54</v>
      </c>
      <c r="HT180" s="76">
        <v>5760</v>
      </c>
      <c r="HU180" s="76">
        <v>0</v>
      </c>
      <c r="HV180" s="76">
        <v>0</v>
      </c>
      <c r="HW180" s="76">
        <v>0</v>
      </c>
      <c r="HX180" s="76">
        <v>0</v>
      </c>
    </row>
    <row r="181" spans="1:232" x14ac:dyDescent="0.2">
      <c r="A181" s="74" t="s">
        <v>690</v>
      </c>
      <c r="B181" s="74" t="s">
        <v>691</v>
      </c>
      <c r="C181" s="75" t="s">
        <v>200</v>
      </c>
      <c r="D181" s="75">
        <v>12</v>
      </c>
      <c r="E181" s="76">
        <v>200176</v>
      </c>
      <c r="F181" s="76">
        <v>-24185</v>
      </c>
      <c r="G181" s="76">
        <v>-111385</v>
      </c>
      <c r="H181" s="76">
        <v>64606</v>
      </c>
      <c r="I181" s="76">
        <v>13605</v>
      </c>
      <c r="J181" s="76">
        <v>0</v>
      </c>
      <c r="K181" s="76">
        <v>0</v>
      </c>
      <c r="L181" s="76">
        <v>495</v>
      </c>
      <c r="M181" s="76">
        <v>1520</v>
      </c>
      <c r="N181" s="76">
        <v>-32145</v>
      </c>
      <c r="O181" s="76">
        <v>20549</v>
      </c>
      <c r="P181" s="76">
        <v>-1809</v>
      </c>
      <c r="Q181" s="76">
        <v>0</v>
      </c>
      <c r="R181" s="76">
        <v>0</v>
      </c>
      <c r="S181" s="76">
        <v>66821</v>
      </c>
      <c r="T181" s="76">
        <v>-4856</v>
      </c>
      <c r="U181" s="76">
        <v>61965</v>
      </c>
      <c r="V181" s="76">
        <v>0</v>
      </c>
      <c r="W181" s="76">
        <v>-2377</v>
      </c>
      <c r="X181" s="76">
        <v>0</v>
      </c>
      <c r="Y181" s="76">
        <v>0</v>
      </c>
      <c r="Z181" s="76">
        <v>59588</v>
      </c>
      <c r="AA181" s="76">
        <v>131979</v>
      </c>
      <c r="AB181" s="76">
        <v>14940</v>
      </c>
      <c r="AC181" s="76">
        <v>146919</v>
      </c>
      <c r="AD181" s="76">
        <v>9633</v>
      </c>
      <c r="AE181" s="76">
        <v>0</v>
      </c>
      <c r="AF181" s="76">
        <v>0</v>
      </c>
      <c r="AG181" s="76">
        <v>93</v>
      </c>
      <c r="AH181" s="76">
        <v>156645</v>
      </c>
      <c r="AI181" s="76">
        <v>41123</v>
      </c>
      <c r="AJ181" s="76">
        <v>17465</v>
      </c>
      <c r="AK181" s="76">
        <v>21163</v>
      </c>
      <c r="AL181" s="76">
        <v>2700</v>
      </c>
      <c r="AM181" s="76">
        <v>0</v>
      </c>
      <c r="AN181" s="76">
        <v>616</v>
      </c>
      <c r="AO181" s="76">
        <v>21705</v>
      </c>
      <c r="AP181" s="76">
        <v>0</v>
      </c>
      <c r="AQ181" s="76">
        <v>3447</v>
      </c>
      <c r="AR181" s="76">
        <v>108219</v>
      </c>
      <c r="AS181" s="76">
        <v>48426</v>
      </c>
      <c r="AT181" s="76">
        <v>1159</v>
      </c>
      <c r="AU181" s="76">
        <v>1779697</v>
      </c>
      <c r="AV181" s="76">
        <v>0</v>
      </c>
      <c r="AW181" s="76">
        <v>29634</v>
      </c>
      <c r="AX181" s="76">
        <v>0</v>
      </c>
      <c r="AY181" s="76">
        <v>8125</v>
      </c>
      <c r="AZ181" s="76">
        <v>78753</v>
      </c>
      <c r="BA181" s="76">
        <v>3225</v>
      </c>
      <c r="BB181" s="76">
        <v>0</v>
      </c>
      <c r="BC181" s="76">
        <v>0</v>
      </c>
      <c r="BD181" s="76">
        <v>10816</v>
      </c>
      <c r="BE181" s="76">
        <v>1910250</v>
      </c>
      <c r="BF181" s="76">
        <v>59009</v>
      </c>
      <c r="BG181" s="76">
        <v>11109</v>
      </c>
      <c r="BH181" s="76">
        <v>125506</v>
      </c>
      <c r="BI181" s="76">
        <v>0</v>
      </c>
      <c r="BJ181" s="76">
        <v>0</v>
      </c>
      <c r="BK181" s="76">
        <v>195624</v>
      </c>
      <c r="BL181" s="76">
        <v>15371</v>
      </c>
      <c r="BM181" s="76">
        <v>0</v>
      </c>
      <c r="BN181" s="76">
        <v>2563</v>
      </c>
      <c r="BO181" s="76">
        <v>47645</v>
      </c>
      <c r="BP181" s="76">
        <v>65579</v>
      </c>
      <c r="BQ181" s="76">
        <v>130045</v>
      </c>
      <c r="BR181" s="76">
        <v>2040295</v>
      </c>
      <c r="BS181" s="76">
        <v>688630</v>
      </c>
      <c r="BT181" s="76">
        <v>0</v>
      </c>
      <c r="BU181" s="76">
        <v>0</v>
      </c>
      <c r="BV181" s="76">
        <v>735351</v>
      </c>
      <c r="BW181" s="76">
        <v>7804</v>
      </c>
      <c r="BX181" s="76">
        <v>48547</v>
      </c>
      <c r="BY181" s="76">
        <v>16123</v>
      </c>
      <c r="BZ181" s="76">
        <v>1496455</v>
      </c>
      <c r="CA181" s="76">
        <v>9859</v>
      </c>
      <c r="CB181" s="76">
        <v>167</v>
      </c>
      <c r="CC181" s="76">
        <v>533814</v>
      </c>
      <c r="CD181" s="76">
        <v>533384</v>
      </c>
      <c r="CE181" s="76">
        <v>0</v>
      </c>
      <c r="CF181" s="76">
        <v>0</v>
      </c>
      <c r="CG181" s="76">
        <v>0</v>
      </c>
      <c r="CH181" s="76">
        <v>430</v>
      </c>
      <c r="CI181" s="76">
        <v>533814</v>
      </c>
      <c r="CJ181" s="76">
        <v>18933</v>
      </c>
      <c r="CK181" s="76">
        <v>12183</v>
      </c>
      <c r="CL181" s="76">
        <v>0</v>
      </c>
      <c r="CM181" s="76">
        <v>6750</v>
      </c>
      <c r="CN181" s="76">
        <v>2944</v>
      </c>
      <c r="CO181" s="76">
        <v>0</v>
      </c>
      <c r="CP181" s="76">
        <v>2264</v>
      </c>
      <c r="CQ181" s="76">
        <v>680</v>
      </c>
      <c r="CR181" s="76">
        <v>0</v>
      </c>
      <c r="CS181" s="76">
        <v>0</v>
      </c>
      <c r="CT181" s="76">
        <v>0</v>
      </c>
      <c r="CU181" s="76">
        <v>0</v>
      </c>
      <c r="CV181" s="76">
        <v>0</v>
      </c>
      <c r="CW181" s="76">
        <v>0</v>
      </c>
      <c r="CX181" s="76">
        <v>0</v>
      </c>
      <c r="CY181" s="76">
        <v>0</v>
      </c>
      <c r="CZ181" s="76">
        <v>0</v>
      </c>
      <c r="DA181" s="76">
        <v>0</v>
      </c>
      <c r="DB181" s="76">
        <v>0</v>
      </c>
      <c r="DC181" s="76">
        <v>0</v>
      </c>
      <c r="DD181" s="76">
        <v>21877</v>
      </c>
      <c r="DE181" s="76">
        <v>12183</v>
      </c>
      <c r="DF181" s="76">
        <v>2264</v>
      </c>
      <c r="DG181" s="76">
        <v>7430</v>
      </c>
      <c r="DH181" s="76">
        <v>18231</v>
      </c>
      <c r="DI181" s="76">
        <v>12002</v>
      </c>
      <c r="DJ181" s="76">
        <v>0</v>
      </c>
      <c r="DK181" s="76">
        <v>6229</v>
      </c>
      <c r="DL181" s="76">
        <v>0</v>
      </c>
      <c r="DM181" s="76">
        <v>0</v>
      </c>
      <c r="DN181" s="76">
        <v>0</v>
      </c>
      <c r="DO181" s="76">
        <v>0</v>
      </c>
      <c r="DP181" s="76">
        <v>0</v>
      </c>
      <c r="DQ181" s="76">
        <v>0</v>
      </c>
      <c r="DR181" s="76">
        <v>0</v>
      </c>
      <c r="DS181" s="76">
        <v>0</v>
      </c>
      <c r="DT181" s="76">
        <v>864</v>
      </c>
      <c r="DU181" s="76">
        <v>0</v>
      </c>
      <c r="DV181" s="76">
        <v>379</v>
      </c>
      <c r="DW181" s="76">
        <v>485</v>
      </c>
      <c r="DX181" s="76">
        <v>0</v>
      </c>
      <c r="DY181" s="76">
        <v>0</v>
      </c>
      <c r="DZ181" s="76">
        <v>0</v>
      </c>
      <c r="EA181" s="76">
        <v>0</v>
      </c>
      <c r="EB181" s="76">
        <v>2559</v>
      </c>
      <c r="EC181" s="76">
        <v>0</v>
      </c>
      <c r="ED181" s="76">
        <v>523</v>
      </c>
      <c r="EE181" s="76">
        <v>2036</v>
      </c>
      <c r="EF181" s="76">
        <v>21654</v>
      </c>
      <c r="EG181" s="76">
        <v>12002</v>
      </c>
      <c r="EH181" s="76">
        <v>902</v>
      </c>
      <c r="EI181" s="76">
        <v>8750</v>
      </c>
      <c r="EJ181" s="76">
        <v>43531</v>
      </c>
      <c r="EK181" s="76">
        <v>24185</v>
      </c>
      <c r="EL181" s="76">
        <v>3166</v>
      </c>
      <c r="EM181" s="76">
        <v>16180</v>
      </c>
      <c r="EN181" s="76">
        <v>6496</v>
      </c>
      <c r="EO181" s="76">
        <v>2009</v>
      </c>
      <c r="EP181" s="76">
        <v>1168</v>
      </c>
      <c r="EQ181" s="76">
        <v>2009</v>
      </c>
      <c r="ER181" s="76">
        <v>1885704</v>
      </c>
      <c r="ES181" s="76">
        <v>0</v>
      </c>
      <c r="ET181" s="76">
        <v>1885704</v>
      </c>
      <c r="EU181" s="76">
        <v>113928</v>
      </c>
      <c r="EV181" s="76">
        <v>-9928</v>
      </c>
      <c r="EW181" s="76">
        <v>0</v>
      </c>
      <c r="EX181" s="76">
        <v>0</v>
      </c>
      <c r="EY181" s="76">
        <v>-26168</v>
      </c>
      <c r="EZ181" s="76">
        <v>1963536</v>
      </c>
      <c r="FA181" s="76">
        <v>165325</v>
      </c>
      <c r="FB181" s="76">
        <v>19499</v>
      </c>
      <c r="FC181" s="76">
        <v>0</v>
      </c>
      <c r="FD181" s="76">
        <v>0</v>
      </c>
      <c r="FE181" s="76">
        <v>-985</v>
      </c>
      <c r="FF181" s="76">
        <v>0</v>
      </c>
      <c r="FG181" s="76">
        <v>0</v>
      </c>
      <c r="FH181" s="76">
        <v>183839</v>
      </c>
      <c r="FI181" s="76">
        <v>1779697</v>
      </c>
      <c r="FJ181" s="76">
        <v>1720379</v>
      </c>
      <c r="FK181" s="76">
        <v>21924</v>
      </c>
      <c r="FL181" s="76">
        <v>10309</v>
      </c>
      <c r="FM181" s="76">
        <v>11615</v>
      </c>
      <c r="FN181" s="76">
        <v>1323</v>
      </c>
      <c r="FO181" s="76">
        <v>281</v>
      </c>
      <c r="FP181" s="76">
        <v>1042</v>
      </c>
      <c r="FQ181" s="76">
        <v>0</v>
      </c>
      <c r="FR181" s="76">
        <v>0</v>
      </c>
      <c r="FS181" s="76">
        <v>0</v>
      </c>
      <c r="FT181" s="76">
        <v>0</v>
      </c>
      <c r="FU181" s="76">
        <v>0</v>
      </c>
      <c r="FV181" s="76">
        <v>0</v>
      </c>
      <c r="FW181" s="76">
        <v>0</v>
      </c>
      <c r="FX181" s="76">
        <v>0</v>
      </c>
      <c r="FY181" s="76">
        <v>0</v>
      </c>
      <c r="FZ181" s="76">
        <v>1214</v>
      </c>
      <c r="GA181" s="76">
        <v>266</v>
      </c>
      <c r="GB181" s="76">
        <v>948</v>
      </c>
      <c r="GC181" s="76">
        <v>24461</v>
      </c>
      <c r="GD181" s="76">
        <v>10856</v>
      </c>
      <c r="GE181" s="76">
        <v>13605</v>
      </c>
      <c r="GF181" s="76">
        <v>0</v>
      </c>
      <c r="GG181" s="76">
        <v>0</v>
      </c>
      <c r="GH181" s="76">
        <v>0</v>
      </c>
      <c r="GI181" s="76">
        <v>0</v>
      </c>
      <c r="GJ181" s="76">
        <v>0</v>
      </c>
      <c r="GK181" s="76">
        <v>0</v>
      </c>
      <c r="GL181" s="76">
        <v>0</v>
      </c>
      <c r="GM181" s="76">
        <v>2401</v>
      </c>
      <c r="GN181" s="76">
        <v>0</v>
      </c>
      <c r="GO181" s="76">
        <v>0</v>
      </c>
      <c r="GP181" s="76">
        <v>4805</v>
      </c>
      <c r="GQ181" s="76">
        <v>0</v>
      </c>
      <c r="GR181" s="76">
        <v>19990</v>
      </c>
      <c r="GS181" s="76">
        <v>0</v>
      </c>
      <c r="GT181" s="76">
        <v>0</v>
      </c>
      <c r="GU181" s="76">
        <v>614</v>
      </c>
      <c r="GV181" s="76">
        <v>665</v>
      </c>
      <c r="GW181" s="76">
        <v>19170</v>
      </c>
      <c r="GX181" s="76">
        <v>47645</v>
      </c>
      <c r="GY181" s="76">
        <v>10913</v>
      </c>
      <c r="GZ181" s="76">
        <v>100</v>
      </c>
      <c r="HA181" s="76">
        <v>4614</v>
      </c>
      <c r="HB181" s="76">
        <v>496</v>
      </c>
      <c r="HC181" s="76">
        <v>16123</v>
      </c>
      <c r="HD181" s="76">
        <v>167</v>
      </c>
      <c r="HE181" s="76">
        <v>0</v>
      </c>
      <c r="HF181" s="76">
        <v>167</v>
      </c>
      <c r="HG181" s="76">
        <v>34099</v>
      </c>
      <c r="HH181" s="76">
        <v>171</v>
      </c>
      <c r="HI181" s="76">
        <v>368</v>
      </c>
      <c r="HJ181" s="76">
        <v>1673</v>
      </c>
      <c r="HK181" s="76">
        <v>0</v>
      </c>
      <c r="HL181" s="76">
        <v>-4166</v>
      </c>
      <c r="HM181" s="76">
        <v>32145</v>
      </c>
      <c r="HN181" s="76">
        <v>17412</v>
      </c>
      <c r="HO181" s="76">
        <v>21705</v>
      </c>
      <c r="HP181" s="76">
        <v>0</v>
      </c>
      <c r="HQ181" s="76">
        <v>311</v>
      </c>
      <c r="HR181" s="76">
        <v>-5</v>
      </c>
      <c r="HS181" s="76">
        <v>-32</v>
      </c>
      <c r="HT181" s="76">
        <v>27425</v>
      </c>
      <c r="HU181" s="76">
        <v>48</v>
      </c>
      <c r="HV181" s="76">
        <v>0</v>
      </c>
      <c r="HW181" s="76">
        <v>-3</v>
      </c>
      <c r="HX181" s="76">
        <v>115</v>
      </c>
    </row>
    <row r="182" spans="1:232" x14ac:dyDescent="0.2">
      <c r="A182" s="74" t="s">
        <v>693</v>
      </c>
      <c r="B182" s="74" t="s">
        <v>694</v>
      </c>
      <c r="C182" s="75" t="s">
        <v>200</v>
      </c>
      <c r="D182" s="75">
        <v>12</v>
      </c>
      <c r="E182" s="76">
        <v>27672</v>
      </c>
      <c r="F182" s="76">
        <v>0</v>
      </c>
      <c r="G182" s="76">
        <v>-18601</v>
      </c>
      <c r="H182" s="76">
        <v>9071</v>
      </c>
      <c r="I182" s="76">
        <v>3025</v>
      </c>
      <c r="J182" s="76">
        <v>0</v>
      </c>
      <c r="K182" s="76">
        <v>0</v>
      </c>
      <c r="L182" s="76">
        <v>0</v>
      </c>
      <c r="M182" s="76">
        <v>66</v>
      </c>
      <c r="N182" s="76">
        <v>-3863</v>
      </c>
      <c r="O182" s="76">
        <v>0</v>
      </c>
      <c r="P182" s="76">
        <v>0</v>
      </c>
      <c r="Q182" s="76">
        <v>0</v>
      </c>
      <c r="R182" s="76">
        <v>0</v>
      </c>
      <c r="S182" s="76">
        <v>8299</v>
      </c>
      <c r="T182" s="76">
        <v>0</v>
      </c>
      <c r="U182" s="76">
        <v>8299</v>
      </c>
      <c r="V182" s="76">
        <v>0</v>
      </c>
      <c r="W182" s="76">
        <v>177</v>
      </c>
      <c r="X182" s="76">
        <v>0</v>
      </c>
      <c r="Y182" s="76">
        <v>0</v>
      </c>
      <c r="Z182" s="76">
        <v>8476</v>
      </c>
      <c r="AA182" s="76">
        <v>25996</v>
      </c>
      <c r="AB182" s="76">
        <v>221</v>
      </c>
      <c r="AC182" s="76">
        <v>26217</v>
      </c>
      <c r="AD182" s="76">
        <v>1195</v>
      </c>
      <c r="AE182" s="76">
        <v>0</v>
      </c>
      <c r="AF182" s="76">
        <v>9</v>
      </c>
      <c r="AG182" s="76">
        <v>13</v>
      </c>
      <c r="AH182" s="76">
        <v>27434</v>
      </c>
      <c r="AI182" s="76">
        <v>5519</v>
      </c>
      <c r="AJ182" s="76">
        <v>270</v>
      </c>
      <c r="AK182" s="76">
        <v>2768</v>
      </c>
      <c r="AL182" s="76">
        <v>1182</v>
      </c>
      <c r="AM182" s="76">
        <v>656</v>
      </c>
      <c r="AN182" s="76">
        <v>164</v>
      </c>
      <c r="AO182" s="76">
        <v>5154</v>
      </c>
      <c r="AP182" s="76">
        <v>879</v>
      </c>
      <c r="AQ182" s="76">
        <v>738</v>
      </c>
      <c r="AR182" s="76">
        <v>17330</v>
      </c>
      <c r="AS182" s="76">
        <v>10104</v>
      </c>
      <c r="AT182" s="76">
        <v>84</v>
      </c>
      <c r="AU182" s="76">
        <v>114255</v>
      </c>
      <c r="AV182" s="76">
        <v>0</v>
      </c>
      <c r="AW182" s="76">
        <v>1199</v>
      </c>
      <c r="AX182" s="76">
        <v>0</v>
      </c>
      <c r="AY182" s="76">
        <v>0</v>
      </c>
      <c r="AZ182" s="76">
        <v>3671</v>
      </c>
      <c r="BA182" s="76">
        <v>0</v>
      </c>
      <c r="BB182" s="76">
        <v>0</v>
      </c>
      <c r="BC182" s="76">
        <v>0</v>
      </c>
      <c r="BD182" s="76">
        <v>0</v>
      </c>
      <c r="BE182" s="76">
        <v>119125</v>
      </c>
      <c r="BF182" s="76">
        <v>0</v>
      </c>
      <c r="BG182" s="76">
        <v>2060</v>
      </c>
      <c r="BH182" s="76">
        <v>17472</v>
      </c>
      <c r="BI182" s="76">
        <v>0</v>
      </c>
      <c r="BJ182" s="76">
        <v>93</v>
      </c>
      <c r="BK182" s="76">
        <v>19625</v>
      </c>
      <c r="BL182" s="76">
        <v>3319</v>
      </c>
      <c r="BM182" s="76">
        <v>0</v>
      </c>
      <c r="BN182" s="76">
        <v>1195</v>
      </c>
      <c r="BO182" s="76">
        <v>2892</v>
      </c>
      <c r="BP182" s="76">
        <v>7406</v>
      </c>
      <c r="BQ182" s="76">
        <v>12219</v>
      </c>
      <c r="BR182" s="76">
        <v>131344</v>
      </c>
      <c r="BS182" s="76">
        <v>55917</v>
      </c>
      <c r="BT182" s="76">
        <v>0</v>
      </c>
      <c r="BU182" s="76">
        <v>0</v>
      </c>
      <c r="BV182" s="76">
        <v>23648</v>
      </c>
      <c r="BW182" s="76">
        <v>0</v>
      </c>
      <c r="BX182" s="76">
        <v>0</v>
      </c>
      <c r="BY182" s="76">
        <v>0</v>
      </c>
      <c r="BZ182" s="76">
        <v>79565</v>
      </c>
      <c r="CA182" s="76">
        <v>6806</v>
      </c>
      <c r="CB182" s="76">
        <v>0</v>
      </c>
      <c r="CC182" s="76">
        <v>44973</v>
      </c>
      <c r="CD182" s="76">
        <v>44973</v>
      </c>
      <c r="CE182" s="76">
        <v>0</v>
      </c>
      <c r="CF182" s="76">
        <v>0</v>
      </c>
      <c r="CG182" s="76">
        <v>0</v>
      </c>
      <c r="CH182" s="76">
        <v>0</v>
      </c>
      <c r="CI182" s="76">
        <v>44973</v>
      </c>
      <c r="CJ182" s="76">
        <v>0</v>
      </c>
      <c r="CK182" s="76">
        <v>0</v>
      </c>
      <c r="CL182" s="76">
        <v>0</v>
      </c>
      <c r="CM182" s="76">
        <v>0</v>
      </c>
      <c r="CN182" s="76">
        <v>0</v>
      </c>
      <c r="CO182" s="76">
        <v>0</v>
      </c>
      <c r="CP182" s="76">
        <v>0</v>
      </c>
      <c r="CQ182" s="76">
        <v>0</v>
      </c>
      <c r="CR182" s="76">
        <v>0</v>
      </c>
      <c r="CS182" s="76">
        <v>0</v>
      </c>
      <c r="CT182" s="76">
        <v>0</v>
      </c>
      <c r="CU182" s="76">
        <v>0</v>
      </c>
      <c r="CV182" s="76">
        <v>110</v>
      </c>
      <c r="CW182" s="76">
        <v>0</v>
      </c>
      <c r="CX182" s="76">
        <v>1190</v>
      </c>
      <c r="CY182" s="76">
        <v>-1080</v>
      </c>
      <c r="CZ182" s="76">
        <v>0</v>
      </c>
      <c r="DA182" s="76">
        <v>0</v>
      </c>
      <c r="DB182" s="76">
        <v>0</v>
      </c>
      <c r="DC182" s="76">
        <v>0</v>
      </c>
      <c r="DD182" s="76">
        <v>110</v>
      </c>
      <c r="DE182" s="76">
        <v>0</v>
      </c>
      <c r="DF182" s="76">
        <v>1190</v>
      </c>
      <c r="DG182" s="76">
        <v>-1080</v>
      </c>
      <c r="DH182" s="76">
        <v>0</v>
      </c>
      <c r="DI182" s="76">
        <v>0</v>
      </c>
      <c r="DJ182" s="76">
        <v>0</v>
      </c>
      <c r="DK182" s="76">
        <v>0</v>
      </c>
      <c r="DL182" s="76">
        <v>0</v>
      </c>
      <c r="DM182" s="76">
        <v>0</v>
      </c>
      <c r="DN182" s="76">
        <v>0</v>
      </c>
      <c r="DO182" s="76">
        <v>0</v>
      </c>
      <c r="DP182" s="76">
        <v>0</v>
      </c>
      <c r="DQ182" s="76">
        <v>0</v>
      </c>
      <c r="DR182" s="76">
        <v>0</v>
      </c>
      <c r="DS182" s="76">
        <v>0</v>
      </c>
      <c r="DT182" s="76">
        <v>66</v>
      </c>
      <c r="DU182" s="76">
        <v>0</v>
      </c>
      <c r="DV182" s="76">
        <v>26</v>
      </c>
      <c r="DW182" s="76">
        <v>40</v>
      </c>
      <c r="DX182" s="76">
        <v>0</v>
      </c>
      <c r="DY182" s="76">
        <v>0</v>
      </c>
      <c r="DZ182" s="76">
        <v>0</v>
      </c>
      <c r="EA182" s="76">
        <v>0</v>
      </c>
      <c r="EB182" s="76">
        <v>63</v>
      </c>
      <c r="EC182" s="76">
        <v>0</v>
      </c>
      <c r="ED182" s="76">
        <v>56</v>
      </c>
      <c r="EE182" s="76">
        <v>7</v>
      </c>
      <c r="EF182" s="76">
        <v>129</v>
      </c>
      <c r="EG182" s="76">
        <v>0</v>
      </c>
      <c r="EH182" s="76">
        <v>82</v>
      </c>
      <c r="EI182" s="76">
        <v>47</v>
      </c>
      <c r="EJ182" s="76">
        <v>239</v>
      </c>
      <c r="EK182" s="76">
        <v>0</v>
      </c>
      <c r="EL182" s="76">
        <v>1272</v>
      </c>
      <c r="EM182" s="76">
        <v>-1033</v>
      </c>
      <c r="EN182" s="76">
        <v>1780</v>
      </c>
      <c r="EO182" s="76">
        <v>1237</v>
      </c>
      <c r="EP182" s="76">
        <v>1219</v>
      </c>
      <c r="EQ182" s="76">
        <v>1237</v>
      </c>
      <c r="ER182" s="76">
        <v>147118</v>
      </c>
      <c r="ES182" s="76">
        <v>0</v>
      </c>
      <c r="ET182" s="76">
        <v>147118</v>
      </c>
      <c r="EU182" s="76">
        <v>4361</v>
      </c>
      <c r="EV182" s="76">
        <v>-1203</v>
      </c>
      <c r="EW182" s="76">
        <v>0</v>
      </c>
      <c r="EX182" s="76">
        <v>0</v>
      </c>
      <c r="EY182" s="76">
        <v>0</v>
      </c>
      <c r="EZ182" s="76">
        <v>150276</v>
      </c>
      <c r="FA182" s="76">
        <v>30292</v>
      </c>
      <c r="FB182" s="76">
        <v>5155</v>
      </c>
      <c r="FC182" s="76">
        <v>879</v>
      </c>
      <c r="FD182" s="76">
        <v>0</v>
      </c>
      <c r="FE182" s="76">
        <v>-305</v>
      </c>
      <c r="FF182" s="76">
        <v>0</v>
      </c>
      <c r="FG182" s="76">
        <v>0</v>
      </c>
      <c r="FH182" s="76">
        <v>36021</v>
      </c>
      <c r="FI182" s="76">
        <v>114255</v>
      </c>
      <c r="FJ182" s="76">
        <v>116826</v>
      </c>
      <c r="FK182" s="76">
        <v>0</v>
      </c>
      <c r="FL182" s="76">
        <v>0</v>
      </c>
      <c r="FM182" s="76">
        <v>0</v>
      </c>
      <c r="FN182" s="76">
        <v>4214</v>
      </c>
      <c r="FO182" s="76">
        <v>1189</v>
      </c>
      <c r="FP182" s="76">
        <v>3025</v>
      </c>
      <c r="FQ182" s="76">
        <v>0</v>
      </c>
      <c r="FR182" s="76">
        <v>0</v>
      </c>
      <c r="FS182" s="76">
        <v>0</v>
      </c>
      <c r="FT182" s="76">
        <v>0</v>
      </c>
      <c r="FU182" s="76">
        <v>0</v>
      </c>
      <c r="FV182" s="76">
        <v>0</v>
      </c>
      <c r="FW182" s="76">
        <v>0</v>
      </c>
      <c r="FX182" s="76">
        <v>0</v>
      </c>
      <c r="FY182" s="76">
        <v>0</v>
      </c>
      <c r="FZ182" s="76">
        <v>0</v>
      </c>
      <c r="GA182" s="76">
        <v>0</v>
      </c>
      <c r="GB182" s="76">
        <v>0</v>
      </c>
      <c r="GC182" s="76">
        <v>4214</v>
      </c>
      <c r="GD182" s="76">
        <v>1189</v>
      </c>
      <c r="GE182" s="76">
        <v>3025</v>
      </c>
      <c r="GF182" s="76">
        <v>0</v>
      </c>
      <c r="GG182" s="76">
        <v>0</v>
      </c>
      <c r="GH182" s="76">
        <v>0</v>
      </c>
      <c r="GI182" s="76">
        <v>0</v>
      </c>
      <c r="GJ182" s="76">
        <v>0</v>
      </c>
      <c r="GK182" s="76">
        <v>93</v>
      </c>
      <c r="GL182" s="76">
        <v>93</v>
      </c>
      <c r="GM182" s="76">
        <v>267</v>
      </c>
      <c r="GN182" s="76">
        <v>526</v>
      </c>
      <c r="GO182" s="76">
        <v>0</v>
      </c>
      <c r="GP182" s="76">
        <v>0</v>
      </c>
      <c r="GQ182" s="76">
        <v>0</v>
      </c>
      <c r="GR182" s="76">
        <v>1174</v>
      </c>
      <c r="GS182" s="76">
        <v>0</v>
      </c>
      <c r="GT182" s="76">
        <v>0</v>
      </c>
      <c r="GU182" s="76">
        <v>0</v>
      </c>
      <c r="GV182" s="76">
        <v>0</v>
      </c>
      <c r="GW182" s="76">
        <v>925</v>
      </c>
      <c r="GX182" s="76">
        <v>2892</v>
      </c>
      <c r="GY182" s="76">
        <v>0</v>
      </c>
      <c r="GZ182" s="76">
        <v>0</v>
      </c>
      <c r="HA182" s="76">
        <v>0</v>
      </c>
      <c r="HB182" s="76">
        <v>0</v>
      </c>
      <c r="HC182" s="76">
        <v>0</v>
      </c>
      <c r="HD182" s="76">
        <v>0</v>
      </c>
      <c r="HE182" s="76">
        <v>0</v>
      </c>
      <c r="HF182" s="76">
        <v>0</v>
      </c>
      <c r="HG182" s="76">
        <v>3663</v>
      </c>
      <c r="HH182" s="76">
        <v>99</v>
      </c>
      <c r="HI182" s="76">
        <v>0</v>
      </c>
      <c r="HJ182" s="76">
        <v>0</v>
      </c>
      <c r="HK182" s="76">
        <v>241</v>
      </c>
      <c r="HL182" s="76">
        <v>-140</v>
      </c>
      <c r="HM182" s="76">
        <v>3863</v>
      </c>
      <c r="HN182" s="76">
        <v>600</v>
      </c>
      <c r="HO182" s="76">
        <v>5403</v>
      </c>
      <c r="HP182" s="76">
        <v>879</v>
      </c>
      <c r="HQ182" s="76">
        <v>41</v>
      </c>
      <c r="HR182" s="76">
        <v>-53</v>
      </c>
      <c r="HS182" s="76">
        <v>0</v>
      </c>
      <c r="HT182" s="76">
        <v>5838</v>
      </c>
      <c r="HU182" s="76">
        <v>9</v>
      </c>
      <c r="HV182" s="76">
        <v>0</v>
      </c>
      <c r="HW182" s="76">
        <v>0</v>
      </c>
      <c r="HX182" s="76">
        <v>14</v>
      </c>
    </row>
    <row r="183" spans="1:232" x14ac:dyDescent="0.2">
      <c r="A183" s="74" t="s">
        <v>697</v>
      </c>
      <c r="B183" s="74" t="s">
        <v>696</v>
      </c>
      <c r="C183" s="75" t="s">
        <v>200</v>
      </c>
      <c r="D183" s="75">
        <v>12</v>
      </c>
      <c r="E183" s="76">
        <v>371581</v>
      </c>
      <c r="F183" s="76">
        <v>-42151</v>
      </c>
      <c r="G183" s="76">
        <v>-193519</v>
      </c>
      <c r="H183" s="76">
        <v>135911</v>
      </c>
      <c r="I183" s="76">
        <v>11998</v>
      </c>
      <c r="J183" s="76">
        <v>0</v>
      </c>
      <c r="K183" s="76">
        <v>-292</v>
      </c>
      <c r="L183" s="76">
        <v>281</v>
      </c>
      <c r="M183" s="76">
        <v>1164</v>
      </c>
      <c r="N183" s="76">
        <v>-64264</v>
      </c>
      <c r="O183" s="76">
        <v>4831</v>
      </c>
      <c r="P183" s="76">
        <v>-637</v>
      </c>
      <c r="Q183" s="76">
        <v>-200</v>
      </c>
      <c r="R183" s="76">
        <v>0</v>
      </c>
      <c r="S183" s="76">
        <v>88792</v>
      </c>
      <c r="T183" s="76">
        <v>-50</v>
      </c>
      <c r="U183" s="76">
        <v>88742</v>
      </c>
      <c r="V183" s="76">
        <v>0</v>
      </c>
      <c r="W183" s="76">
        <v>-6180</v>
      </c>
      <c r="X183" s="76">
        <v>4489</v>
      </c>
      <c r="Y183" s="76">
        <v>0</v>
      </c>
      <c r="Z183" s="76">
        <v>87051</v>
      </c>
      <c r="AA183" s="76">
        <v>278622</v>
      </c>
      <c r="AB183" s="76">
        <v>15114</v>
      </c>
      <c r="AC183" s="76">
        <v>293736</v>
      </c>
      <c r="AD183" s="76">
        <v>2605</v>
      </c>
      <c r="AE183" s="76">
        <v>0</v>
      </c>
      <c r="AF183" s="76">
        <v>0</v>
      </c>
      <c r="AG183" s="76">
        <v>669</v>
      </c>
      <c r="AH183" s="76">
        <v>297010</v>
      </c>
      <c r="AI183" s="76">
        <v>56444</v>
      </c>
      <c r="AJ183" s="76">
        <v>13920</v>
      </c>
      <c r="AK183" s="76">
        <v>36859</v>
      </c>
      <c r="AL183" s="76">
        <v>11032</v>
      </c>
      <c r="AM183" s="76">
        <v>21935</v>
      </c>
      <c r="AN183" s="76">
        <v>1419</v>
      </c>
      <c r="AO183" s="76">
        <v>35132</v>
      </c>
      <c r="AP183" s="76">
        <v>0</v>
      </c>
      <c r="AQ183" s="76">
        <v>290</v>
      </c>
      <c r="AR183" s="76">
        <v>177031</v>
      </c>
      <c r="AS183" s="76">
        <v>119979</v>
      </c>
      <c r="AT183" s="76">
        <v>1704</v>
      </c>
      <c r="AU183" s="76">
        <v>3376717</v>
      </c>
      <c r="AV183" s="76">
        <v>0</v>
      </c>
      <c r="AW183" s="76">
        <v>39488</v>
      </c>
      <c r="AX183" s="76">
        <v>0</v>
      </c>
      <c r="AY183" s="76">
        <v>12810</v>
      </c>
      <c r="AZ183" s="76">
        <v>124180</v>
      </c>
      <c r="BA183" s="76">
        <v>-1193</v>
      </c>
      <c r="BB183" s="76">
        <v>0</v>
      </c>
      <c r="BC183" s="76">
        <v>0</v>
      </c>
      <c r="BD183" s="76">
        <v>8596</v>
      </c>
      <c r="BE183" s="76">
        <v>3560598</v>
      </c>
      <c r="BF183" s="76">
        <v>39869</v>
      </c>
      <c r="BG183" s="76">
        <v>35924</v>
      </c>
      <c r="BH183" s="76">
        <v>13987</v>
      </c>
      <c r="BI183" s="76">
        <v>31176</v>
      </c>
      <c r="BJ183" s="76">
        <v>5576</v>
      </c>
      <c r="BK183" s="76">
        <v>126532</v>
      </c>
      <c r="BL183" s="76">
        <v>25191</v>
      </c>
      <c r="BM183" s="76">
        <v>0</v>
      </c>
      <c r="BN183" s="76">
        <v>3970</v>
      </c>
      <c r="BO183" s="76">
        <v>69482</v>
      </c>
      <c r="BP183" s="76">
        <v>98643</v>
      </c>
      <c r="BQ183" s="76">
        <v>27889</v>
      </c>
      <c r="BR183" s="76">
        <v>3588487</v>
      </c>
      <c r="BS183" s="76">
        <v>1582797</v>
      </c>
      <c r="BT183" s="76">
        <v>0</v>
      </c>
      <c r="BU183" s="76">
        <v>2449</v>
      </c>
      <c r="BV183" s="76">
        <v>288756</v>
      </c>
      <c r="BW183" s="76">
        <v>10883</v>
      </c>
      <c r="BX183" s="76">
        <v>96932</v>
      </c>
      <c r="BY183" s="76">
        <v>41453</v>
      </c>
      <c r="BZ183" s="76">
        <v>2023270</v>
      </c>
      <c r="CA183" s="76">
        <v>34147</v>
      </c>
      <c r="CB183" s="76">
        <v>1888</v>
      </c>
      <c r="CC183" s="76">
        <v>1529182</v>
      </c>
      <c r="CD183" s="76">
        <v>1203388</v>
      </c>
      <c r="CE183" s="76">
        <v>369804</v>
      </c>
      <c r="CF183" s="76">
        <v>0</v>
      </c>
      <c r="CG183" s="76">
        <v>-44302</v>
      </c>
      <c r="CH183" s="76">
        <v>292</v>
      </c>
      <c r="CI183" s="76">
        <v>1529182</v>
      </c>
      <c r="CJ183" s="76">
        <v>41974</v>
      </c>
      <c r="CK183" s="76">
        <v>34511</v>
      </c>
      <c r="CL183" s="76">
        <v>214</v>
      </c>
      <c r="CM183" s="76">
        <v>7249</v>
      </c>
      <c r="CN183" s="76">
        <v>564</v>
      </c>
      <c r="CO183" s="76">
        <v>0</v>
      </c>
      <c r="CP183" s="76">
        <v>0</v>
      </c>
      <c r="CQ183" s="76">
        <v>564</v>
      </c>
      <c r="CR183" s="76">
        <v>231</v>
      </c>
      <c r="CS183" s="76">
        <v>0</v>
      </c>
      <c r="CT183" s="76">
        <v>221</v>
      </c>
      <c r="CU183" s="76">
        <v>10</v>
      </c>
      <c r="CV183" s="76">
        <v>0</v>
      </c>
      <c r="CW183" s="76">
        <v>0</v>
      </c>
      <c r="CX183" s="76">
        <v>1360</v>
      </c>
      <c r="CY183" s="76">
        <v>-1360</v>
      </c>
      <c r="CZ183" s="76">
        <v>2101</v>
      </c>
      <c r="DA183" s="76">
        <v>0</v>
      </c>
      <c r="DB183" s="76">
        <v>498</v>
      </c>
      <c r="DC183" s="76">
        <v>1603</v>
      </c>
      <c r="DD183" s="76">
        <v>44870</v>
      </c>
      <c r="DE183" s="76">
        <v>34511</v>
      </c>
      <c r="DF183" s="76">
        <v>2293</v>
      </c>
      <c r="DG183" s="76">
        <v>8066</v>
      </c>
      <c r="DH183" s="76">
        <v>9053</v>
      </c>
      <c r="DI183" s="76">
        <v>7640</v>
      </c>
      <c r="DJ183" s="76">
        <v>0</v>
      </c>
      <c r="DK183" s="76">
        <v>1413</v>
      </c>
      <c r="DL183" s="76">
        <v>0</v>
      </c>
      <c r="DM183" s="76">
        <v>0</v>
      </c>
      <c r="DN183" s="76">
        <v>0</v>
      </c>
      <c r="DO183" s="76">
        <v>0</v>
      </c>
      <c r="DP183" s="76">
        <v>0</v>
      </c>
      <c r="DQ183" s="76">
        <v>0</v>
      </c>
      <c r="DR183" s="76">
        <v>0</v>
      </c>
      <c r="DS183" s="76">
        <v>0</v>
      </c>
      <c r="DT183" s="76">
        <v>9021</v>
      </c>
      <c r="DU183" s="76">
        <v>0</v>
      </c>
      <c r="DV183" s="76">
        <v>3632</v>
      </c>
      <c r="DW183" s="76">
        <v>5389</v>
      </c>
      <c r="DX183" s="76">
        <v>0</v>
      </c>
      <c r="DY183" s="76">
        <v>0</v>
      </c>
      <c r="DZ183" s="76">
        <v>0</v>
      </c>
      <c r="EA183" s="76">
        <v>0</v>
      </c>
      <c r="EB183" s="76">
        <v>11627</v>
      </c>
      <c r="EC183" s="76">
        <v>0</v>
      </c>
      <c r="ED183" s="76">
        <v>10563</v>
      </c>
      <c r="EE183" s="76">
        <v>1064</v>
      </c>
      <c r="EF183" s="76">
        <v>29701</v>
      </c>
      <c r="EG183" s="76">
        <v>7640</v>
      </c>
      <c r="EH183" s="76">
        <v>14195</v>
      </c>
      <c r="EI183" s="76">
        <v>7866</v>
      </c>
      <c r="EJ183" s="76">
        <v>74571</v>
      </c>
      <c r="EK183" s="76">
        <v>42151</v>
      </c>
      <c r="EL183" s="76">
        <v>16488</v>
      </c>
      <c r="EM183" s="76">
        <v>15932</v>
      </c>
      <c r="EN183" s="76">
        <v>6730</v>
      </c>
      <c r="EO183" s="76">
        <v>3586</v>
      </c>
      <c r="EP183" s="76">
        <v>2053</v>
      </c>
      <c r="EQ183" s="76">
        <v>3549</v>
      </c>
      <c r="ER183" s="76">
        <v>3544080</v>
      </c>
      <c r="ES183" s="76">
        <v>0</v>
      </c>
      <c r="ET183" s="76">
        <v>3544080</v>
      </c>
      <c r="EU183" s="76">
        <v>219679</v>
      </c>
      <c r="EV183" s="76">
        <v>-65771</v>
      </c>
      <c r="EW183" s="76">
        <v>0</v>
      </c>
      <c r="EX183" s="76">
        <v>0</v>
      </c>
      <c r="EY183" s="76">
        <v>-11730</v>
      </c>
      <c r="EZ183" s="76">
        <v>3686258</v>
      </c>
      <c r="FA183" s="76">
        <v>285849</v>
      </c>
      <c r="FB183" s="76">
        <v>33449</v>
      </c>
      <c r="FC183" s="76">
        <v>0</v>
      </c>
      <c r="FD183" s="76">
        <v>0</v>
      </c>
      <c r="FE183" s="76">
        <v>-8622</v>
      </c>
      <c r="FF183" s="76">
        <v>0</v>
      </c>
      <c r="FG183" s="76">
        <v>-1135</v>
      </c>
      <c r="FH183" s="76">
        <v>309541</v>
      </c>
      <c r="FI183" s="76">
        <v>3376717</v>
      </c>
      <c r="FJ183" s="76">
        <v>3258231</v>
      </c>
      <c r="FK183" s="76">
        <v>12290</v>
      </c>
      <c r="FL183" s="76">
        <v>8381</v>
      </c>
      <c r="FM183" s="76">
        <v>3909</v>
      </c>
      <c r="FN183" s="76">
        <v>6523</v>
      </c>
      <c r="FO183" s="76">
        <v>2490</v>
      </c>
      <c r="FP183" s="76">
        <v>4033</v>
      </c>
      <c r="FQ183" s="76">
        <v>259</v>
      </c>
      <c r="FR183" s="76">
        <v>114</v>
      </c>
      <c r="FS183" s="76">
        <v>145</v>
      </c>
      <c r="FT183" s="76">
        <v>4942</v>
      </c>
      <c r="FU183" s="76">
        <v>3570</v>
      </c>
      <c r="FV183" s="76">
        <v>1372</v>
      </c>
      <c r="FW183" s="76">
        <v>44181</v>
      </c>
      <c r="FX183" s="76">
        <v>42664</v>
      </c>
      <c r="FY183" s="76">
        <v>1517</v>
      </c>
      <c r="FZ183" s="76">
        <v>3856</v>
      </c>
      <c r="GA183" s="76">
        <v>2834</v>
      </c>
      <c r="GB183" s="76">
        <v>1022</v>
      </c>
      <c r="GC183" s="76">
        <v>72051</v>
      </c>
      <c r="GD183" s="76">
        <v>60053</v>
      </c>
      <c r="GE183" s="76">
        <v>11998</v>
      </c>
      <c r="GF183" s="76">
        <v>0</v>
      </c>
      <c r="GG183" s="76">
        <v>0</v>
      </c>
      <c r="GH183" s="76">
        <v>0</v>
      </c>
      <c r="GI183" s="76">
        <v>0</v>
      </c>
      <c r="GJ183" s="76">
        <v>0</v>
      </c>
      <c r="GK183" s="76">
        <v>5576</v>
      </c>
      <c r="GL183" s="76">
        <v>5576</v>
      </c>
      <c r="GM183" s="76">
        <v>13758</v>
      </c>
      <c r="GN183" s="76">
        <v>8058</v>
      </c>
      <c r="GO183" s="76">
        <v>0</v>
      </c>
      <c r="GP183" s="76">
        <v>5620</v>
      </c>
      <c r="GQ183" s="76">
        <v>29</v>
      </c>
      <c r="GR183" s="76">
        <v>33386</v>
      </c>
      <c r="GS183" s="76">
        <v>0</v>
      </c>
      <c r="GT183" s="76">
        <v>0</v>
      </c>
      <c r="GU183" s="76">
        <v>3654</v>
      </c>
      <c r="GV183" s="76">
        <v>0</v>
      </c>
      <c r="GW183" s="76">
        <v>4977</v>
      </c>
      <c r="GX183" s="76">
        <v>69482</v>
      </c>
      <c r="GY183" s="76">
        <v>16677</v>
      </c>
      <c r="GZ183" s="76">
        <v>637</v>
      </c>
      <c r="HA183" s="76">
        <v>22954</v>
      </c>
      <c r="HB183" s="76">
        <v>1185</v>
      </c>
      <c r="HC183" s="76">
        <v>41453</v>
      </c>
      <c r="HD183" s="76">
        <v>0</v>
      </c>
      <c r="HE183" s="76">
        <v>1888</v>
      </c>
      <c r="HF183" s="76">
        <v>1888</v>
      </c>
      <c r="HG183" s="76">
        <v>66641</v>
      </c>
      <c r="HH183" s="76">
        <v>0</v>
      </c>
      <c r="HI183" s="76">
        <v>951</v>
      </c>
      <c r="HJ183" s="76">
        <v>70</v>
      </c>
      <c r="HK183" s="76">
        <v>854</v>
      </c>
      <c r="HL183" s="76">
        <v>-4252</v>
      </c>
      <c r="HM183" s="76">
        <v>64264</v>
      </c>
      <c r="HN183" s="76">
        <v>13168</v>
      </c>
      <c r="HO183" s="76">
        <v>37133</v>
      </c>
      <c r="HP183" s="76">
        <v>500</v>
      </c>
      <c r="HQ183" s="76">
        <v>1128</v>
      </c>
      <c r="HR183" s="76">
        <v>-174</v>
      </c>
      <c r="HS183" s="76">
        <v>-10</v>
      </c>
      <c r="HT183" s="76">
        <v>51504</v>
      </c>
      <c r="HU183" s="76">
        <v>49</v>
      </c>
      <c r="HV183" s="76">
        <v>-11</v>
      </c>
      <c r="HW183" s="76">
        <v>-48</v>
      </c>
      <c r="HX183" s="76">
        <v>2672</v>
      </c>
    </row>
    <row r="184" spans="1:232" x14ac:dyDescent="0.2">
      <c r="A184" s="74" t="s">
        <v>700</v>
      </c>
      <c r="B184" s="74" t="s">
        <v>701</v>
      </c>
      <c r="C184" s="75" t="s">
        <v>200</v>
      </c>
      <c r="D184" s="75">
        <v>12</v>
      </c>
      <c r="E184" s="76">
        <v>86446</v>
      </c>
      <c r="F184" s="76">
        <v>0</v>
      </c>
      <c r="G184" s="76">
        <v>-84299</v>
      </c>
      <c r="H184" s="76">
        <v>2147</v>
      </c>
      <c r="I184" s="76">
        <v>-124</v>
      </c>
      <c r="J184" s="76">
        <v>0</v>
      </c>
      <c r="K184" s="76">
        <v>0</v>
      </c>
      <c r="L184" s="76">
        <v>0</v>
      </c>
      <c r="M184" s="76">
        <v>90</v>
      </c>
      <c r="N184" s="76">
        <v>-187</v>
      </c>
      <c r="O184" s="76">
        <v>0</v>
      </c>
      <c r="P184" s="76">
        <v>0</v>
      </c>
      <c r="Q184" s="76">
        <v>0</v>
      </c>
      <c r="R184" s="76">
        <v>0</v>
      </c>
      <c r="S184" s="76">
        <v>1926</v>
      </c>
      <c r="T184" s="76">
        <v>0</v>
      </c>
      <c r="U184" s="76">
        <v>1926</v>
      </c>
      <c r="V184" s="76">
        <v>0</v>
      </c>
      <c r="W184" s="76">
        <v>0</v>
      </c>
      <c r="X184" s="76">
        <v>0</v>
      </c>
      <c r="Y184" s="76">
        <v>0</v>
      </c>
      <c r="Z184" s="76">
        <v>1926</v>
      </c>
      <c r="AA184" s="76">
        <v>12328</v>
      </c>
      <c r="AB184" s="76">
        <v>14049</v>
      </c>
      <c r="AC184" s="76">
        <v>26377</v>
      </c>
      <c r="AD184" s="76">
        <v>1400</v>
      </c>
      <c r="AE184" s="76">
        <v>0</v>
      </c>
      <c r="AF184" s="76">
        <v>6785</v>
      </c>
      <c r="AG184" s="76">
        <v>0</v>
      </c>
      <c r="AH184" s="76">
        <v>34562</v>
      </c>
      <c r="AI184" s="76">
        <v>18856</v>
      </c>
      <c r="AJ184" s="76">
        <v>7691</v>
      </c>
      <c r="AK184" s="76">
        <v>867</v>
      </c>
      <c r="AL184" s="76">
        <v>882</v>
      </c>
      <c r="AM184" s="76">
        <v>0</v>
      </c>
      <c r="AN184" s="76">
        <v>1034</v>
      </c>
      <c r="AO184" s="76">
        <v>3274</v>
      </c>
      <c r="AP184" s="76">
        <v>0</v>
      </c>
      <c r="AQ184" s="76">
        <v>371</v>
      </c>
      <c r="AR184" s="76">
        <v>32975</v>
      </c>
      <c r="AS184" s="76">
        <v>1587</v>
      </c>
      <c r="AT184" s="76">
        <v>1801</v>
      </c>
      <c r="AU184" s="76">
        <v>81431</v>
      </c>
      <c r="AV184" s="76">
        <v>0</v>
      </c>
      <c r="AW184" s="76">
        <v>888</v>
      </c>
      <c r="AX184" s="76">
        <v>0</v>
      </c>
      <c r="AY184" s="76">
        <v>0</v>
      </c>
      <c r="AZ184" s="76">
        <v>0</v>
      </c>
      <c r="BA184" s="76">
        <v>0</v>
      </c>
      <c r="BB184" s="76">
        <v>0</v>
      </c>
      <c r="BC184" s="76">
        <v>0</v>
      </c>
      <c r="BD184" s="76">
        <v>0</v>
      </c>
      <c r="BE184" s="76">
        <v>82319</v>
      </c>
      <c r="BF184" s="76">
        <v>0</v>
      </c>
      <c r="BG184" s="76">
        <v>9939</v>
      </c>
      <c r="BH184" s="76">
        <v>17838</v>
      </c>
      <c r="BI184" s="76">
        <v>0</v>
      </c>
      <c r="BJ184" s="76">
        <v>1468</v>
      </c>
      <c r="BK184" s="76">
        <v>29245</v>
      </c>
      <c r="BL184" s="76">
        <v>0</v>
      </c>
      <c r="BM184" s="76">
        <v>0</v>
      </c>
      <c r="BN184" s="76">
        <v>1444</v>
      </c>
      <c r="BO184" s="76">
        <v>15374</v>
      </c>
      <c r="BP184" s="76">
        <v>16818</v>
      </c>
      <c r="BQ184" s="76">
        <v>12427</v>
      </c>
      <c r="BR184" s="76">
        <v>94746</v>
      </c>
      <c r="BS184" s="76">
        <v>0</v>
      </c>
      <c r="BT184" s="76">
        <v>0</v>
      </c>
      <c r="BU184" s="76">
        <v>0</v>
      </c>
      <c r="BV184" s="76">
        <v>71076</v>
      </c>
      <c r="BW184" s="76">
        <v>0</v>
      </c>
      <c r="BX184" s="76">
        <v>0</v>
      </c>
      <c r="BY184" s="76">
        <v>0</v>
      </c>
      <c r="BZ184" s="76">
        <v>71076</v>
      </c>
      <c r="CA184" s="76">
        <v>9012</v>
      </c>
      <c r="CB184" s="76">
        <v>1046</v>
      </c>
      <c r="CC184" s="76">
        <v>13612</v>
      </c>
      <c r="CD184" s="76">
        <v>12784</v>
      </c>
      <c r="CE184" s="76">
        <v>0</v>
      </c>
      <c r="CF184" s="76">
        <v>828</v>
      </c>
      <c r="CG184" s="76">
        <v>0</v>
      </c>
      <c r="CH184" s="76">
        <v>0</v>
      </c>
      <c r="CI184" s="76">
        <v>13612</v>
      </c>
      <c r="CJ184" s="76">
        <v>0</v>
      </c>
      <c r="CK184" s="76">
        <v>0</v>
      </c>
      <c r="CL184" s="76">
        <v>0</v>
      </c>
      <c r="CM184" s="76">
        <v>0</v>
      </c>
      <c r="CN184" s="76">
        <v>25857</v>
      </c>
      <c r="CO184" s="76">
        <v>0</v>
      </c>
      <c r="CP184" s="76">
        <v>25177</v>
      </c>
      <c r="CQ184" s="76">
        <v>680</v>
      </c>
      <c r="CR184" s="76">
        <v>0</v>
      </c>
      <c r="CS184" s="76">
        <v>0</v>
      </c>
      <c r="CT184" s="76">
        <v>0</v>
      </c>
      <c r="CU184" s="76">
        <v>0</v>
      </c>
      <c r="CV184" s="76">
        <v>0</v>
      </c>
      <c r="CW184" s="76">
        <v>0</v>
      </c>
      <c r="CX184" s="76">
        <v>0</v>
      </c>
      <c r="CY184" s="76">
        <v>0</v>
      </c>
      <c r="CZ184" s="76">
        <v>0</v>
      </c>
      <c r="DA184" s="76">
        <v>0</v>
      </c>
      <c r="DB184" s="76">
        <v>0</v>
      </c>
      <c r="DC184" s="76">
        <v>0</v>
      </c>
      <c r="DD184" s="76">
        <v>25857</v>
      </c>
      <c r="DE184" s="76">
        <v>0</v>
      </c>
      <c r="DF184" s="76">
        <v>25177</v>
      </c>
      <c r="DG184" s="76">
        <v>680</v>
      </c>
      <c r="DH184" s="76">
        <v>0</v>
      </c>
      <c r="DI184" s="76">
        <v>0</v>
      </c>
      <c r="DJ184" s="76">
        <v>0</v>
      </c>
      <c r="DK184" s="76">
        <v>0</v>
      </c>
      <c r="DL184" s="76">
        <v>0</v>
      </c>
      <c r="DM184" s="76">
        <v>0</v>
      </c>
      <c r="DN184" s="76">
        <v>0</v>
      </c>
      <c r="DO184" s="76">
        <v>0</v>
      </c>
      <c r="DP184" s="76">
        <v>0</v>
      </c>
      <c r="DQ184" s="76">
        <v>0</v>
      </c>
      <c r="DR184" s="76">
        <v>0</v>
      </c>
      <c r="DS184" s="76">
        <v>0</v>
      </c>
      <c r="DT184" s="76">
        <v>0</v>
      </c>
      <c r="DU184" s="76">
        <v>0</v>
      </c>
      <c r="DV184" s="76">
        <v>0</v>
      </c>
      <c r="DW184" s="76">
        <v>0</v>
      </c>
      <c r="DX184" s="76">
        <v>8518</v>
      </c>
      <c r="DY184" s="76">
        <v>0</v>
      </c>
      <c r="DZ184" s="76">
        <v>9567</v>
      </c>
      <c r="EA184" s="76">
        <v>-1049</v>
      </c>
      <c r="EB184" s="76">
        <v>17509</v>
      </c>
      <c r="EC184" s="76">
        <v>0</v>
      </c>
      <c r="ED184" s="76">
        <v>16580</v>
      </c>
      <c r="EE184" s="76">
        <v>929</v>
      </c>
      <c r="EF184" s="76">
        <v>26027</v>
      </c>
      <c r="EG184" s="76">
        <v>0</v>
      </c>
      <c r="EH184" s="76">
        <v>26147</v>
      </c>
      <c r="EI184" s="76">
        <v>-120</v>
      </c>
      <c r="EJ184" s="76">
        <v>51884</v>
      </c>
      <c r="EK184" s="76">
        <v>0</v>
      </c>
      <c r="EL184" s="76">
        <v>51324</v>
      </c>
      <c r="EM184" s="76">
        <v>560</v>
      </c>
      <c r="EN184" s="76">
        <v>1623</v>
      </c>
      <c r="EO184" s="76">
        <v>573</v>
      </c>
      <c r="EP184" s="76">
        <v>117</v>
      </c>
      <c r="EQ184" s="76">
        <v>573</v>
      </c>
      <c r="ER184" s="76">
        <v>107119</v>
      </c>
      <c r="ES184" s="76">
        <v>0</v>
      </c>
      <c r="ET184" s="76">
        <v>107119</v>
      </c>
      <c r="EU184" s="76">
        <v>3157</v>
      </c>
      <c r="EV184" s="76">
        <v>-2949</v>
      </c>
      <c r="EW184" s="76">
        <v>0</v>
      </c>
      <c r="EX184" s="76">
        <v>0</v>
      </c>
      <c r="EY184" s="76">
        <v>0</v>
      </c>
      <c r="EZ184" s="76">
        <v>107327</v>
      </c>
      <c r="FA184" s="76">
        <v>25287</v>
      </c>
      <c r="FB184" s="76">
        <v>3006</v>
      </c>
      <c r="FC184" s="76">
        <v>0</v>
      </c>
      <c r="FD184" s="76">
        <v>0</v>
      </c>
      <c r="FE184" s="76">
        <v>-2397</v>
      </c>
      <c r="FF184" s="76">
        <v>0</v>
      </c>
      <c r="FG184" s="76">
        <v>0</v>
      </c>
      <c r="FH184" s="76">
        <v>25896</v>
      </c>
      <c r="FI184" s="76">
        <v>81431</v>
      </c>
      <c r="FJ184" s="76">
        <v>81832</v>
      </c>
      <c r="FK184" s="76">
        <v>0</v>
      </c>
      <c r="FL184" s="76">
        <v>0</v>
      </c>
      <c r="FM184" s="76">
        <v>0</v>
      </c>
      <c r="FN184" s="76">
        <v>0</v>
      </c>
      <c r="FO184" s="76">
        <v>0</v>
      </c>
      <c r="FP184" s="76">
        <v>0</v>
      </c>
      <c r="FQ184" s="76">
        <v>0</v>
      </c>
      <c r="FR184" s="76">
        <v>0</v>
      </c>
      <c r="FS184" s="76">
        <v>0</v>
      </c>
      <c r="FT184" s="76">
        <v>0</v>
      </c>
      <c r="FU184" s="76">
        <v>0</v>
      </c>
      <c r="FV184" s="76">
        <v>0</v>
      </c>
      <c r="FW184" s="76">
        <v>1120</v>
      </c>
      <c r="FX184" s="76">
        <v>1244</v>
      </c>
      <c r="FY184" s="76">
        <v>-124</v>
      </c>
      <c r="FZ184" s="76">
        <v>0</v>
      </c>
      <c r="GA184" s="76">
        <v>0</v>
      </c>
      <c r="GB184" s="76">
        <v>0</v>
      </c>
      <c r="GC184" s="76">
        <v>1120</v>
      </c>
      <c r="GD184" s="76">
        <v>1244</v>
      </c>
      <c r="GE184" s="76">
        <v>-124</v>
      </c>
      <c r="GF184" s="76">
        <v>0</v>
      </c>
      <c r="GG184" s="76">
        <v>39</v>
      </c>
      <c r="GH184" s="76">
        <v>600</v>
      </c>
      <c r="GI184" s="76">
        <v>0</v>
      </c>
      <c r="GJ184" s="76">
        <v>0</v>
      </c>
      <c r="GK184" s="76">
        <v>829</v>
      </c>
      <c r="GL184" s="76">
        <v>1468</v>
      </c>
      <c r="GM184" s="76">
        <v>1230</v>
      </c>
      <c r="GN184" s="76">
        <v>2492</v>
      </c>
      <c r="GO184" s="76">
        <v>0</v>
      </c>
      <c r="GP184" s="76">
        <v>0</v>
      </c>
      <c r="GQ184" s="76">
        <v>0</v>
      </c>
      <c r="GR184" s="76">
        <v>10055</v>
      </c>
      <c r="GS184" s="76">
        <v>0</v>
      </c>
      <c r="GT184" s="76">
        <v>0</v>
      </c>
      <c r="GU184" s="76">
        <v>0</v>
      </c>
      <c r="GV184" s="76">
        <v>0</v>
      </c>
      <c r="GW184" s="76">
        <v>1597</v>
      </c>
      <c r="GX184" s="76">
        <v>15374</v>
      </c>
      <c r="GY184" s="76">
        <v>0</v>
      </c>
      <c r="GZ184" s="76">
        <v>0</v>
      </c>
      <c r="HA184" s="76">
        <v>0</v>
      </c>
      <c r="HB184" s="76">
        <v>0</v>
      </c>
      <c r="HC184" s="76">
        <v>0</v>
      </c>
      <c r="HD184" s="76">
        <v>0</v>
      </c>
      <c r="HE184" s="76">
        <v>1046</v>
      </c>
      <c r="HF184" s="76">
        <v>1046</v>
      </c>
      <c r="HG184" s="76">
        <v>0</v>
      </c>
      <c r="HH184" s="76">
        <v>0</v>
      </c>
      <c r="HI184" s="76">
        <v>187</v>
      </c>
      <c r="HJ184" s="76">
        <v>0</v>
      </c>
      <c r="HK184" s="76">
        <v>0</v>
      </c>
      <c r="HL184" s="76">
        <v>0</v>
      </c>
      <c r="HM184" s="76">
        <v>187</v>
      </c>
      <c r="HN184" s="76">
        <v>3157</v>
      </c>
      <c r="HO184" s="76">
        <v>3562</v>
      </c>
      <c r="HP184" s="76">
        <v>0</v>
      </c>
      <c r="HQ184" s="76">
        <v>10</v>
      </c>
      <c r="HR184" s="76">
        <v>0</v>
      </c>
      <c r="HS184" s="76">
        <v>0</v>
      </c>
      <c r="HT184" s="76">
        <v>2202</v>
      </c>
      <c r="HU184" s="76">
        <v>83</v>
      </c>
      <c r="HV184" s="76">
        <v>0</v>
      </c>
      <c r="HW184" s="76">
        <v>0</v>
      </c>
      <c r="HX184" s="76">
        <v>504</v>
      </c>
    </row>
    <row r="185" spans="1:232" x14ac:dyDescent="0.2">
      <c r="A185" s="74" t="s">
        <v>706</v>
      </c>
      <c r="B185" s="74" t="s">
        <v>705</v>
      </c>
      <c r="C185" s="75" t="s">
        <v>200</v>
      </c>
      <c r="D185" s="75">
        <v>15</v>
      </c>
      <c r="E185" s="76">
        <v>26222</v>
      </c>
      <c r="F185" s="76">
        <v>-868</v>
      </c>
      <c r="G185" s="76">
        <v>-17868</v>
      </c>
      <c r="H185" s="76">
        <v>7486</v>
      </c>
      <c r="I185" s="76">
        <v>72</v>
      </c>
      <c r="J185" s="76">
        <v>0</v>
      </c>
      <c r="K185" s="76">
        <v>0</v>
      </c>
      <c r="L185" s="76">
        <v>0</v>
      </c>
      <c r="M185" s="76">
        <v>4</v>
      </c>
      <c r="N185" s="76">
        <v>-4282</v>
      </c>
      <c r="O185" s="76">
        <v>66</v>
      </c>
      <c r="P185" s="76">
        <v>0</v>
      </c>
      <c r="Q185" s="76">
        <v>0</v>
      </c>
      <c r="R185" s="76">
        <v>0</v>
      </c>
      <c r="S185" s="76">
        <v>3346</v>
      </c>
      <c r="T185" s="76">
        <v>-22</v>
      </c>
      <c r="U185" s="76">
        <v>3324</v>
      </c>
      <c r="V185" s="76">
        <v>0</v>
      </c>
      <c r="W185" s="76">
        <v>0</v>
      </c>
      <c r="X185" s="76">
        <v>0</v>
      </c>
      <c r="Y185" s="76">
        <v>0</v>
      </c>
      <c r="Z185" s="76">
        <v>3324</v>
      </c>
      <c r="AA185" s="76">
        <v>18620</v>
      </c>
      <c r="AB185" s="76">
        <v>3541</v>
      </c>
      <c r="AC185" s="76">
        <v>22161</v>
      </c>
      <c r="AD185" s="76">
        <v>1277</v>
      </c>
      <c r="AE185" s="76">
        <v>0</v>
      </c>
      <c r="AF185" s="76">
        <v>0</v>
      </c>
      <c r="AG185" s="76">
        <v>0</v>
      </c>
      <c r="AH185" s="76">
        <v>23438</v>
      </c>
      <c r="AI185" s="76">
        <v>2719</v>
      </c>
      <c r="AJ185" s="76">
        <v>3442</v>
      </c>
      <c r="AK185" s="76">
        <v>3550</v>
      </c>
      <c r="AL185" s="76">
        <v>1551</v>
      </c>
      <c r="AM185" s="76">
        <v>280</v>
      </c>
      <c r="AN185" s="76">
        <v>98</v>
      </c>
      <c r="AO185" s="76">
        <v>3497</v>
      </c>
      <c r="AP185" s="76">
        <v>0</v>
      </c>
      <c r="AQ185" s="76">
        <v>654</v>
      </c>
      <c r="AR185" s="76">
        <v>15791</v>
      </c>
      <c r="AS185" s="76">
        <v>7647</v>
      </c>
      <c r="AT185" s="76">
        <v>454</v>
      </c>
      <c r="AU185" s="76">
        <v>157158</v>
      </c>
      <c r="AV185" s="76">
        <v>0</v>
      </c>
      <c r="AW185" s="76">
        <v>338</v>
      </c>
      <c r="AX185" s="76">
        <v>0</v>
      </c>
      <c r="AY185" s="76">
        <v>0</v>
      </c>
      <c r="AZ185" s="76">
        <v>9160</v>
      </c>
      <c r="BA185" s="76">
        <v>0</v>
      </c>
      <c r="BB185" s="76">
        <v>0</v>
      </c>
      <c r="BC185" s="76">
        <v>0</v>
      </c>
      <c r="BD185" s="76">
        <v>0</v>
      </c>
      <c r="BE185" s="76">
        <v>166656</v>
      </c>
      <c r="BF185" s="76">
        <v>2875</v>
      </c>
      <c r="BG185" s="76">
        <v>385</v>
      </c>
      <c r="BH185" s="76">
        <v>858</v>
      </c>
      <c r="BI185" s="76">
        <v>0</v>
      </c>
      <c r="BJ185" s="76">
        <v>1138</v>
      </c>
      <c r="BK185" s="76">
        <v>5256</v>
      </c>
      <c r="BL185" s="76">
        <v>642</v>
      </c>
      <c r="BM185" s="76">
        <v>0</v>
      </c>
      <c r="BN185" s="76">
        <v>1089</v>
      </c>
      <c r="BO185" s="76">
        <v>3623</v>
      </c>
      <c r="BP185" s="76">
        <v>5354</v>
      </c>
      <c r="BQ185" s="76">
        <v>-98</v>
      </c>
      <c r="BR185" s="76">
        <v>166558</v>
      </c>
      <c r="BS185" s="76">
        <v>73097</v>
      </c>
      <c r="BT185" s="76">
        <v>0</v>
      </c>
      <c r="BU185" s="76">
        <v>0</v>
      </c>
      <c r="BV185" s="76">
        <v>74127</v>
      </c>
      <c r="BW185" s="76">
        <v>0</v>
      </c>
      <c r="BX185" s="76">
        <v>0</v>
      </c>
      <c r="BY185" s="76">
        <v>0</v>
      </c>
      <c r="BZ185" s="76">
        <v>147224</v>
      </c>
      <c r="CA185" s="76">
        <v>0</v>
      </c>
      <c r="CB185" s="76">
        <v>0</v>
      </c>
      <c r="CC185" s="76">
        <v>19334</v>
      </c>
      <c r="CD185" s="76">
        <v>19333</v>
      </c>
      <c r="CE185" s="76">
        <v>0</v>
      </c>
      <c r="CF185" s="76">
        <v>0</v>
      </c>
      <c r="CG185" s="76">
        <v>0</v>
      </c>
      <c r="CH185" s="76">
        <v>1</v>
      </c>
      <c r="CI185" s="76">
        <v>19334</v>
      </c>
      <c r="CJ185" s="76">
        <v>1030</v>
      </c>
      <c r="CK185" s="76">
        <v>868</v>
      </c>
      <c r="CL185" s="76">
        <v>0</v>
      </c>
      <c r="CM185" s="76">
        <v>162</v>
      </c>
      <c r="CN185" s="76">
        <v>306</v>
      </c>
      <c r="CO185" s="76">
        <v>0</v>
      </c>
      <c r="CP185" s="76">
        <v>306</v>
      </c>
      <c r="CQ185" s="76">
        <v>0</v>
      </c>
      <c r="CR185" s="76">
        <v>13</v>
      </c>
      <c r="CS185" s="76">
        <v>0</v>
      </c>
      <c r="CT185" s="76">
        <v>295</v>
      </c>
      <c r="CU185" s="76">
        <v>-282</v>
      </c>
      <c r="CV185" s="76">
        <v>952</v>
      </c>
      <c r="CW185" s="76">
        <v>0</v>
      </c>
      <c r="CX185" s="76">
        <v>1302</v>
      </c>
      <c r="CY185" s="76">
        <v>-350</v>
      </c>
      <c r="CZ185" s="76">
        <v>83</v>
      </c>
      <c r="DA185" s="76">
        <v>0</v>
      </c>
      <c r="DB185" s="76">
        <v>39</v>
      </c>
      <c r="DC185" s="76">
        <v>44</v>
      </c>
      <c r="DD185" s="76">
        <v>2384</v>
      </c>
      <c r="DE185" s="76">
        <v>868</v>
      </c>
      <c r="DF185" s="76">
        <v>1942</v>
      </c>
      <c r="DG185" s="76">
        <v>-426</v>
      </c>
      <c r="DH185" s="76">
        <v>0</v>
      </c>
      <c r="DI185" s="76">
        <v>0</v>
      </c>
      <c r="DJ185" s="76">
        <v>0</v>
      </c>
      <c r="DK185" s="76">
        <v>0</v>
      </c>
      <c r="DL185" s="76">
        <v>0</v>
      </c>
      <c r="DM185" s="76">
        <v>0</v>
      </c>
      <c r="DN185" s="76">
        <v>0</v>
      </c>
      <c r="DO185" s="76">
        <v>0</v>
      </c>
      <c r="DP185" s="76">
        <v>0</v>
      </c>
      <c r="DQ185" s="76">
        <v>0</v>
      </c>
      <c r="DR185" s="76">
        <v>0</v>
      </c>
      <c r="DS185" s="76">
        <v>0</v>
      </c>
      <c r="DT185" s="76">
        <v>400</v>
      </c>
      <c r="DU185" s="76">
        <v>0</v>
      </c>
      <c r="DV185" s="76">
        <v>135</v>
      </c>
      <c r="DW185" s="76">
        <v>265</v>
      </c>
      <c r="DX185" s="76">
        <v>0</v>
      </c>
      <c r="DY185" s="76">
        <v>0</v>
      </c>
      <c r="DZ185" s="76">
        <v>0</v>
      </c>
      <c r="EA185" s="76">
        <v>0</v>
      </c>
      <c r="EB185" s="76">
        <v>0</v>
      </c>
      <c r="EC185" s="76">
        <v>0</v>
      </c>
      <c r="ED185" s="76">
        <v>0</v>
      </c>
      <c r="EE185" s="76">
        <v>0</v>
      </c>
      <c r="EF185" s="76">
        <v>400</v>
      </c>
      <c r="EG185" s="76">
        <v>0</v>
      </c>
      <c r="EH185" s="76">
        <v>135</v>
      </c>
      <c r="EI185" s="76">
        <v>265</v>
      </c>
      <c r="EJ185" s="76">
        <v>2784</v>
      </c>
      <c r="EK185" s="76">
        <v>868</v>
      </c>
      <c r="EL185" s="76">
        <v>2077</v>
      </c>
      <c r="EM185" s="76">
        <v>-161</v>
      </c>
      <c r="EN185" s="76">
        <v>401</v>
      </c>
      <c r="EO185" s="76">
        <v>343</v>
      </c>
      <c r="EP185" s="76">
        <v>16</v>
      </c>
      <c r="EQ185" s="76">
        <v>343</v>
      </c>
      <c r="ER185" s="76">
        <v>188531</v>
      </c>
      <c r="ES185" s="76">
        <v>0</v>
      </c>
      <c r="ET185" s="76">
        <v>188531</v>
      </c>
      <c r="EU185" s="76">
        <v>8062</v>
      </c>
      <c r="EV185" s="76">
        <v>-1175</v>
      </c>
      <c r="EW185" s="76">
        <v>0</v>
      </c>
      <c r="EX185" s="76">
        <v>0</v>
      </c>
      <c r="EY185" s="76">
        <v>-793</v>
      </c>
      <c r="EZ185" s="76">
        <v>194625</v>
      </c>
      <c r="FA185" s="76">
        <v>34792</v>
      </c>
      <c r="FB185" s="76">
        <v>3467</v>
      </c>
      <c r="FC185" s="76">
        <v>0</v>
      </c>
      <c r="FD185" s="76">
        <v>0</v>
      </c>
      <c r="FE185" s="76">
        <v>-758</v>
      </c>
      <c r="FF185" s="76">
        <v>0</v>
      </c>
      <c r="FG185" s="76">
        <v>-34</v>
      </c>
      <c r="FH185" s="76">
        <v>37467</v>
      </c>
      <c r="FI185" s="76">
        <v>157158</v>
      </c>
      <c r="FJ185" s="76">
        <v>153739</v>
      </c>
      <c r="FK185" s="76">
        <v>17</v>
      </c>
      <c r="FL185" s="76">
        <v>19</v>
      </c>
      <c r="FM185" s="76">
        <v>-2</v>
      </c>
      <c r="FN185" s="76">
        <v>0</v>
      </c>
      <c r="FO185" s="76">
        <v>0</v>
      </c>
      <c r="FP185" s="76">
        <v>0</v>
      </c>
      <c r="FQ185" s="76">
        <v>0</v>
      </c>
      <c r="FR185" s="76">
        <v>0</v>
      </c>
      <c r="FS185" s="76">
        <v>0</v>
      </c>
      <c r="FT185" s="76">
        <v>538</v>
      </c>
      <c r="FU185" s="76">
        <v>468</v>
      </c>
      <c r="FV185" s="76">
        <v>70</v>
      </c>
      <c r="FW185" s="76">
        <v>0</v>
      </c>
      <c r="FX185" s="76">
        <v>0</v>
      </c>
      <c r="FY185" s="76">
        <v>0</v>
      </c>
      <c r="FZ185" s="76">
        <v>4</v>
      </c>
      <c r="GA185" s="76">
        <v>0</v>
      </c>
      <c r="GB185" s="76">
        <v>4</v>
      </c>
      <c r="GC185" s="76">
        <v>559</v>
      </c>
      <c r="GD185" s="76">
        <v>487</v>
      </c>
      <c r="GE185" s="76">
        <v>72</v>
      </c>
      <c r="GF185" s="76">
        <v>0</v>
      </c>
      <c r="GG185" s="76">
        <v>0</v>
      </c>
      <c r="GH185" s="76">
        <v>292</v>
      </c>
      <c r="GI185" s="76">
        <v>0</v>
      </c>
      <c r="GJ185" s="76">
        <v>0</v>
      </c>
      <c r="GK185" s="76">
        <v>846</v>
      </c>
      <c r="GL185" s="76">
        <v>1138</v>
      </c>
      <c r="GM185" s="76">
        <v>1693</v>
      </c>
      <c r="GN185" s="76">
        <v>608</v>
      </c>
      <c r="GO185" s="76">
        <v>0</v>
      </c>
      <c r="GP185" s="76">
        <v>126</v>
      </c>
      <c r="GQ185" s="76">
        <v>0</v>
      </c>
      <c r="GR185" s="76">
        <v>1073</v>
      </c>
      <c r="GS185" s="76">
        <v>0</v>
      </c>
      <c r="GT185" s="76">
        <v>0</v>
      </c>
      <c r="GU185" s="76">
        <v>0</v>
      </c>
      <c r="GV185" s="76">
        <v>0</v>
      </c>
      <c r="GW185" s="76">
        <v>123</v>
      </c>
      <c r="GX185" s="76">
        <v>3623</v>
      </c>
      <c r="GY185" s="76">
        <v>0</v>
      </c>
      <c r="GZ185" s="76">
        <v>0</v>
      </c>
      <c r="HA185" s="76">
        <v>0</v>
      </c>
      <c r="HB185" s="76">
        <v>0</v>
      </c>
      <c r="HC185" s="76">
        <v>0</v>
      </c>
      <c r="HD185" s="76">
        <v>0</v>
      </c>
      <c r="HE185" s="76">
        <v>0</v>
      </c>
      <c r="HF185" s="76">
        <v>0</v>
      </c>
      <c r="HG185" s="76">
        <v>4492</v>
      </c>
      <c r="HH185" s="76">
        <v>61</v>
      </c>
      <c r="HI185" s="76">
        <v>0</v>
      </c>
      <c r="HJ185" s="76">
        <v>0</v>
      </c>
      <c r="HK185" s="76">
        <v>0</v>
      </c>
      <c r="HL185" s="76">
        <v>-271</v>
      </c>
      <c r="HM185" s="76">
        <v>4282</v>
      </c>
      <c r="HN185" s="76">
        <v>1005</v>
      </c>
      <c r="HO185" s="76">
        <v>3624</v>
      </c>
      <c r="HP185" s="76">
        <v>0</v>
      </c>
      <c r="HQ185" s="76">
        <v>84</v>
      </c>
      <c r="HR185" s="76">
        <v>-11</v>
      </c>
      <c r="HS185" s="76">
        <v>-28</v>
      </c>
      <c r="HT185" s="76">
        <v>3503</v>
      </c>
      <c r="HU185" s="76">
        <v>26</v>
      </c>
      <c r="HV185" s="76">
        <v>0</v>
      </c>
      <c r="HW185" s="76">
        <v>5</v>
      </c>
      <c r="HX185" s="76">
        <v>106</v>
      </c>
    </row>
    <row r="186" spans="1:232" x14ac:dyDescent="0.2">
      <c r="A186" s="74" t="s">
        <v>166</v>
      </c>
      <c r="B186" s="74" t="s">
        <v>1</v>
      </c>
      <c r="C186" s="75" t="s">
        <v>200</v>
      </c>
      <c r="D186" s="75">
        <v>12</v>
      </c>
      <c r="E186" s="76">
        <v>32618</v>
      </c>
      <c r="F186" s="76">
        <v>-2589</v>
      </c>
      <c r="G186" s="76">
        <v>-17130</v>
      </c>
      <c r="H186" s="76">
        <v>12899</v>
      </c>
      <c r="I186" s="76">
        <v>80</v>
      </c>
      <c r="J186" s="76">
        <v>0</v>
      </c>
      <c r="K186" s="76">
        <v>0</v>
      </c>
      <c r="L186" s="76">
        <v>0</v>
      </c>
      <c r="M186" s="76">
        <v>96</v>
      </c>
      <c r="N186" s="76">
        <v>-3213</v>
      </c>
      <c r="O186" s="76">
        <v>0</v>
      </c>
      <c r="P186" s="76">
        <v>0</v>
      </c>
      <c r="Q186" s="76">
        <v>0</v>
      </c>
      <c r="R186" s="76">
        <v>0</v>
      </c>
      <c r="S186" s="76">
        <v>9862</v>
      </c>
      <c r="T186" s="76">
        <v>0</v>
      </c>
      <c r="U186" s="76">
        <v>9862</v>
      </c>
      <c r="V186" s="76">
        <v>483</v>
      </c>
      <c r="W186" s="76">
        <v>-83</v>
      </c>
      <c r="X186" s="76">
        <v>0</v>
      </c>
      <c r="Y186" s="76">
        <v>0</v>
      </c>
      <c r="Z186" s="76">
        <v>10262</v>
      </c>
      <c r="AA186" s="76">
        <v>24870</v>
      </c>
      <c r="AB186" s="76">
        <v>929</v>
      </c>
      <c r="AC186" s="76">
        <v>25799</v>
      </c>
      <c r="AD186" s="76">
        <v>187</v>
      </c>
      <c r="AE186" s="76">
        <v>15</v>
      </c>
      <c r="AF186" s="76">
        <v>1185</v>
      </c>
      <c r="AG186" s="76">
        <v>0</v>
      </c>
      <c r="AH186" s="76">
        <v>27186</v>
      </c>
      <c r="AI186" s="76">
        <v>4894</v>
      </c>
      <c r="AJ186" s="76">
        <v>753</v>
      </c>
      <c r="AK186" s="76">
        <v>4311</v>
      </c>
      <c r="AL186" s="76">
        <v>1370</v>
      </c>
      <c r="AM186" s="76">
        <v>0</v>
      </c>
      <c r="AN186" s="76">
        <v>92</v>
      </c>
      <c r="AO186" s="76">
        <v>4909</v>
      </c>
      <c r="AP186" s="76">
        <v>117</v>
      </c>
      <c r="AQ186" s="76">
        <v>0</v>
      </c>
      <c r="AR186" s="76">
        <v>16446</v>
      </c>
      <c r="AS186" s="76">
        <v>10740</v>
      </c>
      <c r="AT186" s="76">
        <v>154</v>
      </c>
      <c r="AU186" s="76">
        <v>136604</v>
      </c>
      <c r="AV186" s="76">
        <v>0</v>
      </c>
      <c r="AW186" s="76">
        <v>4223</v>
      </c>
      <c r="AX186" s="76">
        <v>0</v>
      </c>
      <c r="AY186" s="76">
        <v>0</v>
      </c>
      <c r="AZ186" s="76">
        <v>5550</v>
      </c>
      <c r="BA186" s="76">
        <v>0</v>
      </c>
      <c r="BB186" s="76">
        <v>0</v>
      </c>
      <c r="BC186" s="76">
        <v>0</v>
      </c>
      <c r="BD186" s="76">
        <v>0</v>
      </c>
      <c r="BE186" s="76">
        <v>146377</v>
      </c>
      <c r="BF186" s="76">
        <v>969</v>
      </c>
      <c r="BG186" s="76">
        <v>2195</v>
      </c>
      <c r="BH186" s="76">
        <v>29177</v>
      </c>
      <c r="BI186" s="76">
        <v>0</v>
      </c>
      <c r="BJ186" s="76">
        <v>0</v>
      </c>
      <c r="BK186" s="76">
        <v>32341</v>
      </c>
      <c r="BL186" s="76">
        <v>0</v>
      </c>
      <c r="BM186" s="76">
        <v>0</v>
      </c>
      <c r="BN186" s="76">
        <v>0</v>
      </c>
      <c r="BO186" s="76">
        <v>5199</v>
      </c>
      <c r="BP186" s="76">
        <v>5199</v>
      </c>
      <c r="BQ186" s="76">
        <v>27142</v>
      </c>
      <c r="BR186" s="76">
        <v>173519</v>
      </c>
      <c r="BS186" s="76">
        <v>80000</v>
      </c>
      <c r="BT186" s="76">
        <v>0</v>
      </c>
      <c r="BU186" s="76">
        <v>0</v>
      </c>
      <c r="BV186" s="76">
        <v>10297</v>
      </c>
      <c r="BW186" s="76">
        <v>0</v>
      </c>
      <c r="BX186" s="76">
        <v>0</v>
      </c>
      <c r="BY186" s="76">
        <v>-551</v>
      </c>
      <c r="BZ186" s="76">
        <v>89746</v>
      </c>
      <c r="CA186" s="76">
        <v>6178</v>
      </c>
      <c r="CB186" s="76">
        <v>0</v>
      </c>
      <c r="CC186" s="76">
        <v>77595</v>
      </c>
      <c r="CD186" s="76">
        <v>72734</v>
      </c>
      <c r="CE186" s="76">
        <v>4861</v>
      </c>
      <c r="CF186" s="76">
        <v>0</v>
      </c>
      <c r="CG186" s="76">
        <v>0</v>
      </c>
      <c r="CH186" s="76">
        <v>0</v>
      </c>
      <c r="CI186" s="76">
        <v>77595</v>
      </c>
      <c r="CJ186" s="76">
        <v>2748</v>
      </c>
      <c r="CK186" s="76">
        <v>2002</v>
      </c>
      <c r="CL186" s="76">
        <v>0</v>
      </c>
      <c r="CM186" s="76">
        <v>746</v>
      </c>
      <c r="CN186" s="76">
        <v>310</v>
      </c>
      <c r="CO186" s="76">
        <v>0</v>
      </c>
      <c r="CP186" s="76">
        <v>287</v>
      </c>
      <c r="CQ186" s="76">
        <v>23</v>
      </c>
      <c r="CR186" s="76">
        <v>0</v>
      </c>
      <c r="CS186" s="76">
        <v>0</v>
      </c>
      <c r="CT186" s="76">
        <v>0</v>
      </c>
      <c r="CU186" s="76">
        <v>0</v>
      </c>
      <c r="CV186" s="76">
        <v>0</v>
      </c>
      <c r="CW186" s="76">
        <v>0</v>
      </c>
      <c r="CX186" s="76">
        <v>0</v>
      </c>
      <c r="CY186" s="76">
        <v>0</v>
      </c>
      <c r="CZ186" s="76">
        <v>426</v>
      </c>
      <c r="DA186" s="76">
        <v>0</v>
      </c>
      <c r="DB186" s="76">
        <v>320</v>
      </c>
      <c r="DC186" s="76">
        <v>106</v>
      </c>
      <c r="DD186" s="76">
        <v>3484</v>
      </c>
      <c r="DE186" s="76">
        <v>2002</v>
      </c>
      <c r="DF186" s="76">
        <v>607</v>
      </c>
      <c r="DG186" s="76">
        <v>875</v>
      </c>
      <c r="DH186" s="76">
        <v>0</v>
      </c>
      <c r="DI186" s="76">
        <v>0</v>
      </c>
      <c r="DJ186" s="76">
        <v>0</v>
      </c>
      <c r="DK186" s="76">
        <v>0</v>
      </c>
      <c r="DL186" s="76">
        <v>0</v>
      </c>
      <c r="DM186" s="76">
        <v>0</v>
      </c>
      <c r="DN186" s="76">
        <v>0</v>
      </c>
      <c r="DO186" s="76">
        <v>0</v>
      </c>
      <c r="DP186" s="76">
        <v>0</v>
      </c>
      <c r="DQ186" s="76">
        <v>0</v>
      </c>
      <c r="DR186" s="76">
        <v>0</v>
      </c>
      <c r="DS186" s="76">
        <v>0</v>
      </c>
      <c r="DT186" s="76">
        <v>0</v>
      </c>
      <c r="DU186" s="76">
        <v>0</v>
      </c>
      <c r="DV186" s="76">
        <v>0</v>
      </c>
      <c r="DW186" s="76">
        <v>0</v>
      </c>
      <c r="DX186" s="76">
        <v>0</v>
      </c>
      <c r="DY186" s="76">
        <v>0</v>
      </c>
      <c r="DZ186" s="76">
        <v>0</v>
      </c>
      <c r="EA186" s="76">
        <v>0</v>
      </c>
      <c r="EB186" s="76">
        <v>1948</v>
      </c>
      <c r="EC186" s="76">
        <v>587</v>
      </c>
      <c r="ED186" s="76">
        <v>77</v>
      </c>
      <c r="EE186" s="76">
        <v>1284</v>
      </c>
      <c r="EF186" s="76">
        <v>1948</v>
      </c>
      <c r="EG186" s="76">
        <v>587</v>
      </c>
      <c r="EH186" s="76">
        <v>77</v>
      </c>
      <c r="EI186" s="76">
        <v>1284</v>
      </c>
      <c r="EJ186" s="76">
        <v>5432</v>
      </c>
      <c r="EK186" s="76">
        <v>2589</v>
      </c>
      <c r="EL186" s="76">
        <v>684</v>
      </c>
      <c r="EM186" s="76">
        <v>2159</v>
      </c>
      <c r="EN186" s="76">
        <v>536</v>
      </c>
      <c r="EO186" s="76">
        <v>231</v>
      </c>
      <c r="EP186" s="76">
        <v>239</v>
      </c>
      <c r="EQ186" s="76">
        <v>177</v>
      </c>
      <c r="ER186" s="76">
        <v>139785</v>
      </c>
      <c r="ES186" s="76">
        <v>0</v>
      </c>
      <c r="ET186" s="76">
        <v>139785</v>
      </c>
      <c r="EU186" s="76">
        <v>23054</v>
      </c>
      <c r="EV186" s="76">
        <v>-328</v>
      </c>
      <c r="EW186" s="76">
        <v>0</v>
      </c>
      <c r="EX186" s="76">
        <v>0</v>
      </c>
      <c r="EY186" s="76">
        <v>0</v>
      </c>
      <c r="EZ186" s="76">
        <v>162511</v>
      </c>
      <c r="FA186" s="76">
        <v>21243</v>
      </c>
      <c r="FB186" s="76">
        <v>4734</v>
      </c>
      <c r="FC186" s="76">
        <v>117</v>
      </c>
      <c r="FD186" s="76">
        <v>0</v>
      </c>
      <c r="FE186" s="76">
        <v>-187</v>
      </c>
      <c r="FF186" s="76">
        <v>0</v>
      </c>
      <c r="FG186" s="76">
        <v>0</v>
      </c>
      <c r="FH186" s="76">
        <v>25907</v>
      </c>
      <c r="FI186" s="76">
        <v>136604</v>
      </c>
      <c r="FJ186" s="76">
        <v>118542</v>
      </c>
      <c r="FK186" s="76">
        <v>0</v>
      </c>
      <c r="FL186" s="76">
        <v>0</v>
      </c>
      <c r="FM186" s="76">
        <v>0</v>
      </c>
      <c r="FN186" s="76">
        <v>245</v>
      </c>
      <c r="FO186" s="76">
        <v>124</v>
      </c>
      <c r="FP186" s="76">
        <v>121</v>
      </c>
      <c r="FQ186" s="76">
        <v>249</v>
      </c>
      <c r="FR186" s="76">
        <v>352</v>
      </c>
      <c r="FS186" s="76">
        <v>-103</v>
      </c>
      <c r="FT186" s="76">
        <v>0</v>
      </c>
      <c r="FU186" s="76">
        <v>0</v>
      </c>
      <c r="FV186" s="76">
        <v>0</v>
      </c>
      <c r="FW186" s="76">
        <v>0</v>
      </c>
      <c r="FX186" s="76">
        <v>0</v>
      </c>
      <c r="FY186" s="76">
        <v>0</v>
      </c>
      <c r="FZ186" s="76">
        <v>63</v>
      </c>
      <c r="GA186" s="76">
        <v>1</v>
      </c>
      <c r="GB186" s="76">
        <v>62</v>
      </c>
      <c r="GC186" s="76">
        <v>557</v>
      </c>
      <c r="GD186" s="76">
        <v>477</v>
      </c>
      <c r="GE186" s="76">
        <v>80</v>
      </c>
      <c r="GF186" s="76">
        <v>0</v>
      </c>
      <c r="GG186" s="76">
        <v>0</v>
      </c>
      <c r="GH186" s="76">
        <v>0</v>
      </c>
      <c r="GI186" s="76">
        <v>0</v>
      </c>
      <c r="GJ186" s="76">
        <v>0</v>
      </c>
      <c r="GK186" s="76">
        <v>0</v>
      </c>
      <c r="GL186" s="76">
        <v>0</v>
      </c>
      <c r="GM186" s="76">
        <v>1514</v>
      </c>
      <c r="GN186" s="76">
        <v>753</v>
      </c>
      <c r="GO186" s="76">
        <v>0</v>
      </c>
      <c r="GP186" s="76">
        <v>0</v>
      </c>
      <c r="GQ186" s="76">
        <v>93</v>
      </c>
      <c r="GR186" s="76">
        <v>187</v>
      </c>
      <c r="GS186" s="76">
        <v>0</v>
      </c>
      <c r="GT186" s="76">
        <v>0</v>
      </c>
      <c r="GU186" s="76">
        <v>0</v>
      </c>
      <c r="GV186" s="76">
        <v>0</v>
      </c>
      <c r="GW186" s="76">
        <v>2652</v>
      </c>
      <c r="GX186" s="76">
        <v>5199</v>
      </c>
      <c r="GY186" s="76">
        <v>0</v>
      </c>
      <c r="GZ186" s="76">
        <v>242</v>
      </c>
      <c r="HA186" s="76">
        <v>0</v>
      </c>
      <c r="HB186" s="76">
        <v>-793</v>
      </c>
      <c r="HC186" s="76">
        <v>-551</v>
      </c>
      <c r="HD186" s="76">
        <v>0</v>
      </c>
      <c r="HE186" s="76">
        <v>0</v>
      </c>
      <c r="HF186" s="76">
        <v>0</v>
      </c>
      <c r="HG186" s="76">
        <v>3226</v>
      </c>
      <c r="HH186" s="76">
        <v>122</v>
      </c>
      <c r="HI186" s="76">
        <v>205</v>
      </c>
      <c r="HJ186" s="76">
        <v>0</v>
      </c>
      <c r="HK186" s="76">
        <v>0</v>
      </c>
      <c r="HL186" s="76">
        <v>-340</v>
      </c>
      <c r="HM186" s="76">
        <v>3213</v>
      </c>
      <c r="HN186" s="76">
        <v>4653</v>
      </c>
      <c r="HO186" s="76">
        <v>4923</v>
      </c>
      <c r="HP186" s="76">
        <v>151</v>
      </c>
      <c r="HQ186" s="76">
        <v>295</v>
      </c>
      <c r="HR186" s="76">
        <v>-33</v>
      </c>
      <c r="HS186" s="76">
        <v>0</v>
      </c>
      <c r="HT186" s="76">
        <v>6185</v>
      </c>
      <c r="HU186" s="76">
        <v>0</v>
      </c>
      <c r="HV186" s="76">
        <v>0</v>
      </c>
      <c r="HW186" s="76">
        <v>0</v>
      </c>
      <c r="HX186" s="76">
        <v>0</v>
      </c>
    </row>
    <row r="187" spans="1:232" x14ac:dyDescent="0.2">
      <c r="A187" s="74" t="s">
        <v>707</v>
      </c>
      <c r="B187" s="74" t="s">
        <v>708</v>
      </c>
      <c r="C187" s="75" t="s">
        <v>200</v>
      </c>
      <c r="D187" s="75">
        <v>12</v>
      </c>
      <c r="E187" s="76">
        <v>20771</v>
      </c>
      <c r="F187" s="76">
        <v>-678</v>
      </c>
      <c r="G187" s="76">
        <v>-15551</v>
      </c>
      <c r="H187" s="76">
        <v>4542</v>
      </c>
      <c r="I187" s="76">
        <v>241</v>
      </c>
      <c r="J187" s="76">
        <v>0</v>
      </c>
      <c r="K187" s="76">
        <v>0</v>
      </c>
      <c r="L187" s="76">
        <v>0</v>
      </c>
      <c r="M187" s="76">
        <v>56</v>
      </c>
      <c r="N187" s="76">
        <v>-2906</v>
      </c>
      <c r="O187" s="76">
        <v>5</v>
      </c>
      <c r="P187" s="76">
        <v>0</v>
      </c>
      <c r="Q187" s="76">
        <v>0</v>
      </c>
      <c r="R187" s="76">
        <v>0</v>
      </c>
      <c r="S187" s="76">
        <v>1938</v>
      </c>
      <c r="T187" s="76">
        <v>0</v>
      </c>
      <c r="U187" s="76">
        <v>1938</v>
      </c>
      <c r="V187" s="76">
        <v>0</v>
      </c>
      <c r="W187" s="76">
        <v>0</v>
      </c>
      <c r="X187" s="76">
        <v>0</v>
      </c>
      <c r="Y187" s="76">
        <v>0</v>
      </c>
      <c r="Z187" s="76">
        <v>1938</v>
      </c>
      <c r="AA187" s="76">
        <v>11504</v>
      </c>
      <c r="AB187" s="76">
        <v>1715</v>
      </c>
      <c r="AC187" s="76">
        <v>13219</v>
      </c>
      <c r="AD187" s="76">
        <v>854</v>
      </c>
      <c r="AE187" s="76">
        <v>0</v>
      </c>
      <c r="AF187" s="76">
        <v>3</v>
      </c>
      <c r="AG187" s="76">
        <v>0</v>
      </c>
      <c r="AH187" s="76">
        <v>14076</v>
      </c>
      <c r="AI187" s="76">
        <v>2587</v>
      </c>
      <c r="AJ187" s="76">
        <v>1847</v>
      </c>
      <c r="AK187" s="76">
        <v>2270</v>
      </c>
      <c r="AL187" s="76">
        <v>606</v>
      </c>
      <c r="AM187" s="76">
        <v>0</v>
      </c>
      <c r="AN187" s="76">
        <v>118</v>
      </c>
      <c r="AO187" s="76">
        <v>2086</v>
      </c>
      <c r="AP187" s="76">
        <v>0</v>
      </c>
      <c r="AQ187" s="76">
        <v>49</v>
      </c>
      <c r="AR187" s="76">
        <v>9563</v>
      </c>
      <c r="AS187" s="76">
        <v>4513</v>
      </c>
      <c r="AT187" s="76">
        <v>66</v>
      </c>
      <c r="AU187" s="76">
        <v>131860</v>
      </c>
      <c r="AV187" s="76">
        <v>0</v>
      </c>
      <c r="AW187" s="76">
        <v>5551</v>
      </c>
      <c r="AX187" s="76">
        <v>0</v>
      </c>
      <c r="AY187" s="76">
        <v>0</v>
      </c>
      <c r="AZ187" s="76">
        <v>0</v>
      </c>
      <c r="BA187" s="76">
        <v>0</v>
      </c>
      <c r="BB187" s="76">
        <v>0</v>
      </c>
      <c r="BC187" s="76">
        <v>0</v>
      </c>
      <c r="BD187" s="76">
        <v>1700</v>
      </c>
      <c r="BE187" s="76">
        <v>139111</v>
      </c>
      <c r="BF187" s="76">
        <v>313</v>
      </c>
      <c r="BG187" s="76">
        <v>1482</v>
      </c>
      <c r="BH187" s="76">
        <v>9662</v>
      </c>
      <c r="BI187" s="76">
        <v>0</v>
      </c>
      <c r="BJ187" s="76">
        <v>0</v>
      </c>
      <c r="BK187" s="76">
        <v>11457</v>
      </c>
      <c r="BL187" s="76">
        <v>117</v>
      </c>
      <c r="BM187" s="76">
        <v>0</v>
      </c>
      <c r="BN187" s="76">
        <v>854</v>
      </c>
      <c r="BO187" s="76">
        <v>4368</v>
      </c>
      <c r="BP187" s="76">
        <v>5339</v>
      </c>
      <c r="BQ187" s="76">
        <v>6118</v>
      </c>
      <c r="BR187" s="76">
        <v>145229</v>
      </c>
      <c r="BS187" s="76">
        <v>63337</v>
      </c>
      <c r="BT187" s="76">
        <v>0</v>
      </c>
      <c r="BU187" s="76">
        <v>0</v>
      </c>
      <c r="BV187" s="76">
        <v>56658</v>
      </c>
      <c r="BW187" s="76">
        <v>0</v>
      </c>
      <c r="BX187" s="76">
        <v>0</v>
      </c>
      <c r="BY187" s="76">
        <v>194</v>
      </c>
      <c r="BZ187" s="76">
        <v>120189</v>
      </c>
      <c r="CA187" s="76">
        <v>0</v>
      </c>
      <c r="CB187" s="76">
        <v>0</v>
      </c>
      <c r="CC187" s="76">
        <v>25040</v>
      </c>
      <c r="CD187" s="76">
        <v>24974</v>
      </c>
      <c r="CE187" s="76">
        <v>53</v>
      </c>
      <c r="CF187" s="76">
        <v>13</v>
      </c>
      <c r="CG187" s="76">
        <v>0</v>
      </c>
      <c r="CH187" s="76">
        <v>0</v>
      </c>
      <c r="CI187" s="76">
        <v>25040</v>
      </c>
      <c r="CJ187" s="76">
        <v>876</v>
      </c>
      <c r="CK187" s="76">
        <v>678</v>
      </c>
      <c r="CL187" s="76">
        <v>0</v>
      </c>
      <c r="CM187" s="76">
        <v>198</v>
      </c>
      <c r="CN187" s="76">
        <v>3569</v>
      </c>
      <c r="CO187" s="76">
        <v>0</v>
      </c>
      <c r="CP187" s="76">
        <v>3472</v>
      </c>
      <c r="CQ187" s="76">
        <v>97</v>
      </c>
      <c r="CR187" s="76">
        <v>0</v>
      </c>
      <c r="CS187" s="76">
        <v>0</v>
      </c>
      <c r="CT187" s="76">
        <v>61</v>
      </c>
      <c r="CU187" s="76">
        <v>-61</v>
      </c>
      <c r="CV187" s="76">
        <v>0</v>
      </c>
      <c r="CW187" s="76">
        <v>0</v>
      </c>
      <c r="CX187" s="76">
        <v>0</v>
      </c>
      <c r="CY187" s="76">
        <v>0</v>
      </c>
      <c r="CZ187" s="76">
        <v>113</v>
      </c>
      <c r="DA187" s="76">
        <v>0</v>
      </c>
      <c r="DB187" s="76">
        <v>207</v>
      </c>
      <c r="DC187" s="76">
        <v>-94</v>
      </c>
      <c r="DD187" s="76">
        <v>4558</v>
      </c>
      <c r="DE187" s="76">
        <v>678</v>
      </c>
      <c r="DF187" s="76">
        <v>3740</v>
      </c>
      <c r="DG187" s="76">
        <v>140</v>
      </c>
      <c r="DH187" s="76">
        <v>0</v>
      </c>
      <c r="DI187" s="76">
        <v>0</v>
      </c>
      <c r="DJ187" s="76">
        <v>0</v>
      </c>
      <c r="DK187" s="76">
        <v>0</v>
      </c>
      <c r="DL187" s="76">
        <v>0</v>
      </c>
      <c r="DM187" s="76">
        <v>0</v>
      </c>
      <c r="DN187" s="76">
        <v>0</v>
      </c>
      <c r="DO187" s="76">
        <v>0</v>
      </c>
      <c r="DP187" s="76">
        <v>0</v>
      </c>
      <c r="DQ187" s="76">
        <v>0</v>
      </c>
      <c r="DR187" s="76">
        <v>0</v>
      </c>
      <c r="DS187" s="76">
        <v>0</v>
      </c>
      <c r="DT187" s="76">
        <v>0</v>
      </c>
      <c r="DU187" s="76">
        <v>0</v>
      </c>
      <c r="DV187" s="76">
        <v>0</v>
      </c>
      <c r="DW187" s="76">
        <v>0</v>
      </c>
      <c r="DX187" s="76">
        <v>0</v>
      </c>
      <c r="DY187" s="76">
        <v>0</v>
      </c>
      <c r="DZ187" s="76">
        <v>0</v>
      </c>
      <c r="EA187" s="76">
        <v>0</v>
      </c>
      <c r="EB187" s="76">
        <v>2137</v>
      </c>
      <c r="EC187" s="76">
        <v>0</v>
      </c>
      <c r="ED187" s="76">
        <v>2248</v>
      </c>
      <c r="EE187" s="76">
        <v>-111</v>
      </c>
      <c r="EF187" s="76">
        <v>2137</v>
      </c>
      <c r="EG187" s="76">
        <v>0</v>
      </c>
      <c r="EH187" s="76">
        <v>2248</v>
      </c>
      <c r="EI187" s="76">
        <v>-111</v>
      </c>
      <c r="EJ187" s="76">
        <v>6695</v>
      </c>
      <c r="EK187" s="76">
        <v>678</v>
      </c>
      <c r="EL187" s="76">
        <v>5988</v>
      </c>
      <c r="EM187" s="76">
        <v>29</v>
      </c>
      <c r="EN187" s="76">
        <v>316</v>
      </c>
      <c r="EO187" s="76">
        <v>80</v>
      </c>
      <c r="EP187" s="76">
        <v>194</v>
      </c>
      <c r="EQ187" s="76">
        <v>80</v>
      </c>
      <c r="ER187" s="76">
        <v>150020</v>
      </c>
      <c r="ES187" s="76">
        <v>0</v>
      </c>
      <c r="ET187" s="76">
        <v>150020</v>
      </c>
      <c r="EU187" s="76">
        <v>8366</v>
      </c>
      <c r="EV187" s="76">
        <v>-997</v>
      </c>
      <c r="EW187" s="76">
        <v>0</v>
      </c>
      <c r="EX187" s="76">
        <v>0</v>
      </c>
      <c r="EY187" s="76">
        <v>0</v>
      </c>
      <c r="EZ187" s="76">
        <v>157389</v>
      </c>
      <c r="FA187" s="76">
        <v>24042</v>
      </c>
      <c r="FB187" s="76">
        <v>2097</v>
      </c>
      <c r="FC187" s="76">
        <v>0</v>
      </c>
      <c r="FD187" s="76">
        <v>0</v>
      </c>
      <c r="FE187" s="76">
        <v>-610</v>
      </c>
      <c r="FF187" s="76">
        <v>0</v>
      </c>
      <c r="FG187" s="76">
        <v>0</v>
      </c>
      <c r="FH187" s="76">
        <v>25529</v>
      </c>
      <c r="FI187" s="76">
        <v>131860</v>
      </c>
      <c r="FJ187" s="76">
        <v>125978</v>
      </c>
      <c r="FK187" s="76">
        <v>116</v>
      </c>
      <c r="FL187" s="76">
        <v>76</v>
      </c>
      <c r="FM187" s="76">
        <v>40</v>
      </c>
      <c r="FN187" s="76">
        <v>0</v>
      </c>
      <c r="FO187" s="76">
        <v>0</v>
      </c>
      <c r="FP187" s="76">
        <v>0</v>
      </c>
      <c r="FQ187" s="76">
        <v>0</v>
      </c>
      <c r="FR187" s="76">
        <v>0</v>
      </c>
      <c r="FS187" s="76">
        <v>0</v>
      </c>
      <c r="FT187" s="76">
        <v>0</v>
      </c>
      <c r="FU187" s="76">
        <v>0</v>
      </c>
      <c r="FV187" s="76">
        <v>0</v>
      </c>
      <c r="FW187" s="76">
        <v>0</v>
      </c>
      <c r="FX187" s="76">
        <v>0</v>
      </c>
      <c r="FY187" s="76">
        <v>0</v>
      </c>
      <c r="FZ187" s="76">
        <v>428</v>
      </c>
      <c r="GA187" s="76">
        <v>227</v>
      </c>
      <c r="GB187" s="76">
        <v>201</v>
      </c>
      <c r="GC187" s="76">
        <v>544</v>
      </c>
      <c r="GD187" s="76">
        <v>303</v>
      </c>
      <c r="GE187" s="76">
        <v>241</v>
      </c>
      <c r="GF187" s="76">
        <v>0</v>
      </c>
      <c r="GG187" s="76">
        <v>0</v>
      </c>
      <c r="GH187" s="76">
        <v>0</v>
      </c>
      <c r="GI187" s="76">
        <v>0</v>
      </c>
      <c r="GJ187" s="76">
        <v>0</v>
      </c>
      <c r="GK187" s="76">
        <v>0</v>
      </c>
      <c r="GL187" s="76">
        <v>0</v>
      </c>
      <c r="GM187" s="76">
        <v>1106</v>
      </c>
      <c r="GN187" s="76">
        <v>527</v>
      </c>
      <c r="GO187" s="76">
        <v>0</v>
      </c>
      <c r="GP187" s="76">
        <v>1</v>
      </c>
      <c r="GQ187" s="76">
        <v>0</v>
      </c>
      <c r="GR187" s="76">
        <v>2337</v>
      </c>
      <c r="GS187" s="76">
        <v>0</v>
      </c>
      <c r="GT187" s="76">
        <v>0</v>
      </c>
      <c r="GU187" s="76">
        <v>0</v>
      </c>
      <c r="GV187" s="76">
        <v>0</v>
      </c>
      <c r="GW187" s="76">
        <v>397</v>
      </c>
      <c r="GX187" s="76">
        <v>4368</v>
      </c>
      <c r="GY187" s="76">
        <v>127</v>
      </c>
      <c r="GZ187" s="76">
        <v>0</v>
      </c>
      <c r="HA187" s="76">
        <v>0</v>
      </c>
      <c r="HB187" s="76">
        <v>67</v>
      </c>
      <c r="HC187" s="76">
        <v>194</v>
      </c>
      <c r="HD187" s="76">
        <v>0</v>
      </c>
      <c r="HE187" s="76">
        <v>0</v>
      </c>
      <c r="HF187" s="76">
        <v>0</v>
      </c>
      <c r="HG187" s="76">
        <v>3091</v>
      </c>
      <c r="HH187" s="76">
        <v>4</v>
      </c>
      <c r="HI187" s="76">
        <v>0</v>
      </c>
      <c r="HJ187" s="76">
        <v>0</v>
      </c>
      <c r="HK187" s="76">
        <v>0</v>
      </c>
      <c r="HL187" s="76">
        <v>-189</v>
      </c>
      <c r="HM187" s="76">
        <v>2906</v>
      </c>
      <c r="HN187" s="76">
        <v>786</v>
      </c>
      <c r="HO187" s="76">
        <v>2538</v>
      </c>
      <c r="HP187" s="76">
        <v>0</v>
      </c>
      <c r="HQ187" s="76">
        <v>46</v>
      </c>
      <c r="HR187" s="76">
        <v>-8</v>
      </c>
      <c r="HS187" s="76">
        <v>-5</v>
      </c>
      <c r="HT187" s="76">
        <v>2787</v>
      </c>
      <c r="HU187" s="76">
        <v>0</v>
      </c>
      <c r="HV187" s="76">
        <v>0</v>
      </c>
      <c r="HW187" s="76">
        <v>-94</v>
      </c>
      <c r="HX187" s="76">
        <v>141</v>
      </c>
    </row>
    <row r="188" spans="1:232" x14ac:dyDescent="0.2">
      <c r="A188" s="74" t="s">
        <v>716</v>
      </c>
      <c r="B188" s="74" t="s">
        <v>717</v>
      </c>
      <c r="C188" s="75" t="s">
        <v>200</v>
      </c>
      <c r="D188" s="75">
        <v>12</v>
      </c>
      <c r="E188" s="76">
        <v>180597</v>
      </c>
      <c r="F188" s="76">
        <v>-12074</v>
      </c>
      <c r="G188" s="76">
        <v>-109161</v>
      </c>
      <c r="H188" s="76">
        <v>59362</v>
      </c>
      <c r="I188" s="76">
        <v>9900</v>
      </c>
      <c r="J188" s="76">
        <v>0</v>
      </c>
      <c r="K188" s="76">
        <v>0</v>
      </c>
      <c r="L188" s="76">
        <v>0</v>
      </c>
      <c r="M188" s="76">
        <v>154</v>
      </c>
      <c r="N188" s="76">
        <v>-32368</v>
      </c>
      <c r="O188" s="76">
        <v>0</v>
      </c>
      <c r="P188" s="76">
        <v>-8739</v>
      </c>
      <c r="Q188" s="76">
        <v>0</v>
      </c>
      <c r="R188" s="76">
        <v>0</v>
      </c>
      <c r="S188" s="76">
        <v>28309</v>
      </c>
      <c r="T188" s="76">
        <v>0</v>
      </c>
      <c r="U188" s="76">
        <v>28309</v>
      </c>
      <c r="V188" s="76">
        <v>0</v>
      </c>
      <c r="W188" s="76">
        <v>730</v>
      </c>
      <c r="X188" s="76">
        <v>3921</v>
      </c>
      <c r="Y188" s="76">
        <v>0</v>
      </c>
      <c r="Z188" s="76">
        <v>32960</v>
      </c>
      <c r="AA188" s="76">
        <v>138969</v>
      </c>
      <c r="AB188" s="76">
        <v>17667</v>
      </c>
      <c r="AC188" s="76">
        <v>156636</v>
      </c>
      <c r="AD188" s="76">
        <v>7089</v>
      </c>
      <c r="AE188" s="76">
        <v>0</v>
      </c>
      <c r="AF188" s="76">
        <v>0</v>
      </c>
      <c r="AG188" s="76">
        <v>69</v>
      </c>
      <c r="AH188" s="76">
        <v>163794</v>
      </c>
      <c r="AI188" s="76">
        <v>28952</v>
      </c>
      <c r="AJ188" s="76">
        <v>16358</v>
      </c>
      <c r="AK188" s="76">
        <v>21471</v>
      </c>
      <c r="AL188" s="76">
        <v>5336</v>
      </c>
      <c r="AM188" s="76">
        <v>6300</v>
      </c>
      <c r="AN188" s="76">
        <v>1207</v>
      </c>
      <c r="AO188" s="76">
        <v>25445</v>
      </c>
      <c r="AP188" s="76">
        <v>594</v>
      </c>
      <c r="AQ188" s="76">
        <v>0</v>
      </c>
      <c r="AR188" s="76">
        <v>105663</v>
      </c>
      <c r="AS188" s="76">
        <v>58131</v>
      </c>
      <c r="AT188" s="76">
        <v>2595</v>
      </c>
      <c r="AU188" s="76">
        <v>1660440</v>
      </c>
      <c r="AV188" s="76">
        <v>0</v>
      </c>
      <c r="AW188" s="76">
        <v>6035</v>
      </c>
      <c r="AX188" s="76">
        <v>0</v>
      </c>
      <c r="AY188" s="76">
        <v>0</v>
      </c>
      <c r="AZ188" s="76">
        <v>0</v>
      </c>
      <c r="BA188" s="76">
        <v>0</v>
      </c>
      <c r="BB188" s="76">
        <v>0</v>
      </c>
      <c r="BC188" s="76">
        <v>0</v>
      </c>
      <c r="BD188" s="76">
        <v>0</v>
      </c>
      <c r="BE188" s="76">
        <v>1666475</v>
      </c>
      <c r="BF188" s="76">
        <v>12421</v>
      </c>
      <c r="BG188" s="76">
        <v>7114</v>
      </c>
      <c r="BH188" s="76">
        <v>38181</v>
      </c>
      <c r="BI188" s="76">
        <v>3735</v>
      </c>
      <c r="BJ188" s="76">
        <v>4600</v>
      </c>
      <c r="BK188" s="76">
        <v>66051</v>
      </c>
      <c r="BL188" s="76">
        <v>13319</v>
      </c>
      <c r="BM188" s="76">
        <v>0</v>
      </c>
      <c r="BN188" s="76">
        <v>0</v>
      </c>
      <c r="BO188" s="76">
        <v>37911</v>
      </c>
      <c r="BP188" s="76">
        <v>51230</v>
      </c>
      <c r="BQ188" s="76">
        <v>14821</v>
      </c>
      <c r="BR188" s="76">
        <v>1681296</v>
      </c>
      <c r="BS188" s="76">
        <v>758755</v>
      </c>
      <c r="BT188" s="76">
        <v>0</v>
      </c>
      <c r="BU188" s="76">
        <v>0</v>
      </c>
      <c r="BV188" s="76">
        <v>590436</v>
      </c>
      <c r="BW188" s="76">
        <v>0</v>
      </c>
      <c r="BX188" s="76">
        <v>126841</v>
      </c>
      <c r="BY188" s="76">
        <v>20492</v>
      </c>
      <c r="BZ188" s="76">
        <v>1496524</v>
      </c>
      <c r="CA188" s="76">
        <v>4377</v>
      </c>
      <c r="CB188" s="76">
        <v>455</v>
      </c>
      <c r="CC188" s="76">
        <v>179940</v>
      </c>
      <c r="CD188" s="76">
        <v>275242</v>
      </c>
      <c r="CE188" s="76">
        <v>0</v>
      </c>
      <c r="CF188" s="76">
        <v>0</v>
      </c>
      <c r="CG188" s="76">
        <v>-95302</v>
      </c>
      <c r="CH188" s="76">
        <v>0</v>
      </c>
      <c r="CI188" s="76">
        <v>179940</v>
      </c>
      <c r="CJ188" s="76">
        <v>15038</v>
      </c>
      <c r="CK188" s="76">
        <v>11714</v>
      </c>
      <c r="CL188" s="76">
        <v>0</v>
      </c>
      <c r="CM188" s="76">
        <v>3324</v>
      </c>
      <c r="CN188" s="76">
        <v>0</v>
      </c>
      <c r="CO188" s="76">
        <v>0</v>
      </c>
      <c r="CP188" s="76">
        <v>0</v>
      </c>
      <c r="CQ188" s="76">
        <v>0</v>
      </c>
      <c r="CR188" s="76">
        <v>0</v>
      </c>
      <c r="CS188" s="76">
        <v>0</v>
      </c>
      <c r="CT188" s="76">
        <v>592</v>
      </c>
      <c r="CU188" s="76">
        <v>-592</v>
      </c>
      <c r="CV188" s="76">
        <v>0</v>
      </c>
      <c r="CW188" s="76">
        <v>0</v>
      </c>
      <c r="CX188" s="76">
        <v>0</v>
      </c>
      <c r="CY188" s="76">
        <v>0</v>
      </c>
      <c r="CZ188" s="76">
        <v>571</v>
      </c>
      <c r="DA188" s="76">
        <v>3</v>
      </c>
      <c r="DB188" s="76">
        <v>958</v>
      </c>
      <c r="DC188" s="76">
        <v>-390</v>
      </c>
      <c r="DD188" s="76">
        <v>15609</v>
      </c>
      <c r="DE188" s="76">
        <v>11717</v>
      </c>
      <c r="DF188" s="76">
        <v>1550</v>
      </c>
      <c r="DG188" s="76">
        <v>2342</v>
      </c>
      <c r="DH188" s="76">
        <v>0</v>
      </c>
      <c r="DI188" s="76">
        <v>0</v>
      </c>
      <c r="DJ188" s="76">
        <v>0</v>
      </c>
      <c r="DK188" s="76">
        <v>0</v>
      </c>
      <c r="DL188" s="76">
        <v>0</v>
      </c>
      <c r="DM188" s="76">
        <v>0</v>
      </c>
      <c r="DN188" s="76">
        <v>0</v>
      </c>
      <c r="DO188" s="76">
        <v>0</v>
      </c>
      <c r="DP188" s="76">
        <v>0</v>
      </c>
      <c r="DQ188" s="76">
        <v>0</v>
      </c>
      <c r="DR188" s="76">
        <v>0</v>
      </c>
      <c r="DS188" s="76">
        <v>0</v>
      </c>
      <c r="DT188" s="76">
        <v>0</v>
      </c>
      <c r="DU188" s="76">
        <v>0</v>
      </c>
      <c r="DV188" s="76">
        <v>0</v>
      </c>
      <c r="DW188" s="76">
        <v>0</v>
      </c>
      <c r="DX188" s="76">
        <v>0</v>
      </c>
      <c r="DY188" s="76">
        <v>0</v>
      </c>
      <c r="DZ188" s="76">
        <v>0</v>
      </c>
      <c r="EA188" s="76">
        <v>0</v>
      </c>
      <c r="EB188" s="76">
        <v>1194</v>
      </c>
      <c r="EC188" s="76">
        <v>357</v>
      </c>
      <c r="ED188" s="76">
        <v>1948</v>
      </c>
      <c r="EE188" s="76">
        <v>-1111</v>
      </c>
      <c r="EF188" s="76">
        <v>1194</v>
      </c>
      <c r="EG188" s="76">
        <v>357</v>
      </c>
      <c r="EH188" s="76">
        <v>1948</v>
      </c>
      <c r="EI188" s="76">
        <v>-1111</v>
      </c>
      <c r="EJ188" s="76">
        <v>16803</v>
      </c>
      <c r="EK188" s="76">
        <v>12074</v>
      </c>
      <c r="EL188" s="76">
        <v>3498</v>
      </c>
      <c r="EM188" s="76">
        <v>1231</v>
      </c>
      <c r="EN188" s="76">
        <v>7548</v>
      </c>
      <c r="EO188" s="76">
        <v>1890</v>
      </c>
      <c r="EP188" s="76">
        <v>434</v>
      </c>
      <c r="EQ188" s="76">
        <v>1890</v>
      </c>
      <c r="ER188" s="76">
        <v>1856271</v>
      </c>
      <c r="ES188" s="76">
        <v>0</v>
      </c>
      <c r="ET188" s="76">
        <v>1856271</v>
      </c>
      <c r="EU188" s="76">
        <v>86038</v>
      </c>
      <c r="EV188" s="76">
        <v>-13456</v>
      </c>
      <c r="EW188" s="76">
        <v>0</v>
      </c>
      <c r="EX188" s="76">
        <v>0</v>
      </c>
      <c r="EY188" s="76">
        <v>-14650</v>
      </c>
      <c r="EZ188" s="76">
        <v>1914203</v>
      </c>
      <c r="FA188" s="76">
        <v>232275</v>
      </c>
      <c r="FB188" s="76">
        <v>24626</v>
      </c>
      <c r="FC188" s="76">
        <v>-505</v>
      </c>
      <c r="FD188" s="76">
        <v>0</v>
      </c>
      <c r="FE188" s="76">
        <v>-2633</v>
      </c>
      <c r="FF188" s="76">
        <v>0</v>
      </c>
      <c r="FG188" s="76">
        <v>0</v>
      </c>
      <c r="FH188" s="76">
        <v>253763</v>
      </c>
      <c r="FI188" s="76">
        <v>1660440</v>
      </c>
      <c r="FJ188" s="76">
        <v>1623996</v>
      </c>
      <c r="FK188" s="76">
        <v>6823</v>
      </c>
      <c r="FL188" s="76">
        <v>3962</v>
      </c>
      <c r="FM188" s="76">
        <v>2861</v>
      </c>
      <c r="FN188" s="76">
        <v>690</v>
      </c>
      <c r="FO188" s="76">
        <v>341</v>
      </c>
      <c r="FP188" s="76">
        <v>349</v>
      </c>
      <c r="FQ188" s="76">
        <v>509</v>
      </c>
      <c r="FR188" s="76">
        <v>491</v>
      </c>
      <c r="FS188" s="76">
        <v>18</v>
      </c>
      <c r="FT188" s="76">
        <v>5095</v>
      </c>
      <c r="FU188" s="76">
        <v>2332</v>
      </c>
      <c r="FV188" s="76">
        <v>2763</v>
      </c>
      <c r="FW188" s="76">
        <v>5120</v>
      </c>
      <c r="FX188" s="76">
        <v>1211</v>
      </c>
      <c r="FY188" s="76">
        <v>3909</v>
      </c>
      <c r="FZ188" s="76">
        <v>0</v>
      </c>
      <c r="GA188" s="76">
        <v>0</v>
      </c>
      <c r="GB188" s="76">
        <v>0</v>
      </c>
      <c r="GC188" s="76">
        <v>18237</v>
      </c>
      <c r="GD188" s="76">
        <v>8337</v>
      </c>
      <c r="GE188" s="76">
        <v>9900</v>
      </c>
      <c r="GF188" s="76">
        <v>0</v>
      </c>
      <c r="GG188" s="76">
        <v>0</v>
      </c>
      <c r="GH188" s="76">
        <v>560</v>
      </c>
      <c r="GI188" s="76">
        <v>0</v>
      </c>
      <c r="GJ188" s="76">
        <v>0</v>
      </c>
      <c r="GK188" s="76">
        <v>4040</v>
      </c>
      <c r="GL188" s="76">
        <v>4600</v>
      </c>
      <c r="GM188" s="76">
        <v>3763</v>
      </c>
      <c r="GN188" s="76">
        <v>4651</v>
      </c>
      <c r="GO188" s="76">
        <v>0</v>
      </c>
      <c r="GP188" s="76">
        <v>1604</v>
      </c>
      <c r="GQ188" s="76">
        <v>375</v>
      </c>
      <c r="GR188" s="76">
        <v>4254</v>
      </c>
      <c r="GS188" s="76">
        <v>0</v>
      </c>
      <c r="GT188" s="76">
        <v>0</v>
      </c>
      <c r="GU188" s="76">
        <v>2519</v>
      </c>
      <c r="GV188" s="76">
        <v>0</v>
      </c>
      <c r="GW188" s="76">
        <v>20745</v>
      </c>
      <c r="GX188" s="76">
        <v>37911</v>
      </c>
      <c r="GY188" s="76">
        <v>4123</v>
      </c>
      <c r="GZ188" s="76">
        <v>433</v>
      </c>
      <c r="HA188" s="76">
        <v>15936</v>
      </c>
      <c r="HB188" s="76">
        <v>0</v>
      </c>
      <c r="HC188" s="76">
        <v>20492</v>
      </c>
      <c r="HD188" s="76">
        <v>455</v>
      </c>
      <c r="HE188" s="76">
        <v>0</v>
      </c>
      <c r="HF188" s="76">
        <v>455</v>
      </c>
      <c r="HG188" s="76">
        <v>32375</v>
      </c>
      <c r="HH188" s="76">
        <v>1157</v>
      </c>
      <c r="HI188" s="76">
        <v>1836</v>
      </c>
      <c r="HJ188" s="76">
        <v>20</v>
      </c>
      <c r="HK188" s="76">
        <v>0</v>
      </c>
      <c r="HL188" s="76">
        <v>-3020</v>
      </c>
      <c r="HM188" s="76">
        <v>32368</v>
      </c>
      <c r="HN188" s="76">
        <v>10636</v>
      </c>
      <c r="HO188" s="76">
        <v>27131</v>
      </c>
      <c r="HP188" s="76">
        <v>594</v>
      </c>
      <c r="HQ188" s="76">
        <v>647</v>
      </c>
      <c r="HR188" s="76">
        <v>-267</v>
      </c>
      <c r="HS188" s="76">
        <v>253</v>
      </c>
      <c r="HT188" s="76">
        <v>30505</v>
      </c>
      <c r="HU188" s="76">
        <v>0</v>
      </c>
      <c r="HV188" s="76">
        <v>0</v>
      </c>
      <c r="HW188" s="76">
        <v>0</v>
      </c>
      <c r="HX188" s="76">
        <v>0</v>
      </c>
    </row>
    <row r="189" spans="1:232" x14ac:dyDescent="0.2">
      <c r="A189" s="74" t="s">
        <v>721</v>
      </c>
      <c r="B189" s="74" t="s">
        <v>720</v>
      </c>
      <c r="C189" s="75" t="s">
        <v>200</v>
      </c>
      <c r="D189" s="75">
        <v>12</v>
      </c>
      <c r="E189" s="76">
        <v>17174</v>
      </c>
      <c r="F189" s="76">
        <v>-1722</v>
      </c>
      <c r="G189" s="76">
        <v>-7518</v>
      </c>
      <c r="H189" s="76">
        <v>7934</v>
      </c>
      <c r="I189" s="76">
        <v>386</v>
      </c>
      <c r="J189" s="76">
        <v>119</v>
      </c>
      <c r="K189" s="76">
        <v>-31</v>
      </c>
      <c r="L189" s="76">
        <v>0</v>
      </c>
      <c r="M189" s="76">
        <v>0</v>
      </c>
      <c r="N189" s="76">
        <v>-4044</v>
      </c>
      <c r="O189" s="76">
        <v>-19</v>
      </c>
      <c r="P189" s="76">
        <v>0</v>
      </c>
      <c r="Q189" s="76">
        <v>0</v>
      </c>
      <c r="R189" s="76">
        <v>0</v>
      </c>
      <c r="S189" s="76">
        <v>4345</v>
      </c>
      <c r="T189" s="76">
        <v>-107</v>
      </c>
      <c r="U189" s="76">
        <v>4238</v>
      </c>
      <c r="V189" s="76">
        <v>0</v>
      </c>
      <c r="W189" s="76">
        <v>0</v>
      </c>
      <c r="X189" s="76">
        <v>0</v>
      </c>
      <c r="Y189" s="76">
        <v>0</v>
      </c>
      <c r="Z189" s="76">
        <v>4238</v>
      </c>
      <c r="AA189" s="76">
        <v>12629</v>
      </c>
      <c r="AB189" s="76">
        <v>711</v>
      </c>
      <c r="AC189" s="76">
        <v>13340</v>
      </c>
      <c r="AD189" s="76">
        <v>1252</v>
      </c>
      <c r="AE189" s="76">
        <v>0</v>
      </c>
      <c r="AF189" s="76">
        <v>0</v>
      </c>
      <c r="AG189" s="76">
        <v>43</v>
      </c>
      <c r="AH189" s="76">
        <v>14635</v>
      </c>
      <c r="AI189" s="76">
        <v>3281</v>
      </c>
      <c r="AJ189" s="76">
        <v>1117</v>
      </c>
      <c r="AK189" s="76">
        <v>1818</v>
      </c>
      <c r="AL189" s="76">
        <v>140</v>
      </c>
      <c r="AM189" s="76">
        <v>0</v>
      </c>
      <c r="AN189" s="76">
        <v>166</v>
      </c>
      <c r="AO189" s="76">
        <v>996</v>
      </c>
      <c r="AP189" s="76">
        <v>0</v>
      </c>
      <c r="AQ189" s="76">
        <v>0</v>
      </c>
      <c r="AR189" s="76">
        <v>7518</v>
      </c>
      <c r="AS189" s="76">
        <v>7117</v>
      </c>
      <c r="AT189" s="76">
        <v>83</v>
      </c>
      <c r="AU189" s="76">
        <v>185208</v>
      </c>
      <c r="AV189" s="76">
        <v>0</v>
      </c>
      <c r="AW189" s="76">
        <v>4239</v>
      </c>
      <c r="AX189" s="76">
        <v>0</v>
      </c>
      <c r="AY189" s="76">
        <v>0</v>
      </c>
      <c r="AZ189" s="76">
        <v>9722</v>
      </c>
      <c r="BA189" s="76">
        <v>0</v>
      </c>
      <c r="BB189" s="76">
        <v>0</v>
      </c>
      <c r="BC189" s="76">
        <v>0</v>
      </c>
      <c r="BD189" s="76">
        <v>0</v>
      </c>
      <c r="BE189" s="76">
        <v>199169</v>
      </c>
      <c r="BF189" s="76">
        <v>220</v>
      </c>
      <c r="BG189" s="76">
        <v>647</v>
      </c>
      <c r="BH189" s="76">
        <v>923</v>
      </c>
      <c r="BI189" s="76">
        <v>0</v>
      </c>
      <c r="BJ189" s="76">
        <v>0</v>
      </c>
      <c r="BK189" s="76">
        <v>1790</v>
      </c>
      <c r="BL189" s="76">
        <v>612</v>
      </c>
      <c r="BM189" s="76">
        <v>0</v>
      </c>
      <c r="BN189" s="76">
        <v>1250</v>
      </c>
      <c r="BO189" s="76">
        <v>2833</v>
      </c>
      <c r="BP189" s="76">
        <v>4695</v>
      </c>
      <c r="BQ189" s="76">
        <v>-2905</v>
      </c>
      <c r="BR189" s="76">
        <v>196264</v>
      </c>
      <c r="BS189" s="76">
        <v>104702</v>
      </c>
      <c r="BT189" s="76">
        <v>0</v>
      </c>
      <c r="BU189" s="76">
        <v>0</v>
      </c>
      <c r="BV189" s="76">
        <v>43176</v>
      </c>
      <c r="BW189" s="76">
        <v>0</v>
      </c>
      <c r="BX189" s="76">
        <v>0</v>
      </c>
      <c r="BY189" s="76">
        <v>1208</v>
      </c>
      <c r="BZ189" s="76">
        <v>149086</v>
      </c>
      <c r="CA189" s="76">
        <v>0</v>
      </c>
      <c r="CB189" s="76">
        <v>257</v>
      </c>
      <c r="CC189" s="76">
        <v>46921</v>
      </c>
      <c r="CD189" s="76">
        <v>43663</v>
      </c>
      <c r="CE189" s="76">
        <v>3258</v>
      </c>
      <c r="CF189" s="76">
        <v>0</v>
      </c>
      <c r="CG189" s="76">
        <v>0</v>
      </c>
      <c r="CH189" s="76">
        <v>0</v>
      </c>
      <c r="CI189" s="76">
        <v>46921</v>
      </c>
      <c r="CJ189" s="76">
        <v>729</v>
      </c>
      <c r="CK189" s="76">
        <v>465</v>
      </c>
      <c r="CL189" s="76">
        <v>0</v>
      </c>
      <c r="CM189" s="76">
        <v>264</v>
      </c>
      <c r="CN189" s="76">
        <v>0</v>
      </c>
      <c r="CO189" s="76">
        <v>0</v>
      </c>
      <c r="CP189" s="76">
        <v>0</v>
      </c>
      <c r="CQ189" s="76">
        <v>0</v>
      </c>
      <c r="CR189" s="76">
        <v>0</v>
      </c>
      <c r="CS189" s="76">
        <v>0</v>
      </c>
      <c r="CT189" s="76">
        <v>0</v>
      </c>
      <c r="CU189" s="76">
        <v>0</v>
      </c>
      <c r="CV189" s="76">
        <v>0</v>
      </c>
      <c r="CW189" s="76">
        <v>0</v>
      </c>
      <c r="CX189" s="76">
        <v>0</v>
      </c>
      <c r="CY189" s="76">
        <v>0</v>
      </c>
      <c r="CZ189" s="76">
        <v>0</v>
      </c>
      <c r="DA189" s="76">
        <v>0</v>
      </c>
      <c r="DB189" s="76">
        <v>0</v>
      </c>
      <c r="DC189" s="76">
        <v>0</v>
      </c>
      <c r="DD189" s="76">
        <v>729</v>
      </c>
      <c r="DE189" s="76">
        <v>465</v>
      </c>
      <c r="DF189" s="76">
        <v>0</v>
      </c>
      <c r="DG189" s="76">
        <v>264</v>
      </c>
      <c r="DH189" s="76">
        <v>1117</v>
      </c>
      <c r="DI189" s="76">
        <v>915</v>
      </c>
      <c r="DJ189" s="76">
        <v>0</v>
      </c>
      <c r="DK189" s="76">
        <v>202</v>
      </c>
      <c r="DL189" s="76">
        <v>0</v>
      </c>
      <c r="DM189" s="76">
        <v>0</v>
      </c>
      <c r="DN189" s="76">
        <v>0</v>
      </c>
      <c r="DO189" s="76">
        <v>0</v>
      </c>
      <c r="DP189" s="76">
        <v>0</v>
      </c>
      <c r="DQ189" s="76">
        <v>0</v>
      </c>
      <c r="DR189" s="76">
        <v>0</v>
      </c>
      <c r="DS189" s="76">
        <v>0</v>
      </c>
      <c r="DT189" s="76">
        <v>693</v>
      </c>
      <c r="DU189" s="76">
        <v>342</v>
      </c>
      <c r="DV189" s="76">
        <v>0</v>
      </c>
      <c r="DW189" s="76">
        <v>351</v>
      </c>
      <c r="DX189" s="76">
        <v>0</v>
      </c>
      <c r="DY189" s="76">
        <v>0</v>
      </c>
      <c r="DZ189" s="76">
        <v>0</v>
      </c>
      <c r="EA189" s="76">
        <v>0</v>
      </c>
      <c r="EB189" s="76">
        <v>0</v>
      </c>
      <c r="EC189" s="76">
        <v>0</v>
      </c>
      <c r="ED189" s="76">
        <v>0</v>
      </c>
      <c r="EE189" s="76">
        <v>0</v>
      </c>
      <c r="EF189" s="76">
        <v>1810</v>
      </c>
      <c r="EG189" s="76">
        <v>1257</v>
      </c>
      <c r="EH189" s="76">
        <v>0</v>
      </c>
      <c r="EI189" s="76">
        <v>553</v>
      </c>
      <c r="EJ189" s="76">
        <v>2539</v>
      </c>
      <c r="EK189" s="76">
        <v>1722</v>
      </c>
      <c r="EL189" s="76">
        <v>0</v>
      </c>
      <c r="EM189" s="76">
        <v>817</v>
      </c>
      <c r="EN189" s="76">
        <v>519</v>
      </c>
      <c r="EO189" s="76">
        <v>121</v>
      </c>
      <c r="EP189" s="76">
        <v>334</v>
      </c>
      <c r="EQ189" s="76">
        <v>121</v>
      </c>
      <c r="ER189" s="76">
        <v>190012</v>
      </c>
      <c r="ES189" s="76">
        <v>0</v>
      </c>
      <c r="ET189" s="76">
        <v>190012</v>
      </c>
      <c r="EU189" s="76">
        <v>6383</v>
      </c>
      <c r="EV189" s="76">
        <v>-383</v>
      </c>
      <c r="EW189" s="76">
        <v>0</v>
      </c>
      <c r="EX189" s="76">
        <v>0</v>
      </c>
      <c r="EY189" s="76">
        <v>-1134</v>
      </c>
      <c r="EZ189" s="76">
        <v>194878</v>
      </c>
      <c r="FA189" s="76">
        <v>8674</v>
      </c>
      <c r="FB189" s="76">
        <v>1017</v>
      </c>
      <c r="FC189" s="76">
        <v>0</v>
      </c>
      <c r="FD189" s="76">
        <v>0</v>
      </c>
      <c r="FE189" s="76">
        <v>-21</v>
      </c>
      <c r="FF189" s="76">
        <v>0</v>
      </c>
      <c r="FG189" s="76">
        <v>0</v>
      </c>
      <c r="FH189" s="76">
        <v>9670</v>
      </c>
      <c r="FI189" s="76">
        <v>185208</v>
      </c>
      <c r="FJ189" s="76">
        <v>181338</v>
      </c>
      <c r="FK189" s="76">
        <v>0</v>
      </c>
      <c r="FL189" s="76">
        <v>0</v>
      </c>
      <c r="FM189" s="76">
        <v>0</v>
      </c>
      <c r="FN189" s="76">
        <v>0</v>
      </c>
      <c r="FO189" s="76">
        <v>0</v>
      </c>
      <c r="FP189" s="76">
        <v>0</v>
      </c>
      <c r="FQ189" s="76">
        <v>0</v>
      </c>
      <c r="FR189" s="76">
        <v>0</v>
      </c>
      <c r="FS189" s="76">
        <v>0</v>
      </c>
      <c r="FT189" s="76">
        <v>0</v>
      </c>
      <c r="FU189" s="76">
        <v>0</v>
      </c>
      <c r="FV189" s="76">
        <v>0</v>
      </c>
      <c r="FW189" s="76">
        <v>0</v>
      </c>
      <c r="FX189" s="76">
        <v>0</v>
      </c>
      <c r="FY189" s="76">
        <v>0</v>
      </c>
      <c r="FZ189" s="76">
        <v>625</v>
      </c>
      <c r="GA189" s="76">
        <v>239</v>
      </c>
      <c r="GB189" s="76">
        <v>386</v>
      </c>
      <c r="GC189" s="76">
        <v>625</v>
      </c>
      <c r="GD189" s="76">
        <v>239</v>
      </c>
      <c r="GE189" s="76">
        <v>386</v>
      </c>
      <c r="GF189" s="76">
        <v>0</v>
      </c>
      <c r="GG189" s="76">
        <v>0</v>
      </c>
      <c r="GH189" s="76">
        <v>0</v>
      </c>
      <c r="GI189" s="76">
        <v>0</v>
      </c>
      <c r="GJ189" s="76">
        <v>0</v>
      </c>
      <c r="GK189" s="76">
        <v>0</v>
      </c>
      <c r="GL189" s="76">
        <v>0</v>
      </c>
      <c r="GM189" s="76">
        <v>463</v>
      </c>
      <c r="GN189" s="76">
        <v>165</v>
      </c>
      <c r="GO189" s="76">
        <v>0</v>
      </c>
      <c r="GP189" s="76">
        <v>0</v>
      </c>
      <c r="GQ189" s="76">
        <v>0</v>
      </c>
      <c r="GR189" s="76">
        <v>2086</v>
      </c>
      <c r="GS189" s="76">
        <v>0</v>
      </c>
      <c r="GT189" s="76">
        <v>0</v>
      </c>
      <c r="GU189" s="76">
        <v>119</v>
      </c>
      <c r="GV189" s="76">
        <v>0</v>
      </c>
      <c r="GW189" s="76">
        <v>0</v>
      </c>
      <c r="GX189" s="76">
        <v>2833</v>
      </c>
      <c r="GY189" s="76">
        <v>16</v>
      </c>
      <c r="GZ189" s="76">
        <v>0</v>
      </c>
      <c r="HA189" s="76">
        <v>865</v>
      </c>
      <c r="HB189" s="76">
        <v>327</v>
      </c>
      <c r="HC189" s="76">
        <v>1208</v>
      </c>
      <c r="HD189" s="76">
        <v>0</v>
      </c>
      <c r="HE189" s="76">
        <v>257</v>
      </c>
      <c r="HF189" s="76">
        <v>257</v>
      </c>
      <c r="HG189" s="76">
        <v>3977</v>
      </c>
      <c r="HH189" s="76">
        <v>116</v>
      </c>
      <c r="HI189" s="76">
        <v>20</v>
      </c>
      <c r="HJ189" s="76">
        <v>0</v>
      </c>
      <c r="HK189" s="76">
        <v>0</v>
      </c>
      <c r="HL189" s="76">
        <v>-69</v>
      </c>
      <c r="HM189" s="76">
        <v>4044</v>
      </c>
      <c r="HN189" s="76">
        <v>757</v>
      </c>
      <c r="HO189" s="76">
        <v>1144</v>
      </c>
      <c r="HP189" s="76">
        <v>278</v>
      </c>
      <c r="HQ189" s="76">
        <v>62</v>
      </c>
      <c r="HR189" s="76">
        <v>0</v>
      </c>
      <c r="HS189" s="76">
        <v>0</v>
      </c>
      <c r="HT189" s="76">
        <v>2874</v>
      </c>
      <c r="HU189" s="76">
        <v>1</v>
      </c>
      <c r="HV189" s="76">
        <v>-6</v>
      </c>
      <c r="HW189" s="76">
        <v>0</v>
      </c>
      <c r="HX189" s="76">
        <v>65</v>
      </c>
    </row>
    <row r="190" spans="1:232" x14ac:dyDescent="0.2">
      <c r="A190" s="74" t="s">
        <v>722</v>
      </c>
      <c r="B190" s="74" t="s">
        <v>723</v>
      </c>
      <c r="C190" s="75" t="s">
        <v>200</v>
      </c>
      <c r="D190" s="75">
        <v>12</v>
      </c>
      <c r="E190" s="76">
        <v>15543</v>
      </c>
      <c r="F190" s="76">
        <v>0</v>
      </c>
      <c r="G190" s="76">
        <v>-15508</v>
      </c>
      <c r="H190" s="76">
        <v>35</v>
      </c>
      <c r="I190" s="76">
        <v>0</v>
      </c>
      <c r="J190" s="76">
        <v>0</v>
      </c>
      <c r="K190" s="76">
        <v>0</v>
      </c>
      <c r="L190" s="76">
        <v>0</v>
      </c>
      <c r="M190" s="76">
        <v>0</v>
      </c>
      <c r="N190" s="76">
        <v>0</v>
      </c>
      <c r="O190" s="76">
        <v>0</v>
      </c>
      <c r="P190" s="76">
        <v>0</v>
      </c>
      <c r="Q190" s="76">
        <v>0</v>
      </c>
      <c r="R190" s="76">
        <v>0</v>
      </c>
      <c r="S190" s="76">
        <v>35</v>
      </c>
      <c r="T190" s="76">
        <v>-7</v>
      </c>
      <c r="U190" s="76">
        <v>28</v>
      </c>
      <c r="V190" s="76">
        <v>0</v>
      </c>
      <c r="W190" s="76">
        <v>0</v>
      </c>
      <c r="X190" s="76">
        <v>0</v>
      </c>
      <c r="Y190" s="76">
        <v>0</v>
      </c>
      <c r="Z190" s="76">
        <v>28</v>
      </c>
      <c r="AA190" s="76">
        <v>4748</v>
      </c>
      <c r="AB190" s="76">
        <v>10795</v>
      </c>
      <c r="AC190" s="76">
        <v>15543</v>
      </c>
      <c r="AD190" s="76">
        <v>0</v>
      </c>
      <c r="AE190" s="76">
        <v>0</v>
      </c>
      <c r="AF190" s="76">
        <v>0</v>
      </c>
      <c r="AG190" s="76">
        <v>0</v>
      </c>
      <c r="AH190" s="76">
        <v>15543</v>
      </c>
      <c r="AI190" s="76">
        <v>1590</v>
      </c>
      <c r="AJ190" s="76">
        <v>13918</v>
      </c>
      <c r="AK190" s="76">
        <v>0</v>
      </c>
      <c r="AL190" s="76">
        <v>0</v>
      </c>
      <c r="AM190" s="76">
        <v>0</v>
      </c>
      <c r="AN190" s="76">
        <v>0</v>
      </c>
      <c r="AO190" s="76">
        <v>0</v>
      </c>
      <c r="AP190" s="76">
        <v>0</v>
      </c>
      <c r="AQ190" s="76">
        <v>0</v>
      </c>
      <c r="AR190" s="76">
        <v>15508</v>
      </c>
      <c r="AS190" s="76">
        <v>35</v>
      </c>
      <c r="AT190" s="76">
        <v>0</v>
      </c>
      <c r="AU190" s="76">
        <v>0</v>
      </c>
      <c r="AV190" s="76">
        <v>0</v>
      </c>
      <c r="AW190" s="76">
        <v>51</v>
      </c>
      <c r="AX190" s="76">
        <v>0</v>
      </c>
      <c r="AY190" s="76">
        <v>0</v>
      </c>
      <c r="AZ190" s="76">
        <v>0</v>
      </c>
      <c r="BA190" s="76">
        <v>0</v>
      </c>
      <c r="BB190" s="76">
        <v>0</v>
      </c>
      <c r="BC190" s="76">
        <v>0</v>
      </c>
      <c r="BD190" s="76">
        <v>0</v>
      </c>
      <c r="BE190" s="76">
        <v>51</v>
      </c>
      <c r="BF190" s="76">
        <v>0</v>
      </c>
      <c r="BG190" s="76">
        <v>0</v>
      </c>
      <c r="BH190" s="76">
        <v>1308</v>
      </c>
      <c r="BI190" s="76">
        <v>0</v>
      </c>
      <c r="BJ190" s="76">
        <v>0</v>
      </c>
      <c r="BK190" s="76">
        <v>1308</v>
      </c>
      <c r="BL190" s="76">
        <v>0</v>
      </c>
      <c r="BM190" s="76">
        <v>0</v>
      </c>
      <c r="BN190" s="76">
        <v>0</v>
      </c>
      <c r="BO190" s="76">
        <v>1172</v>
      </c>
      <c r="BP190" s="76">
        <v>1172</v>
      </c>
      <c r="BQ190" s="76">
        <v>136</v>
      </c>
      <c r="BR190" s="76">
        <v>187</v>
      </c>
      <c r="BS190" s="76">
        <v>0</v>
      </c>
      <c r="BT190" s="76">
        <v>0</v>
      </c>
      <c r="BU190" s="76">
        <v>0</v>
      </c>
      <c r="BV190" s="76">
        <v>0</v>
      </c>
      <c r="BW190" s="76">
        <v>0</v>
      </c>
      <c r="BX190" s="76">
        <v>0</v>
      </c>
      <c r="BY190" s="76">
        <v>0</v>
      </c>
      <c r="BZ190" s="76">
        <v>0</v>
      </c>
      <c r="CA190" s="76">
        <v>0</v>
      </c>
      <c r="CB190" s="76">
        <v>10</v>
      </c>
      <c r="CC190" s="76">
        <v>177</v>
      </c>
      <c r="CD190" s="76">
        <v>77</v>
      </c>
      <c r="CE190" s="76">
        <v>0</v>
      </c>
      <c r="CF190" s="76">
        <v>0</v>
      </c>
      <c r="CG190" s="76">
        <v>0</v>
      </c>
      <c r="CH190" s="76">
        <v>100</v>
      </c>
      <c r="CI190" s="76">
        <v>177</v>
      </c>
      <c r="CJ190" s="76">
        <v>0</v>
      </c>
      <c r="CK190" s="76">
        <v>0</v>
      </c>
      <c r="CL190" s="76">
        <v>0</v>
      </c>
      <c r="CM190" s="76">
        <v>0</v>
      </c>
      <c r="CN190" s="76">
        <v>0</v>
      </c>
      <c r="CO190" s="76">
        <v>0</v>
      </c>
      <c r="CP190" s="76">
        <v>0</v>
      </c>
      <c r="CQ190" s="76">
        <v>0</v>
      </c>
      <c r="CR190" s="76">
        <v>0</v>
      </c>
      <c r="CS190" s="76">
        <v>0</v>
      </c>
      <c r="CT190" s="76">
        <v>0</v>
      </c>
      <c r="CU190" s="76">
        <v>0</v>
      </c>
      <c r="CV190" s="76">
        <v>0</v>
      </c>
      <c r="CW190" s="76">
        <v>0</v>
      </c>
      <c r="CX190" s="76">
        <v>0</v>
      </c>
      <c r="CY190" s="76">
        <v>0</v>
      </c>
      <c r="CZ190" s="76">
        <v>0</v>
      </c>
      <c r="DA190" s="76">
        <v>0</v>
      </c>
      <c r="DB190" s="76">
        <v>0</v>
      </c>
      <c r="DC190" s="76">
        <v>0</v>
      </c>
      <c r="DD190" s="76">
        <v>0</v>
      </c>
      <c r="DE190" s="76">
        <v>0</v>
      </c>
      <c r="DF190" s="76">
        <v>0</v>
      </c>
      <c r="DG190" s="76">
        <v>0</v>
      </c>
      <c r="DH190" s="76">
        <v>0</v>
      </c>
      <c r="DI190" s="76">
        <v>0</v>
      </c>
      <c r="DJ190" s="76">
        <v>0</v>
      </c>
      <c r="DK190" s="76">
        <v>0</v>
      </c>
      <c r="DL190" s="76">
        <v>0</v>
      </c>
      <c r="DM190" s="76">
        <v>0</v>
      </c>
      <c r="DN190" s="76">
        <v>0</v>
      </c>
      <c r="DO190" s="76">
        <v>0</v>
      </c>
      <c r="DP190" s="76">
        <v>0</v>
      </c>
      <c r="DQ190" s="76">
        <v>0</v>
      </c>
      <c r="DR190" s="76">
        <v>0</v>
      </c>
      <c r="DS190" s="76">
        <v>0</v>
      </c>
      <c r="DT190" s="76">
        <v>0</v>
      </c>
      <c r="DU190" s="76">
        <v>0</v>
      </c>
      <c r="DV190" s="76">
        <v>0</v>
      </c>
      <c r="DW190" s="76">
        <v>0</v>
      </c>
      <c r="DX190" s="76">
        <v>0</v>
      </c>
      <c r="DY190" s="76">
        <v>0</v>
      </c>
      <c r="DZ190" s="76">
        <v>0</v>
      </c>
      <c r="EA190" s="76">
        <v>0</v>
      </c>
      <c r="EB190" s="76">
        <v>0</v>
      </c>
      <c r="EC190" s="76">
        <v>0</v>
      </c>
      <c r="ED190" s="76">
        <v>0</v>
      </c>
      <c r="EE190" s="76">
        <v>0</v>
      </c>
      <c r="EF190" s="76">
        <v>0</v>
      </c>
      <c r="EG190" s="76">
        <v>0</v>
      </c>
      <c r="EH190" s="76">
        <v>0</v>
      </c>
      <c r="EI190" s="76">
        <v>0</v>
      </c>
      <c r="EJ190" s="76">
        <v>0</v>
      </c>
      <c r="EK190" s="76">
        <v>0</v>
      </c>
      <c r="EL190" s="76">
        <v>0</v>
      </c>
      <c r="EM190" s="76">
        <v>0</v>
      </c>
      <c r="EN190" s="76">
        <v>0</v>
      </c>
      <c r="EO190" s="76">
        <v>0</v>
      </c>
      <c r="EP190" s="76">
        <v>0</v>
      </c>
      <c r="EQ190" s="76">
        <v>0</v>
      </c>
      <c r="ER190" s="76">
        <v>0</v>
      </c>
      <c r="ES190" s="76">
        <v>0</v>
      </c>
      <c r="ET190" s="76">
        <v>0</v>
      </c>
      <c r="EU190" s="76">
        <v>0</v>
      </c>
      <c r="EV190" s="76">
        <v>0</v>
      </c>
      <c r="EW190" s="76">
        <v>0</v>
      </c>
      <c r="EX190" s="76">
        <v>0</v>
      </c>
      <c r="EY190" s="76">
        <v>0</v>
      </c>
      <c r="EZ190" s="76">
        <v>0</v>
      </c>
      <c r="FA190" s="76">
        <v>0</v>
      </c>
      <c r="FB190" s="76">
        <v>0</v>
      </c>
      <c r="FC190" s="76">
        <v>0</v>
      </c>
      <c r="FD190" s="76">
        <v>0</v>
      </c>
      <c r="FE190" s="76">
        <v>0</v>
      </c>
      <c r="FF190" s="76">
        <v>0</v>
      </c>
      <c r="FG190" s="76">
        <v>0</v>
      </c>
      <c r="FH190" s="76">
        <v>0</v>
      </c>
      <c r="FI190" s="76">
        <v>0</v>
      </c>
      <c r="FJ190" s="76">
        <v>0</v>
      </c>
      <c r="FK190" s="76">
        <v>0</v>
      </c>
      <c r="FL190" s="76">
        <v>0</v>
      </c>
      <c r="FM190" s="76">
        <v>0</v>
      </c>
      <c r="FN190" s="76">
        <v>0</v>
      </c>
      <c r="FO190" s="76">
        <v>0</v>
      </c>
      <c r="FP190" s="76">
        <v>0</v>
      </c>
      <c r="FQ190" s="76">
        <v>0</v>
      </c>
      <c r="FR190" s="76">
        <v>0</v>
      </c>
      <c r="FS190" s="76">
        <v>0</v>
      </c>
      <c r="FT190" s="76">
        <v>0</v>
      </c>
      <c r="FU190" s="76">
        <v>0</v>
      </c>
      <c r="FV190" s="76">
        <v>0</v>
      </c>
      <c r="FW190" s="76">
        <v>0</v>
      </c>
      <c r="FX190" s="76">
        <v>0</v>
      </c>
      <c r="FY190" s="76">
        <v>0</v>
      </c>
      <c r="FZ190" s="76">
        <v>0</v>
      </c>
      <c r="GA190" s="76">
        <v>0</v>
      </c>
      <c r="GB190" s="76">
        <v>0</v>
      </c>
      <c r="GC190" s="76">
        <v>0</v>
      </c>
      <c r="GD190" s="76">
        <v>0</v>
      </c>
      <c r="GE190" s="76">
        <v>0</v>
      </c>
      <c r="GF190" s="76">
        <v>0</v>
      </c>
      <c r="GG190" s="76">
        <v>0</v>
      </c>
      <c r="GH190" s="76">
        <v>0</v>
      </c>
      <c r="GI190" s="76">
        <v>0</v>
      </c>
      <c r="GJ190" s="76">
        <v>0</v>
      </c>
      <c r="GK190" s="76">
        <v>0</v>
      </c>
      <c r="GL190" s="76">
        <v>0</v>
      </c>
      <c r="GM190" s="76">
        <v>1172</v>
      </c>
      <c r="GN190" s="76">
        <v>0</v>
      </c>
      <c r="GO190" s="76">
        <v>0</v>
      </c>
      <c r="GP190" s="76">
        <v>0</v>
      </c>
      <c r="GQ190" s="76">
        <v>0</v>
      </c>
      <c r="GR190" s="76">
        <v>0</v>
      </c>
      <c r="GS190" s="76">
        <v>0</v>
      </c>
      <c r="GT190" s="76">
        <v>0</v>
      </c>
      <c r="GU190" s="76">
        <v>0</v>
      </c>
      <c r="GV190" s="76">
        <v>0</v>
      </c>
      <c r="GW190" s="76">
        <v>0</v>
      </c>
      <c r="GX190" s="76">
        <v>1172</v>
      </c>
      <c r="GY190" s="76">
        <v>0</v>
      </c>
      <c r="GZ190" s="76">
        <v>0</v>
      </c>
      <c r="HA190" s="76">
        <v>0</v>
      </c>
      <c r="HB190" s="76">
        <v>0</v>
      </c>
      <c r="HC190" s="76">
        <v>0</v>
      </c>
      <c r="HD190" s="76">
        <v>0</v>
      </c>
      <c r="HE190" s="76">
        <v>10</v>
      </c>
      <c r="HF190" s="76">
        <v>10</v>
      </c>
      <c r="HG190" s="76">
        <v>0</v>
      </c>
      <c r="HH190" s="76">
        <v>0</v>
      </c>
      <c r="HI190" s="76">
        <v>0</v>
      </c>
      <c r="HJ190" s="76">
        <v>0</v>
      </c>
      <c r="HK190" s="76">
        <v>0</v>
      </c>
      <c r="HL190" s="76">
        <v>0</v>
      </c>
      <c r="HM190" s="76">
        <v>0</v>
      </c>
      <c r="HN190" s="76">
        <v>0</v>
      </c>
      <c r="HO190" s="76">
        <v>11</v>
      </c>
      <c r="HP190" s="76">
        <v>0</v>
      </c>
      <c r="HQ190" s="76">
        <v>389</v>
      </c>
      <c r="HR190" s="76">
        <v>0</v>
      </c>
      <c r="HS190" s="76">
        <v>0</v>
      </c>
      <c r="HT190" s="76">
        <v>1953</v>
      </c>
      <c r="HU190" s="76">
        <v>0</v>
      </c>
      <c r="HV190" s="76">
        <v>0</v>
      </c>
      <c r="HW190" s="76">
        <v>0</v>
      </c>
      <c r="HX190" s="76">
        <v>0</v>
      </c>
    </row>
    <row r="191" spans="1:232" x14ac:dyDescent="0.2">
      <c r="A191" s="74" t="s">
        <v>724</v>
      </c>
      <c r="B191" s="74" t="s">
        <v>725</v>
      </c>
      <c r="C191" s="75" t="s">
        <v>200</v>
      </c>
      <c r="D191" s="75">
        <v>12</v>
      </c>
      <c r="E191" s="76">
        <v>101617</v>
      </c>
      <c r="F191" s="76">
        <v>-28458</v>
      </c>
      <c r="G191" s="76">
        <v>-43728</v>
      </c>
      <c r="H191" s="76">
        <v>29431</v>
      </c>
      <c r="I191" s="76">
        <v>-602</v>
      </c>
      <c r="J191" s="76">
        <v>0</v>
      </c>
      <c r="K191" s="76">
        <v>0</v>
      </c>
      <c r="L191" s="76">
        <v>0</v>
      </c>
      <c r="M191" s="76">
        <v>154</v>
      </c>
      <c r="N191" s="76">
        <v>-16238</v>
      </c>
      <c r="O191" s="76">
        <v>0</v>
      </c>
      <c r="P191" s="76">
        <v>-4574</v>
      </c>
      <c r="Q191" s="76">
        <v>0</v>
      </c>
      <c r="R191" s="76">
        <v>0</v>
      </c>
      <c r="S191" s="76">
        <v>8171</v>
      </c>
      <c r="T191" s="76">
        <v>-1133</v>
      </c>
      <c r="U191" s="76">
        <v>7038</v>
      </c>
      <c r="V191" s="76">
        <v>0</v>
      </c>
      <c r="W191" s="76">
        <v>0</v>
      </c>
      <c r="X191" s="76">
        <v>0</v>
      </c>
      <c r="Y191" s="76">
        <v>0</v>
      </c>
      <c r="Z191" s="76">
        <v>7038</v>
      </c>
      <c r="AA191" s="76">
        <v>51819</v>
      </c>
      <c r="AB191" s="76">
        <v>6251</v>
      </c>
      <c r="AC191" s="76">
        <v>58070</v>
      </c>
      <c r="AD191" s="76">
        <v>499</v>
      </c>
      <c r="AE191" s="76">
        <v>0</v>
      </c>
      <c r="AF191" s="76">
        <v>0</v>
      </c>
      <c r="AG191" s="76">
        <v>789</v>
      </c>
      <c r="AH191" s="76">
        <v>59358</v>
      </c>
      <c r="AI191" s="76">
        <v>11374</v>
      </c>
      <c r="AJ191" s="76">
        <v>2951</v>
      </c>
      <c r="AK191" s="76">
        <v>4315</v>
      </c>
      <c r="AL191" s="76">
        <v>2553</v>
      </c>
      <c r="AM191" s="76">
        <v>0</v>
      </c>
      <c r="AN191" s="76">
        <v>-81</v>
      </c>
      <c r="AO191" s="76">
        <v>7323</v>
      </c>
      <c r="AP191" s="76">
        <v>0</v>
      </c>
      <c r="AQ191" s="76">
        <v>0</v>
      </c>
      <c r="AR191" s="76">
        <v>28435</v>
      </c>
      <c r="AS191" s="76">
        <v>30923</v>
      </c>
      <c r="AT191" s="76">
        <v>1126</v>
      </c>
      <c r="AU191" s="76">
        <v>690245</v>
      </c>
      <c r="AV191" s="76">
        <v>0</v>
      </c>
      <c r="AW191" s="76">
        <v>4284</v>
      </c>
      <c r="AX191" s="76">
        <v>688</v>
      </c>
      <c r="AY191" s="76">
        <v>0</v>
      </c>
      <c r="AZ191" s="76">
        <v>0</v>
      </c>
      <c r="BA191" s="76">
        <v>0</v>
      </c>
      <c r="BB191" s="76">
        <v>0</v>
      </c>
      <c r="BC191" s="76">
        <v>0</v>
      </c>
      <c r="BD191" s="76">
        <v>0</v>
      </c>
      <c r="BE191" s="76">
        <v>695217</v>
      </c>
      <c r="BF191" s="76">
        <v>60849</v>
      </c>
      <c r="BG191" s="76">
        <v>32369</v>
      </c>
      <c r="BH191" s="76">
        <v>37346</v>
      </c>
      <c r="BI191" s="76">
        <v>0</v>
      </c>
      <c r="BJ191" s="76">
        <v>4089</v>
      </c>
      <c r="BK191" s="76">
        <v>134653</v>
      </c>
      <c r="BL191" s="76">
        <v>0</v>
      </c>
      <c r="BM191" s="76">
        <v>0</v>
      </c>
      <c r="BN191" s="76">
        <v>515</v>
      </c>
      <c r="BO191" s="76">
        <v>37670</v>
      </c>
      <c r="BP191" s="76">
        <v>38185</v>
      </c>
      <c r="BQ191" s="76">
        <v>96468</v>
      </c>
      <c r="BR191" s="76">
        <v>791685</v>
      </c>
      <c r="BS191" s="76">
        <v>466716</v>
      </c>
      <c r="BT191" s="76">
        <v>0</v>
      </c>
      <c r="BU191" s="76">
        <v>3023</v>
      </c>
      <c r="BV191" s="76">
        <v>37068</v>
      </c>
      <c r="BW191" s="76">
        <v>0</v>
      </c>
      <c r="BX191" s="76">
        <v>63717</v>
      </c>
      <c r="BY191" s="76">
        <v>5369</v>
      </c>
      <c r="BZ191" s="76">
        <v>575893</v>
      </c>
      <c r="CA191" s="76">
        <v>4112</v>
      </c>
      <c r="CB191" s="76">
        <v>0</v>
      </c>
      <c r="CC191" s="76">
        <v>211680</v>
      </c>
      <c r="CD191" s="76">
        <v>41612</v>
      </c>
      <c r="CE191" s="76">
        <v>170068</v>
      </c>
      <c r="CF191" s="76">
        <v>0</v>
      </c>
      <c r="CG191" s="76">
        <v>0</v>
      </c>
      <c r="CH191" s="76">
        <v>0</v>
      </c>
      <c r="CI191" s="76">
        <v>211680</v>
      </c>
      <c r="CJ191" s="76">
        <v>576</v>
      </c>
      <c r="CK191" s="76">
        <v>488</v>
      </c>
      <c r="CL191" s="76">
        <v>0</v>
      </c>
      <c r="CM191" s="76">
        <v>88</v>
      </c>
      <c r="CN191" s="76">
        <v>2408</v>
      </c>
      <c r="CO191" s="76">
        <v>0</v>
      </c>
      <c r="CP191" s="76">
        <v>2796</v>
      </c>
      <c r="CQ191" s="76">
        <v>-388</v>
      </c>
      <c r="CR191" s="76">
        <v>0</v>
      </c>
      <c r="CS191" s="76">
        <v>0</v>
      </c>
      <c r="CT191" s="76">
        <v>0</v>
      </c>
      <c r="CU191" s="76">
        <v>0</v>
      </c>
      <c r="CV191" s="76">
        <v>0</v>
      </c>
      <c r="CW191" s="76">
        <v>0</v>
      </c>
      <c r="CX191" s="76">
        <v>0</v>
      </c>
      <c r="CY191" s="76">
        <v>0</v>
      </c>
      <c r="CZ191" s="76">
        <v>6381</v>
      </c>
      <c r="DA191" s="76">
        <v>0</v>
      </c>
      <c r="DB191" s="76">
        <v>12497</v>
      </c>
      <c r="DC191" s="76">
        <v>-6116</v>
      </c>
      <c r="DD191" s="76">
        <v>9365</v>
      </c>
      <c r="DE191" s="76">
        <v>488</v>
      </c>
      <c r="DF191" s="76">
        <v>15293</v>
      </c>
      <c r="DG191" s="76">
        <v>-6416</v>
      </c>
      <c r="DH191" s="76">
        <v>32894</v>
      </c>
      <c r="DI191" s="76">
        <v>27970</v>
      </c>
      <c r="DJ191" s="76">
        <v>0</v>
      </c>
      <c r="DK191" s="76">
        <v>4924</v>
      </c>
      <c r="DL191" s="76">
        <v>0</v>
      </c>
      <c r="DM191" s="76">
        <v>0</v>
      </c>
      <c r="DN191" s="76">
        <v>0</v>
      </c>
      <c r="DO191" s="76">
        <v>0</v>
      </c>
      <c r="DP191" s="76">
        <v>0</v>
      </c>
      <c r="DQ191" s="76">
        <v>0</v>
      </c>
      <c r="DR191" s="76">
        <v>0</v>
      </c>
      <c r="DS191" s="76">
        <v>0</v>
      </c>
      <c r="DT191" s="76">
        <v>0</v>
      </c>
      <c r="DU191" s="76">
        <v>0</v>
      </c>
      <c r="DV191" s="76">
        <v>0</v>
      </c>
      <c r="DW191" s="76">
        <v>0</v>
      </c>
      <c r="DX191" s="76">
        <v>0</v>
      </c>
      <c r="DY191" s="76">
        <v>0</v>
      </c>
      <c r="DZ191" s="76">
        <v>0</v>
      </c>
      <c r="EA191" s="76">
        <v>0</v>
      </c>
      <c r="EB191" s="76">
        <v>0</v>
      </c>
      <c r="EC191" s="76">
        <v>0</v>
      </c>
      <c r="ED191" s="76">
        <v>0</v>
      </c>
      <c r="EE191" s="76">
        <v>0</v>
      </c>
      <c r="EF191" s="76">
        <v>32894</v>
      </c>
      <c r="EG191" s="76">
        <v>27970</v>
      </c>
      <c r="EH191" s="76">
        <v>0</v>
      </c>
      <c r="EI191" s="76">
        <v>4924</v>
      </c>
      <c r="EJ191" s="76">
        <v>42259</v>
      </c>
      <c r="EK191" s="76">
        <v>28458</v>
      </c>
      <c r="EL191" s="76">
        <v>15293</v>
      </c>
      <c r="EM191" s="76">
        <v>-1492</v>
      </c>
      <c r="EN191" s="76">
        <v>1073</v>
      </c>
      <c r="EO191" s="76">
        <v>230</v>
      </c>
      <c r="EP191" s="76">
        <v>322</v>
      </c>
      <c r="EQ191" s="76">
        <v>230</v>
      </c>
      <c r="ER191" s="76">
        <v>731184</v>
      </c>
      <c r="ES191" s="76">
        <v>0</v>
      </c>
      <c r="ET191" s="76">
        <v>731184</v>
      </c>
      <c r="EU191" s="76">
        <v>16262</v>
      </c>
      <c r="EV191" s="76">
        <v>-6362</v>
      </c>
      <c r="EW191" s="76">
        <v>0</v>
      </c>
      <c r="EX191" s="76">
        <v>-16148</v>
      </c>
      <c r="EY191" s="76">
        <v>0</v>
      </c>
      <c r="EZ191" s="76">
        <v>724936</v>
      </c>
      <c r="FA191" s="76">
        <v>27446</v>
      </c>
      <c r="FB191" s="76">
        <v>7323</v>
      </c>
      <c r="FC191" s="76">
        <v>0</v>
      </c>
      <c r="FD191" s="76">
        <v>0</v>
      </c>
      <c r="FE191" s="76">
        <v>-79</v>
      </c>
      <c r="FF191" s="76">
        <v>0</v>
      </c>
      <c r="FG191" s="76">
        <v>0</v>
      </c>
      <c r="FH191" s="76">
        <v>34690</v>
      </c>
      <c r="FI191" s="76">
        <v>690246</v>
      </c>
      <c r="FJ191" s="76">
        <v>703738</v>
      </c>
      <c r="FK191" s="76">
        <v>4440</v>
      </c>
      <c r="FL191" s="76">
        <v>3681</v>
      </c>
      <c r="FM191" s="76">
        <v>759</v>
      </c>
      <c r="FN191" s="76">
        <v>1180</v>
      </c>
      <c r="FO191" s="76">
        <v>1247</v>
      </c>
      <c r="FP191" s="76">
        <v>-67</v>
      </c>
      <c r="FQ191" s="76">
        <v>0</v>
      </c>
      <c r="FR191" s="76">
        <v>0</v>
      </c>
      <c r="FS191" s="76">
        <v>0</v>
      </c>
      <c r="FT191" s="76">
        <v>0</v>
      </c>
      <c r="FU191" s="76">
        <v>0</v>
      </c>
      <c r="FV191" s="76">
        <v>0</v>
      </c>
      <c r="FW191" s="76">
        <v>0</v>
      </c>
      <c r="FX191" s="76">
        <v>0</v>
      </c>
      <c r="FY191" s="76">
        <v>0</v>
      </c>
      <c r="FZ191" s="76">
        <v>1685</v>
      </c>
      <c r="GA191" s="76">
        <v>2979</v>
      </c>
      <c r="GB191" s="76">
        <v>-1294</v>
      </c>
      <c r="GC191" s="76">
        <v>7305</v>
      </c>
      <c r="GD191" s="76">
        <v>7907</v>
      </c>
      <c r="GE191" s="76">
        <v>-602</v>
      </c>
      <c r="GF191" s="76">
        <v>0</v>
      </c>
      <c r="GG191" s="76">
        <v>0</v>
      </c>
      <c r="GH191" s="76">
        <v>0</v>
      </c>
      <c r="GI191" s="76">
        <v>0</v>
      </c>
      <c r="GJ191" s="76">
        <v>0</v>
      </c>
      <c r="GK191" s="76">
        <v>4089</v>
      </c>
      <c r="GL191" s="76">
        <v>4089</v>
      </c>
      <c r="GM191" s="76">
        <v>4457</v>
      </c>
      <c r="GN191" s="76">
        <v>0</v>
      </c>
      <c r="GO191" s="76">
        <v>0</v>
      </c>
      <c r="GP191" s="76">
        <v>0</v>
      </c>
      <c r="GQ191" s="76">
        <v>0</v>
      </c>
      <c r="GR191" s="76">
        <v>18979</v>
      </c>
      <c r="GS191" s="76">
        <v>0</v>
      </c>
      <c r="GT191" s="76">
        <v>0</v>
      </c>
      <c r="GU191" s="76">
        <v>821</v>
      </c>
      <c r="GV191" s="76">
        <v>0</v>
      </c>
      <c r="GW191" s="76">
        <v>13414</v>
      </c>
      <c r="GX191" s="76">
        <v>37671</v>
      </c>
      <c r="GY191" s="76">
        <v>3949</v>
      </c>
      <c r="GZ191" s="76">
        <v>1395</v>
      </c>
      <c r="HA191" s="76">
        <v>0</v>
      </c>
      <c r="HB191" s="76">
        <v>25</v>
      </c>
      <c r="HC191" s="76">
        <v>5369</v>
      </c>
      <c r="HD191" s="76">
        <v>0</v>
      </c>
      <c r="HE191" s="76">
        <v>0</v>
      </c>
      <c r="HF191" s="76">
        <v>0</v>
      </c>
      <c r="HG191" s="76">
        <v>17219</v>
      </c>
      <c r="HH191" s="76">
        <v>16</v>
      </c>
      <c r="HI191" s="76">
        <v>185</v>
      </c>
      <c r="HJ191" s="76">
        <v>0</v>
      </c>
      <c r="HK191" s="76">
        <v>574</v>
      </c>
      <c r="HL191" s="76">
        <v>-1756</v>
      </c>
      <c r="HM191" s="76">
        <v>16238</v>
      </c>
      <c r="HN191" s="76">
        <v>4388</v>
      </c>
      <c r="HO191" s="76">
        <v>7520</v>
      </c>
      <c r="HP191" s="76">
        <v>0</v>
      </c>
      <c r="HQ191" s="76">
        <v>7</v>
      </c>
      <c r="HR191" s="76">
        <v>-64</v>
      </c>
      <c r="HS191" s="76">
        <v>0</v>
      </c>
      <c r="HT191" s="76">
        <v>8823</v>
      </c>
      <c r="HU191" s="76">
        <v>0</v>
      </c>
      <c r="HV191" s="76">
        <v>0</v>
      </c>
      <c r="HW191" s="76">
        <v>0</v>
      </c>
      <c r="HX191" s="76">
        <v>0</v>
      </c>
    </row>
    <row r="192" spans="1:232" x14ac:dyDescent="0.2">
      <c r="A192" s="74" t="s">
        <v>732</v>
      </c>
      <c r="B192" s="74" t="s">
        <v>733</v>
      </c>
      <c r="C192" s="75" t="s">
        <v>200</v>
      </c>
      <c r="D192" s="75">
        <v>12</v>
      </c>
      <c r="E192" s="76">
        <v>18765</v>
      </c>
      <c r="F192" s="76">
        <v>-668</v>
      </c>
      <c r="G192" s="76">
        <v>-10227</v>
      </c>
      <c r="H192" s="76">
        <v>7870</v>
      </c>
      <c r="I192" s="76">
        <v>-119</v>
      </c>
      <c r="J192" s="76">
        <v>0</v>
      </c>
      <c r="K192" s="76">
        <v>0</v>
      </c>
      <c r="L192" s="76">
        <v>0</v>
      </c>
      <c r="M192" s="76">
        <v>66</v>
      </c>
      <c r="N192" s="76">
        <v>-2646</v>
      </c>
      <c r="O192" s="76">
        <v>0</v>
      </c>
      <c r="P192" s="76">
        <v>0</v>
      </c>
      <c r="Q192" s="76">
        <v>0</v>
      </c>
      <c r="R192" s="76">
        <v>0</v>
      </c>
      <c r="S192" s="76">
        <v>5171</v>
      </c>
      <c r="T192" s="76">
        <v>0</v>
      </c>
      <c r="U192" s="76">
        <v>5171</v>
      </c>
      <c r="V192" s="76">
        <v>0</v>
      </c>
      <c r="W192" s="76">
        <v>-486</v>
      </c>
      <c r="X192" s="76">
        <v>0</v>
      </c>
      <c r="Y192" s="76">
        <v>0</v>
      </c>
      <c r="Z192" s="76">
        <v>4685</v>
      </c>
      <c r="AA192" s="76">
        <v>16015</v>
      </c>
      <c r="AB192" s="76">
        <v>1110</v>
      </c>
      <c r="AC192" s="76">
        <v>17125</v>
      </c>
      <c r="AD192" s="76">
        <v>63</v>
      </c>
      <c r="AE192" s="76">
        <v>0</v>
      </c>
      <c r="AF192" s="76">
        <v>0</v>
      </c>
      <c r="AG192" s="76">
        <v>101</v>
      </c>
      <c r="AH192" s="76">
        <v>17289</v>
      </c>
      <c r="AI192" s="76">
        <v>3614</v>
      </c>
      <c r="AJ192" s="76">
        <v>851</v>
      </c>
      <c r="AK192" s="76">
        <v>1718</v>
      </c>
      <c r="AL192" s="76">
        <v>739</v>
      </c>
      <c r="AM192" s="76">
        <v>1776</v>
      </c>
      <c r="AN192" s="76">
        <v>71</v>
      </c>
      <c r="AO192" s="76">
        <v>1061</v>
      </c>
      <c r="AP192" s="76">
        <v>0</v>
      </c>
      <c r="AQ192" s="76">
        <v>52</v>
      </c>
      <c r="AR192" s="76">
        <v>9882</v>
      </c>
      <c r="AS192" s="76">
        <v>7407</v>
      </c>
      <c r="AT192" s="76">
        <v>87</v>
      </c>
      <c r="AU192" s="76">
        <v>117301</v>
      </c>
      <c r="AV192" s="76">
        <v>0</v>
      </c>
      <c r="AW192" s="76">
        <v>1422</v>
      </c>
      <c r="AX192" s="76">
        <v>218</v>
      </c>
      <c r="AY192" s="76">
        <v>0</v>
      </c>
      <c r="AZ192" s="76">
        <v>400</v>
      </c>
      <c r="BA192" s="76">
        <v>0</v>
      </c>
      <c r="BB192" s="76">
        <v>0</v>
      </c>
      <c r="BC192" s="76">
        <v>0</v>
      </c>
      <c r="BD192" s="76">
        <v>0</v>
      </c>
      <c r="BE192" s="76">
        <v>119341</v>
      </c>
      <c r="BF192" s="76">
        <v>505</v>
      </c>
      <c r="BG192" s="76">
        <v>1315</v>
      </c>
      <c r="BH192" s="76">
        <v>17606</v>
      </c>
      <c r="BI192" s="76">
        <v>0</v>
      </c>
      <c r="BJ192" s="76">
        <v>0</v>
      </c>
      <c r="BK192" s="76">
        <v>19426</v>
      </c>
      <c r="BL192" s="76">
        <v>0</v>
      </c>
      <c r="BM192" s="76">
        <v>0</v>
      </c>
      <c r="BN192" s="76">
        <v>66</v>
      </c>
      <c r="BO192" s="76">
        <v>5670</v>
      </c>
      <c r="BP192" s="76">
        <v>5736</v>
      </c>
      <c r="BQ192" s="76">
        <v>13690</v>
      </c>
      <c r="BR192" s="76">
        <v>133031</v>
      </c>
      <c r="BS192" s="76">
        <v>46884</v>
      </c>
      <c r="BT192" s="76">
        <v>0</v>
      </c>
      <c r="BU192" s="76">
        <v>0</v>
      </c>
      <c r="BV192" s="76">
        <v>6184</v>
      </c>
      <c r="BW192" s="76">
        <v>0</v>
      </c>
      <c r="BX192" s="76">
        <v>0</v>
      </c>
      <c r="BY192" s="76">
        <v>710</v>
      </c>
      <c r="BZ192" s="76">
        <v>53778</v>
      </c>
      <c r="CA192" s="76">
        <v>1087</v>
      </c>
      <c r="CB192" s="76">
        <v>0</v>
      </c>
      <c r="CC192" s="76">
        <v>78166</v>
      </c>
      <c r="CD192" s="76">
        <v>45625</v>
      </c>
      <c r="CE192" s="76">
        <v>32541</v>
      </c>
      <c r="CF192" s="76">
        <v>0</v>
      </c>
      <c r="CG192" s="76">
        <v>0</v>
      </c>
      <c r="CH192" s="76">
        <v>0</v>
      </c>
      <c r="CI192" s="76">
        <v>78166</v>
      </c>
      <c r="CJ192" s="76">
        <v>670</v>
      </c>
      <c r="CK192" s="76">
        <v>492</v>
      </c>
      <c r="CL192" s="76">
        <v>0</v>
      </c>
      <c r="CM192" s="76">
        <v>178</v>
      </c>
      <c r="CN192" s="76">
        <v>207</v>
      </c>
      <c r="CO192" s="76">
        <v>0</v>
      </c>
      <c r="CP192" s="76">
        <v>175</v>
      </c>
      <c r="CQ192" s="76">
        <v>32</v>
      </c>
      <c r="CR192" s="76">
        <v>0</v>
      </c>
      <c r="CS192" s="76">
        <v>0</v>
      </c>
      <c r="CT192" s="76">
        <v>0</v>
      </c>
      <c r="CU192" s="76">
        <v>0</v>
      </c>
      <c r="CV192" s="76">
        <v>0</v>
      </c>
      <c r="CW192" s="76">
        <v>0</v>
      </c>
      <c r="CX192" s="76">
        <v>0</v>
      </c>
      <c r="CY192" s="76">
        <v>0</v>
      </c>
      <c r="CZ192" s="76">
        <v>180</v>
      </c>
      <c r="DA192" s="76">
        <v>176</v>
      </c>
      <c r="DB192" s="76">
        <v>0</v>
      </c>
      <c r="DC192" s="76">
        <v>4</v>
      </c>
      <c r="DD192" s="76">
        <v>1057</v>
      </c>
      <c r="DE192" s="76">
        <v>668</v>
      </c>
      <c r="DF192" s="76">
        <v>175</v>
      </c>
      <c r="DG192" s="76">
        <v>214</v>
      </c>
      <c r="DH192" s="76">
        <v>0</v>
      </c>
      <c r="DI192" s="76">
        <v>0</v>
      </c>
      <c r="DJ192" s="76">
        <v>0</v>
      </c>
      <c r="DK192" s="76">
        <v>0</v>
      </c>
      <c r="DL192" s="76">
        <v>0</v>
      </c>
      <c r="DM192" s="76">
        <v>0</v>
      </c>
      <c r="DN192" s="76">
        <v>0</v>
      </c>
      <c r="DO192" s="76">
        <v>0</v>
      </c>
      <c r="DP192" s="76">
        <v>0</v>
      </c>
      <c r="DQ192" s="76">
        <v>0</v>
      </c>
      <c r="DR192" s="76">
        <v>0</v>
      </c>
      <c r="DS192" s="76">
        <v>0</v>
      </c>
      <c r="DT192" s="76">
        <v>0</v>
      </c>
      <c r="DU192" s="76">
        <v>0</v>
      </c>
      <c r="DV192" s="76">
        <v>0</v>
      </c>
      <c r="DW192" s="76">
        <v>0</v>
      </c>
      <c r="DX192" s="76">
        <v>0</v>
      </c>
      <c r="DY192" s="76">
        <v>0</v>
      </c>
      <c r="DZ192" s="76">
        <v>0</v>
      </c>
      <c r="EA192" s="76">
        <v>0</v>
      </c>
      <c r="EB192" s="76">
        <v>419</v>
      </c>
      <c r="EC192" s="76">
        <v>0</v>
      </c>
      <c r="ED192" s="76">
        <v>170</v>
      </c>
      <c r="EE192" s="76">
        <v>249</v>
      </c>
      <c r="EF192" s="76">
        <v>419</v>
      </c>
      <c r="EG192" s="76">
        <v>0</v>
      </c>
      <c r="EH192" s="76">
        <v>170</v>
      </c>
      <c r="EI192" s="76">
        <v>249</v>
      </c>
      <c r="EJ192" s="76">
        <v>1476</v>
      </c>
      <c r="EK192" s="76">
        <v>668</v>
      </c>
      <c r="EL192" s="76">
        <v>345</v>
      </c>
      <c r="EM192" s="76">
        <v>463</v>
      </c>
      <c r="EN192" s="76">
        <v>928</v>
      </c>
      <c r="EO192" s="76">
        <v>117</v>
      </c>
      <c r="EP192" s="76">
        <v>46</v>
      </c>
      <c r="EQ192" s="76">
        <v>117</v>
      </c>
      <c r="ER192" s="76">
        <v>116781</v>
      </c>
      <c r="ES192" s="76">
        <v>0</v>
      </c>
      <c r="ET192" s="76">
        <v>116781</v>
      </c>
      <c r="EU192" s="76">
        <v>5350</v>
      </c>
      <c r="EV192" s="76">
        <v>-397</v>
      </c>
      <c r="EW192" s="76">
        <v>0</v>
      </c>
      <c r="EX192" s="76">
        <v>0</v>
      </c>
      <c r="EY192" s="76">
        <v>0</v>
      </c>
      <c r="EZ192" s="76">
        <v>121734</v>
      </c>
      <c r="FA192" s="76">
        <v>3437</v>
      </c>
      <c r="FB192" s="76">
        <v>1024</v>
      </c>
      <c r="FC192" s="76">
        <v>0</v>
      </c>
      <c r="FD192" s="76">
        <v>0</v>
      </c>
      <c r="FE192" s="76">
        <v>-28</v>
      </c>
      <c r="FF192" s="76">
        <v>0</v>
      </c>
      <c r="FG192" s="76">
        <v>0</v>
      </c>
      <c r="FH192" s="76">
        <v>4433</v>
      </c>
      <c r="FI192" s="76">
        <v>117301</v>
      </c>
      <c r="FJ192" s="76">
        <v>113344</v>
      </c>
      <c r="FK192" s="76">
        <v>0</v>
      </c>
      <c r="FL192" s="76">
        <v>0</v>
      </c>
      <c r="FM192" s="76">
        <v>0</v>
      </c>
      <c r="FN192" s="76">
        <v>1049</v>
      </c>
      <c r="FO192" s="76">
        <v>1168</v>
      </c>
      <c r="FP192" s="76">
        <v>-119</v>
      </c>
      <c r="FQ192" s="76">
        <v>0</v>
      </c>
      <c r="FR192" s="76">
        <v>0</v>
      </c>
      <c r="FS192" s="76">
        <v>0</v>
      </c>
      <c r="FT192" s="76">
        <v>0</v>
      </c>
      <c r="FU192" s="76">
        <v>0</v>
      </c>
      <c r="FV192" s="76">
        <v>0</v>
      </c>
      <c r="FW192" s="76">
        <v>0</v>
      </c>
      <c r="FX192" s="76">
        <v>0</v>
      </c>
      <c r="FY192" s="76">
        <v>0</v>
      </c>
      <c r="FZ192" s="76">
        <v>0</v>
      </c>
      <c r="GA192" s="76">
        <v>0</v>
      </c>
      <c r="GB192" s="76">
        <v>0</v>
      </c>
      <c r="GC192" s="76">
        <v>1049</v>
      </c>
      <c r="GD192" s="76">
        <v>1168</v>
      </c>
      <c r="GE192" s="76">
        <v>-119</v>
      </c>
      <c r="GF192" s="76">
        <v>0</v>
      </c>
      <c r="GG192" s="76">
        <v>0</v>
      </c>
      <c r="GH192" s="76">
        <v>0</v>
      </c>
      <c r="GI192" s="76">
        <v>0</v>
      </c>
      <c r="GJ192" s="76">
        <v>0</v>
      </c>
      <c r="GK192" s="76">
        <v>0</v>
      </c>
      <c r="GL192" s="76">
        <v>0</v>
      </c>
      <c r="GM192" s="76">
        <v>798</v>
      </c>
      <c r="GN192" s="76">
        <v>478</v>
      </c>
      <c r="GO192" s="76">
        <v>0</v>
      </c>
      <c r="GP192" s="76">
        <v>0</v>
      </c>
      <c r="GQ192" s="76">
        <v>0</v>
      </c>
      <c r="GR192" s="76">
        <v>3139</v>
      </c>
      <c r="GS192" s="76">
        <v>40</v>
      </c>
      <c r="GT192" s="76">
        <v>0</v>
      </c>
      <c r="GU192" s="76">
        <v>99</v>
      </c>
      <c r="GV192" s="76">
        <v>0</v>
      </c>
      <c r="GW192" s="76">
        <v>1116</v>
      </c>
      <c r="GX192" s="76">
        <v>5670</v>
      </c>
      <c r="GY192" s="76">
        <v>0</v>
      </c>
      <c r="GZ192" s="76">
        <v>0</v>
      </c>
      <c r="HA192" s="76">
        <v>0</v>
      </c>
      <c r="HB192" s="76">
        <v>710</v>
      </c>
      <c r="HC192" s="76">
        <v>710</v>
      </c>
      <c r="HD192" s="76">
        <v>0</v>
      </c>
      <c r="HE192" s="76">
        <v>0</v>
      </c>
      <c r="HF192" s="76">
        <v>0</v>
      </c>
      <c r="HG192" s="76">
        <v>2496</v>
      </c>
      <c r="HH192" s="76">
        <v>73</v>
      </c>
      <c r="HI192" s="76">
        <v>33</v>
      </c>
      <c r="HJ192" s="76">
        <v>0</v>
      </c>
      <c r="HK192" s="76">
        <v>60</v>
      </c>
      <c r="HL192" s="76">
        <v>-16</v>
      </c>
      <c r="HM192" s="76">
        <v>2646</v>
      </c>
      <c r="HN192" s="76">
        <v>1678</v>
      </c>
      <c r="HO192" s="76">
        <v>1120</v>
      </c>
      <c r="HP192" s="76">
        <v>0</v>
      </c>
      <c r="HQ192" s="76">
        <v>45</v>
      </c>
      <c r="HR192" s="76">
        <v>-12</v>
      </c>
      <c r="HS192" s="76">
        <v>-3</v>
      </c>
      <c r="HT192" s="76">
        <v>3601</v>
      </c>
      <c r="HU192" s="76">
        <v>0</v>
      </c>
      <c r="HV192" s="76">
        <v>0</v>
      </c>
      <c r="HW192" s="76">
        <v>0</v>
      </c>
      <c r="HX192" s="76">
        <v>0</v>
      </c>
    </row>
    <row r="193" spans="1:232" x14ac:dyDescent="0.2">
      <c r="A193" s="74" t="s">
        <v>736</v>
      </c>
      <c r="B193" s="74" t="s">
        <v>737</v>
      </c>
      <c r="C193" s="75" t="s">
        <v>200</v>
      </c>
      <c r="D193" s="75">
        <v>12</v>
      </c>
      <c r="E193" s="76">
        <v>109151</v>
      </c>
      <c r="F193" s="76">
        <v>-13687</v>
      </c>
      <c r="G193" s="76">
        <v>-53773</v>
      </c>
      <c r="H193" s="76">
        <v>41691</v>
      </c>
      <c r="I193" s="76">
        <v>9341</v>
      </c>
      <c r="J193" s="76">
        <v>0</v>
      </c>
      <c r="K193" s="76">
        <v>1900</v>
      </c>
      <c r="L193" s="76">
        <v>1352</v>
      </c>
      <c r="M193" s="76">
        <v>2528</v>
      </c>
      <c r="N193" s="76">
        <v>-26890</v>
      </c>
      <c r="O193" s="76">
        <v>-873</v>
      </c>
      <c r="P193" s="76">
        <v>71617</v>
      </c>
      <c r="Q193" s="76">
        <v>0</v>
      </c>
      <c r="R193" s="76">
        <v>0</v>
      </c>
      <c r="S193" s="76">
        <v>100666</v>
      </c>
      <c r="T193" s="76">
        <v>-1016</v>
      </c>
      <c r="U193" s="76">
        <v>99650</v>
      </c>
      <c r="V193" s="76">
        <v>0</v>
      </c>
      <c r="W193" s="76">
        <v>0</v>
      </c>
      <c r="X193" s="76">
        <v>0</v>
      </c>
      <c r="Y193" s="76">
        <v>0</v>
      </c>
      <c r="Z193" s="76">
        <v>99650</v>
      </c>
      <c r="AA193" s="76">
        <v>67840</v>
      </c>
      <c r="AB193" s="76">
        <v>7761</v>
      </c>
      <c r="AC193" s="76">
        <v>75601</v>
      </c>
      <c r="AD193" s="76">
        <v>87</v>
      </c>
      <c r="AE193" s="76">
        <v>193</v>
      </c>
      <c r="AF193" s="76">
        <v>0</v>
      </c>
      <c r="AG193" s="76">
        <v>0</v>
      </c>
      <c r="AH193" s="76">
        <v>75881</v>
      </c>
      <c r="AI193" s="76">
        <v>4734</v>
      </c>
      <c r="AJ193" s="76">
        <v>12530</v>
      </c>
      <c r="AK193" s="76">
        <v>8510</v>
      </c>
      <c r="AL193" s="76">
        <v>1254</v>
      </c>
      <c r="AM193" s="76">
        <v>2239</v>
      </c>
      <c r="AN193" s="76">
        <v>63</v>
      </c>
      <c r="AO193" s="76">
        <v>11277</v>
      </c>
      <c r="AP193" s="76">
        <v>0</v>
      </c>
      <c r="AQ193" s="76">
        <v>281</v>
      </c>
      <c r="AR193" s="76">
        <v>40888</v>
      </c>
      <c r="AS193" s="76">
        <v>34993</v>
      </c>
      <c r="AT193" s="76">
        <v>282</v>
      </c>
      <c r="AU193" s="76">
        <v>1133110</v>
      </c>
      <c r="AV193" s="76">
        <v>0</v>
      </c>
      <c r="AW193" s="76">
        <v>8500</v>
      </c>
      <c r="AX193" s="76">
        <v>0</v>
      </c>
      <c r="AY193" s="76">
        <v>51057</v>
      </c>
      <c r="AZ193" s="76">
        <v>16965</v>
      </c>
      <c r="BA193" s="76">
        <v>32831</v>
      </c>
      <c r="BB193" s="76">
        <v>35790</v>
      </c>
      <c r="BC193" s="76">
        <v>0</v>
      </c>
      <c r="BD193" s="76">
        <v>8149</v>
      </c>
      <c r="BE193" s="76">
        <v>1286402</v>
      </c>
      <c r="BF193" s="76">
        <v>29166</v>
      </c>
      <c r="BG193" s="76">
        <v>4639</v>
      </c>
      <c r="BH193" s="76">
        <v>98200</v>
      </c>
      <c r="BI193" s="76">
        <v>764</v>
      </c>
      <c r="BJ193" s="76">
        <v>4416</v>
      </c>
      <c r="BK193" s="76">
        <v>137185</v>
      </c>
      <c r="BL193" s="76">
        <v>5988</v>
      </c>
      <c r="BM193" s="76">
        <v>0</v>
      </c>
      <c r="BN193" s="76">
        <v>0</v>
      </c>
      <c r="BO193" s="76">
        <v>57502</v>
      </c>
      <c r="BP193" s="76">
        <v>63490</v>
      </c>
      <c r="BQ193" s="76">
        <v>73695</v>
      </c>
      <c r="BR193" s="76">
        <v>1360097</v>
      </c>
      <c r="BS193" s="76">
        <v>619788</v>
      </c>
      <c r="BT193" s="76">
        <v>0</v>
      </c>
      <c r="BU193" s="76">
        <v>25449</v>
      </c>
      <c r="BV193" s="76">
        <v>28187</v>
      </c>
      <c r="BW193" s="76">
        <v>42558</v>
      </c>
      <c r="BX193" s="76">
        <v>0</v>
      </c>
      <c r="BY193" s="76">
        <v>19912</v>
      </c>
      <c r="BZ193" s="76">
        <v>735894</v>
      </c>
      <c r="CA193" s="76">
        <v>6720</v>
      </c>
      <c r="CB193" s="76">
        <v>0</v>
      </c>
      <c r="CC193" s="76">
        <v>617483</v>
      </c>
      <c r="CD193" s="76">
        <v>403895</v>
      </c>
      <c r="CE193" s="76">
        <v>213588</v>
      </c>
      <c r="CF193" s="76">
        <v>0</v>
      </c>
      <c r="CG193" s="76">
        <v>0</v>
      </c>
      <c r="CH193" s="76">
        <v>0</v>
      </c>
      <c r="CI193" s="76">
        <v>617483</v>
      </c>
      <c r="CJ193" s="76">
        <v>20909</v>
      </c>
      <c r="CK193" s="76">
        <v>13687</v>
      </c>
      <c r="CL193" s="76">
        <v>0</v>
      </c>
      <c r="CM193" s="76">
        <v>7222</v>
      </c>
      <c r="CN193" s="76">
        <v>0</v>
      </c>
      <c r="CO193" s="76">
        <v>0</v>
      </c>
      <c r="CP193" s="76">
        <v>0</v>
      </c>
      <c r="CQ193" s="76">
        <v>0</v>
      </c>
      <c r="CR193" s="76">
        <v>0</v>
      </c>
      <c r="CS193" s="76">
        <v>0</v>
      </c>
      <c r="CT193" s="76">
        <v>0</v>
      </c>
      <c r="CU193" s="76">
        <v>0</v>
      </c>
      <c r="CV193" s="76">
        <v>0</v>
      </c>
      <c r="CW193" s="76">
        <v>0</v>
      </c>
      <c r="CX193" s="76">
        <v>0</v>
      </c>
      <c r="CY193" s="76">
        <v>0</v>
      </c>
      <c r="CZ193" s="76">
        <v>7850</v>
      </c>
      <c r="DA193" s="76">
        <v>0</v>
      </c>
      <c r="DB193" s="76">
        <v>8926</v>
      </c>
      <c r="DC193" s="76">
        <v>-1076</v>
      </c>
      <c r="DD193" s="76">
        <v>28759</v>
      </c>
      <c r="DE193" s="76">
        <v>13687</v>
      </c>
      <c r="DF193" s="76">
        <v>8926</v>
      </c>
      <c r="DG193" s="76">
        <v>6146</v>
      </c>
      <c r="DH193" s="76">
        <v>0</v>
      </c>
      <c r="DI193" s="76">
        <v>0</v>
      </c>
      <c r="DJ193" s="76">
        <v>0</v>
      </c>
      <c r="DK193" s="76">
        <v>0</v>
      </c>
      <c r="DL193" s="76">
        <v>2269</v>
      </c>
      <c r="DM193" s="76">
        <v>0</v>
      </c>
      <c r="DN193" s="76">
        <v>572</v>
      </c>
      <c r="DO193" s="76">
        <v>1697</v>
      </c>
      <c r="DP193" s="76">
        <v>0</v>
      </c>
      <c r="DQ193" s="76">
        <v>0</v>
      </c>
      <c r="DR193" s="76">
        <v>0</v>
      </c>
      <c r="DS193" s="76">
        <v>0</v>
      </c>
      <c r="DT193" s="76">
        <v>0</v>
      </c>
      <c r="DU193" s="76">
        <v>0</v>
      </c>
      <c r="DV193" s="76">
        <v>0</v>
      </c>
      <c r="DW193" s="76">
        <v>0</v>
      </c>
      <c r="DX193" s="76">
        <v>0</v>
      </c>
      <c r="DY193" s="76">
        <v>0</v>
      </c>
      <c r="DZ193" s="76">
        <v>0</v>
      </c>
      <c r="EA193" s="76">
        <v>0</v>
      </c>
      <c r="EB193" s="76">
        <v>2242</v>
      </c>
      <c r="EC193" s="76">
        <v>0</v>
      </c>
      <c r="ED193" s="76">
        <v>3387</v>
      </c>
      <c r="EE193" s="76">
        <v>-1145</v>
      </c>
      <c r="EF193" s="76">
        <v>4511</v>
      </c>
      <c r="EG193" s="76">
        <v>0</v>
      </c>
      <c r="EH193" s="76">
        <v>3959</v>
      </c>
      <c r="EI193" s="76">
        <v>552</v>
      </c>
      <c r="EJ193" s="76">
        <v>33270</v>
      </c>
      <c r="EK193" s="76">
        <v>13687</v>
      </c>
      <c r="EL193" s="76">
        <v>12885</v>
      </c>
      <c r="EM193" s="76">
        <v>6698</v>
      </c>
      <c r="EN193" s="76">
        <v>3559</v>
      </c>
      <c r="EO193" s="76">
        <v>1476</v>
      </c>
      <c r="EP193" s="76">
        <v>266</v>
      </c>
      <c r="EQ193" s="76">
        <v>937</v>
      </c>
      <c r="ER193" s="76">
        <v>1106645</v>
      </c>
      <c r="ES193" s="76">
        <v>0</v>
      </c>
      <c r="ET193" s="76">
        <v>1106645</v>
      </c>
      <c r="EU193" s="76">
        <v>71563</v>
      </c>
      <c r="EV193" s="76">
        <v>-13735</v>
      </c>
      <c r="EW193" s="76">
        <v>0</v>
      </c>
      <c r="EX193" s="76">
        <v>0</v>
      </c>
      <c r="EY193" s="76">
        <v>127</v>
      </c>
      <c r="EZ193" s="76">
        <v>1164600</v>
      </c>
      <c r="FA193" s="76">
        <v>20251</v>
      </c>
      <c r="FB193" s="76">
        <v>11351</v>
      </c>
      <c r="FC193" s="76">
        <v>0</v>
      </c>
      <c r="FD193" s="76">
        <v>0</v>
      </c>
      <c r="FE193" s="76">
        <v>0</v>
      </c>
      <c r="FF193" s="76">
        <v>0</v>
      </c>
      <c r="FG193" s="76">
        <v>-112</v>
      </c>
      <c r="FH193" s="76">
        <v>31490</v>
      </c>
      <c r="FI193" s="76">
        <v>1133110</v>
      </c>
      <c r="FJ193" s="76">
        <v>1086394</v>
      </c>
      <c r="FK193" s="76">
        <v>28853</v>
      </c>
      <c r="FL193" s="76">
        <v>19643</v>
      </c>
      <c r="FM193" s="76">
        <v>9210</v>
      </c>
      <c r="FN193" s="76">
        <v>571</v>
      </c>
      <c r="FO193" s="76">
        <v>369</v>
      </c>
      <c r="FP193" s="76">
        <v>202</v>
      </c>
      <c r="FQ193" s="76">
        <v>350</v>
      </c>
      <c r="FR193" s="76">
        <v>421</v>
      </c>
      <c r="FS193" s="76">
        <v>-71</v>
      </c>
      <c r="FT193" s="76">
        <v>0</v>
      </c>
      <c r="FU193" s="76">
        <v>0</v>
      </c>
      <c r="FV193" s="76">
        <v>0</v>
      </c>
      <c r="FW193" s="76">
        <v>0</v>
      </c>
      <c r="FX193" s="76">
        <v>0</v>
      </c>
      <c r="FY193" s="76">
        <v>0</v>
      </c>
      <c r="FZ193" s="76">
        <v>0</v>
      </c>
      <c r="GA193" s="76">
        <v>0</v>
      </c>
      <c r="GB193" s="76">
        <v>0</v>
      </c>
      <c r="GC193" s="76">
        <v>29774</v>
      </c>
      <c r="GD193" s="76">
        <v>20433</v>
      </c>
      <c r="GE193" s="76">
        <v>9341</v>
      </c>
      <c r="GF193" s="76">
        <v>0</v>
      </c>
      <c r="GG193" s="76">
        <v>0</v>
      </c>
      <c r="GH193" s="76">
        <v>0</v>
      </c>
      <c r="GI193" s="76">
        <v>0</v>
      </c>
      <c r="GJ193" s="76">
        <v>0</v>
      </c>
      <c r="GK193" s="76">
        <v>4416</v>
      </c>
      <c r="GL193" s="76">
        <v>4416</v>
      </c>
      <c r="GM193" s="76">
        <v>3867</v>
      </c>
      <c r="GN193" s="76">
        <v>2721</v>
      </c>
      <c r="GO193" s="76">
        <v>0</v>
      </c>
      <c r="GP193" s="76">
        <v>23645</v>
      </c>
      <c r="GQ193" s="76">
        <v>554</v>
      </c>
      <c r="GR193" s="76">
        <v>8294</v>
      </c>
      <c r="GS193" s="76">
        <v>372</v>
      </c>
      <c r="GT193" s="76">
        <v>0</v>
      </c>
      <c r="GU193" s="76">
        <v>0</v>
      </c>
      <c r="GV193" s="76">
        <v>0</v>
      </c>
      <c r="GW193" s="76">
        <v>18049</v>
      </c>
      <c r="GX193" s="76">
        <v>57502</v>
      </c>
      <c r="GY193" s="76">
        <v>19340</v>
      </c>
      <c r="GZ193" s="76">
        <v>572</v>
      </c>
      <c r="HA193" s="76">
        <v>0</v>
      </c>
      <c r="HB193" s="76">
        <v>0</v>
      </c>
      <c r="HC193" s="76">
        <v>19912</v>
      </c>
      <c r="HD193" s="76">
        <v>0</v>
      </c>
      <c r="HE193" s="76">
        <v>0</v>
      </c>
      <c r="HF193" s="76">
        <v>0</v>
      </c>
      <c r="HG193" s="76">
        <v>26506</v>
      </c>
      <c r="HH193" s="76">
        <v>614</v>
      </c>
      <c r="HI193" s="76">
        <v>141</v>
      </c>
      <c r="HJ193" s="76">
        <v>140</v>
      </c>
      <c r="HK193" s="76">
        <v>0</v>
      </c>
      <c r="HL193" s="76">
        <v>-511</v>
      </c>
      <c r="HM193" s="76">
        <v>26890</v>
      </c>
      <c r="HN193" s="76">
        <v>2293</v>
      </c>
      <c r="HO193" s="76">
        <v>13384</v>
      </c>
      <c r="HP193" s="76">
        <v>0</v>
      </c>
      <c r="HQ193" s="76">
        <v>411</v>
      </c>
      <c r="HR193" s="76">
        <v>-220</v>
      </c>
      <c r="HS193" s="76">
        <v>-70</v>
      </c>
      <c r="HT193" s="76">
        <v>13478</v>
      </c>
      <c r="HU193" s="76">
        <v>73</v>
      </c>
      <c r="HV193" s="76">
        <v>-8</v>
      </c>
      <c r="HW193" s="76">
        <v>70</v>
      </c>
      <c r="HX193" s="76">
        <v>1988</v>
      </c>
    </row>
    <row r="194" spans="1:232" x14ac:dyDescent="0.2">
      <c r="A194" s="74" t="s">
        <v>739</v>
      </c>
      <c r="B194" s="74" t="s">
        <v>740</v>
      </c>
      <c r="C194" s="75" t="s">
        <v>200</v>
      </c>
      <c r="D194" s="75">
        <v>12</v>
      </c>
      <c r="E194" s="76">
        <v>54268</v>
      </c>
      <c r="F194" s="76">
        <v>0</v>
      </c>
      <c r="G194" s="76">
        <v>-45253</v>
      </c>
      <c r="H194" s="76">
        <v>9015</v>
      </c>
      <c r="I194" s="76">
        <v>-350</v>
      </c>
      <c r="J194" s="76">
        <v>0</v>
      </c>
      <c r="K194" s="76">
        <v>0</v>
      </c>
      <c r="L194" s="76">
        <v>0</v>
      </c>
      <c r="M194" s="76">
        <v>155</v>
      </c>
      <c r="N194" s="76">
        <v>-454</v>
      </c>
      <c r="O194" s="76">
        <v>0</v>
      </c>
      <c r="P194" s="76">
        <v>230</v>
      </c>
      <c r="Q194" s="76">
        <v>0</v>
      </c>
      <c r="R194" s="76">
        <v>0</v>
      </c>
      <c r="S194" s="76">
        <v>8596</v>
      </c>
      <c r="T194" s="76">
        <v>-46</v>
      </c>
      <c r="U194" s="76">
        <v>8550</v>
      </c>
      <c r="V194" s="76">
        <v>0</v>
      </c>
      <c r="W194" s="76">
        <v>0</v>
      </c>
      <c r="X194" s="76">
        <v>0</v>
      </c>
      <c r="Y194" s="76">
        <v>0</v>
      </c>
      <c r="Z194" s="76">
        <v>8550</v>
      </c>
      <c r="AA194" s="76">
        <v>29825</v>
      </c>
      <c r="AB194" s="76">
        <v>8756</v>
      </c>
      <c r="AC194" s="76">
        <v>38581</v>
      </c>
      <c r="AD194" s="76">
        <v>0</v>
      </c>
      <c r="AE194" s="76">
        <v>0</v>
      </c>
      <c r="AF194" s="76">
        <v>0</v>
      </c>
      <c r="AG194" s="76">
        <v>0</v>
      </c>
      <c r="AH194" s="76">
        <v>38581</v>
      </c>
      <c r="AI194" s="76">
        <v>7204</v>
      </c>
      <c r="AJ194" s="76">
        <v>29248</v>
      </c>
      <c r="AK194" s="76">
        <v>1115</v>
      </c>
      <c r="AL194" s="76">
        <v>0</v>
      </c>
      <c r="AM194" s="76">
        <v>418</v>
      </c>
      <c r="AN194" s="76">
        <v>65</v>
      </c>
      <c r="AO194" s="76">
        <v>2002</v>
      </c>
      <c r="AP194" s="76">
        <v>0</v>
      </c>
      <c r="AQ194" s="76">
        <v>0</v>
      </c>
      <c r="AR194" s="76">
        <v>40052</v>
      </c>
      <c r="AS194" s="76">
        <v>-1471</v>
      </c>
      <c r="AT194" s="76">
        <v>5435</v>
      </c>
      <c r="AU194" s="76">
        <v>146324</v>
      </c>
      <c r="AV194" s="76">
        <v>0</v>
      </c>
      <c r="AW194" s="76">
        <v>1009</v>
      </c>
      <c r="AX194" s="76">
        <v>0</v>
      </c>
      <c r="AY194" s="76">
        <v>0</v>
      </c>
      <c r="AZ194" s="76">
        <v>0</v>
      </c>
      <c r="BA194" s="76">
        <v>0</v>
      </c>
      <c r="BB194" s="76">
        <v>0</v>
      </c>
      <c r="BC194" s="76">
        <v>0</v>
      </c>
      <c r="BD194" s="76">
        <v>0</v>
      </c>
      <c r="BE194" s="76">
        <v>147333</v>
      </c>
      <c r="BF194" s="76">
        <v>5907</v>
      </c>
      <c r="BG194" s="76">
        <v>792</v>
      </c>
      <c r="BH194" s="76">
        <v>22643</v>
      </c>
      <c r="BI194" s="76">
        <v>2147</v>
      </c>
      <c r="BJ194" s="76">
        <v>7840</v>
      </c>
      <c r="BK194" s="76">
        <v>39329</v>
      </c>
      <c r="BL194" s="76">
        <v>0</v>
      </c>
      <c r="BM194" s="76">
        <v>0</v>
      </c>
      <c r="BN194" s="76">
        <v>0</v>
      </c>
      <c r="BO194" s="76">
        <v>20629</v>
      </c>
      <c r="BP194" s="76">
        <v>20629</v>
      </c>
      <c r="BQ194" s="76">
        <v>18700</v>
      </c>
      <c r="BR194" s="76">
        <v>166033</v>
      </c>
      <c r="BS194" s="76">
        <v>0</v>
      </c>
      <c r="BT194" s="76">
        <v>0</v>
      </c>
      <c r="BU194" s="76">
        <v>0</v>
      </c>
      <c r="BV194" s="76">
        <v>0</v>
      </c>
      <c r="BW194" s="76">
        <v>0</v>
      </c>
      <c r="BX194" s="76">
        <v>0</v>
      </c>
      <c r="BY194" s="76">
        <v>17695</v>
      </c>
      <c r="BZ194" s="76">
        <v>17695</v>
      </c>
      <c r="CA194" s="76">
        <v>0</v>
      </c>
      <c r="CB194" s="76">
        <v>0</v>
      </c>
      <c r="CC194" s="76">
        <v>148338</v>
      </c>
      <c r="CD194" s="76">
        <v>138031</v>
      </c>
      <c r="CE194" s="76">
        <v>0</v>
      </c>
      <c r="CF194" s="76">
        <v>10307</v>
      </c>
      <c r="CG194" s="76">
        <v>0</v>
      </c>
      <c r="CH194" s="76">
        <v>0</v>
      </c>
      <c r="CI194" s="76">
        <v>148338</v>
      </c>
      <c r="CJ194" s="76">
        <v>0</v>
      </c>
      <c r="CK194" s="76">
        <v>0</v>
      </c>
      <c r="CL194" s="76">
        <v>0</v>
      </c>
      <c r="CM194" s="76">
        <v>0</v>
      </c>
      <c r="CN194" s="76">
        <v>0</v>
      </c>
      <c r="CO194" s="76">
        <v>0</v>
      </c>
      <c r="CP194" s="76">
        <v>0</v>
      </c>
      <c r="CQ194" s="76">
        <v>0</v>
      </c>
      <c r="CR194" s="76">
        <v>0</v>
      </c>
      <c r="CS194" s="76">
        <v>0</v>
      </c>
      <c r="CT194" s="76">
        <v>0</v>
      </c>
      <c r="CU194" s="76">
        <v>0</v>
      </c>
      <c r="CV194" s="76">
        <v>0</v>
      </c>
      <c r="CW194" s="76">
        <v>0</v>
      </c>
      <c r="CX194" s="76">
        <v>0</v>
      </c>
      <c r="CY194" s="76">
        <v>0</v>
      </c>
      <c r="CZ194" s="76">
        <v>0</v>
      </c>
      <c r="DA194" s="76">
        <v>0</v>
      </c>
      <c r="DB194" s="76">
        <v>0</v>
      </c>
      <c r="DC194" s="76">
        <v>0</v>
      </c>
      <c r="DD194" s="76">
        <v>0</v>
      </c>
      <c r="DE194" s="76">
        <v>0</v>
      </c>
      <c r="DF194" s="76">
        <v>0</v>
      </c>
      <c r="DG194" s="76">
        <v>0</v>
      </c>
      <c r="DH194" s="76">
        <v>285</v>
      </c>
      <c r="DI194" s="76">
        <v>0</v>
      </c>
      <c r="DJ194" s="76">
        <v>227</v>
      </c>
      <c r="DK194" s="76">
        <v>58</v>
      </c>
      <c r="DL194" s="76">
        <v>0</v>
      </c>
      <c r="DM194" s="76">
        <v>0</v>
      </c>
      <c r="DN194" s="76">
        <v>0</v>
      </c>
      <c r="DO194" s="76">
        <v>0</v>
      </c>
      <c r="DP194" s="76">
        <v>0</v>
      </c>
      <c r="DQ194" s="76">
        <v>0</v>
      </c>
      <c r="DR194" s="76">
        <v>0</v>
      </c>
      <c r="DS194" s="76">
        <v>0</v>
      </c>
      <c r="DT194" s="76">
        <v>1851</v>
      </c>
      <c r="DU194" s="76">
        <v>0</v>
      </c>
      <c r="DV194" s="76">
        <v>1986</v>
      </c>
      <c r="DW194" s="76">
        <v>-135</v>
      </c>
      <c r="DX194" s="76">
        <v>0</v>
      </c>
      <c r="DY194" s="76">
        <v>0</v>
      </c>
      <c r="DZ194" s="76">
        <v>0</v>
      </c>
      <c r="EA194" s="76">
        <v>0</v>
      </c>
      <c r="EB194" s="76">
        <v>13551</v>
      </c>
      <c r="EC194" s="76">
        <v>0</v>
      </c>
      <c r="ED194" s="76">
        <v>2988</v>
      </c>
      <c r="EE194" s="76">
        <v>10563</v>
      </c>
      <c r="EF194" s="76">
        <v>15687</v>
      </c>
      <c r="EG194" s="76">
        <v>0</v>
      </c>
      <c r="EH194" s="76">
        <v>5201</v>
      </c>
      <c r="EI194" s="76">
        <v>10486</v>
      </c>
      <c r="EJ194" s="76">
        <v>15687</v>
      </c>
      <c r="EK194" s="76">
        <v>0</v>
      </c>
      <c r="EL194" s="76">
        <v>5201</v>
      </c>
      <c r="EM194" s="76">
        <v>10486</v>
      </c>
      <c r="EN194" s="76">
        <v>635</v>
      </c>
      <c r="EO194" s="76">
        <v>227</v>
      </c>
      <c r="EP194" s="76">
        <v>56</v>
      </c>
      <c r="EQ194" s="76">
        <v>227</v>
      </c>
      <c r="ER194" s="76">
        <v>117420</v>
      </c>
      <c r="ES194" s="76">
        <v>21532</v>
      </c>
      <c r="ET194" s="76">
        <v>138952</v>
      </c>
      <c r="EU194" s="76">
        <v>23288</v>
      </c>
      <c r="EV194" s="76">
        <v>-7241</v>
      </c>
      <c r="EW194" s="76">
        <v>0</v>
      </c>
      <c r="EX194" s="76">
        <v>0</v>
      </c>
      <c r="EY194" s="76">
        <v>6439</v>
      </c>
      <c r="EZ194" s="76">
        <v>161438</v>
      </c>
      <c r="FA194" s="76">
        <v>11435</v>
      </c>
      <c r="FB194" s="76">
        <v>2002</v>
      </c>
      <c r="FC194" s="76">
        <v>2318</v>
      </c>
      <c r="FD194" s="76">
        <v>0</v>
      </c>
      <c r="FE194" s="76">
        <v>-641</v>
      </c>
      <c r="FF194" s="76">
        <v>0</v>
      </c>
      <c r="FG194" s="76">
        <v>0</v>
      </c>
      <c r="FH194" s="76">
        <v>15114</v>
      </c>
      <c r="FI194" s="76">
        <v>146324</v>
      </c>
      <c r="FJ194" s="76">
        <v>127517</v>
      </c>
      <c r="FK194" s="76">
        <v>0</v>
      </c>
      <c r="FL194" s="76">
        <v>0</v>
      </c>
      <c r="FM194" s="76">
        <v>0</v>
      </c>
      <c r="FN194" s="76">
        <v>0</v>
      </c>
      <c r="FO194" s="76">
        <v>0</v>
      </c>
      <c r="FP194" s="76">
        <v>0</v>
      </c>
      <c r="FQ194" s="76">
        <v>0</v>
      </c>
      <c r="FR194" s="76">
        <v>0</v>
      </c>
      <c r="FS194" s="76">
        <v>0</v>
      </c>
      <c r="FT194" s="76">
        <v>8914</v>
      </c>
      <c r="FU194" s="76">
        <v>9264</v>
      </c>
      <c r="FV194" s="76">
        <v>-350</v>
      </c>
      <c r="FW194" s="76">
        <v>0</v>
      </c>
      <c r="FX194" s="76">
        <v>0</v>
      </c>
      <c r="FY194" s="76">
        <v>0</v>
      </c>
      <c r="FZ194" s="76">
        <v>0</v>
      </c>
      <c r="GA194" s="76">
        <v>0</v>
      </c>
      <c r="GB194" s="76">
        <v>0</v>
      </c>
      <c r="GC194" s="76">
        <v>8914</v>
      </c>
      <c r="GD194" s="76">
        <v>9264</v>
      </c>
      <c r="GE194" s="76">
        <v>-350</v>
      </c>
      <c r="GF194" s="76">
        <v>0</v>
      </c>
      <c r="GG194" s="76">
        <v>0</v>
      </c>
      <c r="GH194" s="76">
        <v>0</v>
      </c>
      <c r="GI194" s="76">
        <v>0</v>
      </c>
      <c r="GJ194" s="76">
        <v>0</v>
      </c>
      <c r="GK194" s="76">
        <v>7840</v>
      </c>
      <c r="GL194" s="76">
        <v>7840</v>
      </c>
      <c r="GM194" s="76">
        <v>427</v>
      </c>
      <c r="GN194" s="76">
        <v>0</v>
      </c>
      <c r="GO194" s="76">
        <v>0</v>
      </c>
      <c r="GP194" s="76">
        <v>6977</v>
      </c>
      <c r="GQ194" s="76">
        <v>0</v>
      </c>
      <c r="GR194" s="76">
        <v>5231</v>
      </c>
      <c r="GS194" s="76">
        <v>0</v>
      </c>
      <c r="GT194" s="76">
        <v>0</v>
      </c>
      <c r="GU194" s="76">
        <v>0</v>
      </c>
      <c r="GV194" s="76">
        <v>0</v>
      </c>
      <c r="GW194" s="76">
        <v>7994</v>
      </c>
      <c r="GX194" s="76">
        <v>20629</v>
      </c>
      <c r="GY194" s="76">
        <v>6413</v>
      </c>
      <c r="GZ194" s="76">
        <v>0</v>
      </c>
      <c r="HA194" s="76">
        <v>0</v>
      </c>
      <c r="HB194" s="76">
        <v>11282</v>
      </c>
      <c r="HC194" s="76">
        <v>17695</v>
      </c>
      <c r="HD194" s="76">
        <v>0</v>
      </c>
      <c r="HE194" s="76">
        <v>0</v>
      </c>
      <c r="HF194" s="76">
        <v>0</v>
      </c>
      <c r="HG194" s="76">
        <v>454</v>
      </c>
      <c r="HH194" s="76">
        <v>0</v>
      </c>
      <c r="HI194" s="76">
        <v>0</v>
      </c>
      <c r="HJ194" s="76">
        <v>0</v>
      </c>
      <c r="HK194" s="76">
        <v>0</v>
      </c>
      <c r="HL194" s="76">
        <v>0</v>
      </c>
      <c r="HM194" s="76">
        <v>454</v>
      </c>
      <c r="HN194" s="76">
        <v>5393</v>
      </c>
      <c r="HO194" s="76">
        <v>2612</v>
      </c>
      <c r="HP194" s="76">
        <v>2318</v>
      </c>
      <c r="HQ194" s="76">
        <v>0</v>
      </c>
      <c r="HR194" s="76">
        <v>-35</v>
      </c>
      <c r="HS194" s="76">
        <v>119</v>
      </c>
      <c r="HT194" s="76">
        <v>2015</v>
      </c>
      <c r="HU194" s="76">
        <v>0</v>
      </c>
      <c r="HV194" s="76">
        <v>0</v>
      </c>
      <c r="HW194" s="76">
        <v>0</v>
      </c>
      <c r="HX194" s="76">
        <v>0</v>
      </c>
    </row>
    <row r="195" spans="1:232" x14ac:dyDescent="0.2">
      <c r="A195" s="74" t="s">
        <v>742</v>
      </c>
      <c r="B195" s="74" t="s">
        <v>167</v>
      </c>
      <c r="C195" s="75" t="s">
        <v>200</v>
      </c>
      <c r="D195" s="75">
        <v>12</v>
      </c>
      <c r="E195" s="76">
        <v>31194</v>
      </c>
      <c r="F195" s="76">
        <v>0</v>
      </c>
      <c r="G195" s="76">
        <v>-22711</v>
      </c>
      <c r="H195" s="76">
        <v>8483</v>
      </c>
      <c r="I195" s="76">
        <v>677</v>
      </c>
      <c r="J195" s="76">
        <v>0</v>
      </c>
      <c r="K195" s="76">
        <v>0</v>
      </c>
      <c r="L195" s="76">
        <v>0</v>
      </c>
      <c r="M195" s="76">
        <v>13</v>
      </c>
      <c r="N195" s="76">
        <v>-5087</v>
      </c>
      <c r="O195" s="76">
        <v>115</v>
      </c>
      <c r="P195" s="76">
        <v>127</v>
      </c>
      <c r="Q195" s="76">
        <v>0</v>
      </c>
      <c r="R195" s="76">
        <v>0</v>
      </c>
      <c r="S195" s="76">
        <v>4328</v>
      </c>
      <c r="T195" s="76">
        <v>-7</v>
      </c>
      <c r="U195" s="76">
        <v>4321</v>
      </c>
      <c r="V195" s="76">
        <v>0</v>
      </c>
      <c r="W195" s="76">
        <v>0</v>
      </c>
      <c r="X195" s="76">
        <v>0</v>
      </c>
      <c r="Y195" s="76">
        <v>0</v>
      </c>
      <c r="Z195" s="76">
        <v>4321</v>
      </c>
      <c r="AA195" s="76">
        <v>17963</v>
      </c>
      <c r="AB195" s="76">
        <v>1408</v>
      </c>
      <c r="AC195" s="76">
        <v>19371</v>
      </c>
      <c r="AD195" s="76">
        <v>914</v>
      </c>
      <c r="AE195" s="76">
        <v>0</v>
      </c>
      <c r="AF195" s="76">
        <v>0</v>
      </c>
      <c r="AG195" s="76">
        <v>1578</v>
      </c>
      <c r="AH195" s="76">
        <v>21863</v>
      </c>
      <c r="AI195" s="76">
        <v>4175</v>
      </c>
      <c r="AJ195" s="76">
        <v>5890</v>
      </c>
      <c r="AK195" s="76">
        <v>1861</v>
      </c>
      <c r="AL195" s="76">
        <v>1033</v>
      </c>
      <c r="AM195" s="76">
        <v>0</v>
      </c>
      <c r="AN195" s="76">
        <v>53</v>
      </c>
      <c r="AO195" s="76">
        <v>1950</v>
      </c>
      <c r="AP195" s="76">
        <v>0</v>
      </c>
      <c r="AQ195" s="76">
        <v>105</v>
      </c>
      <c r="AR195" s="76">
        <v>15067</v>
      </c>
      <c r="AS195" s="76">
        <v>6796</v>
      </c>
      <c r="AT195" s="76">
        <v>439</v>
      </c>
      <c r="AU195" s="76">
        <v>198689</v>
      </c>
      <c r="AV195" s="76">
        <v>0</v>
      </c>
      <c r="AW195" s="76">
        <v>8105</v>
      </c>
      <c r="AX195" s="76">
        <v>355</v>
      </c>
      <c r="AY195" s="76">
        <v>0</v>
      </c>
      <c r="AZ195" s="76">
        <v>760</v>
      </c>
      <c r="BA195" s="76">
        <v>0</v>
      </c>
      <c r="BB195" s="76">
        <v>0</v>
      </c>
      <c r="BC195" s="76">
        <v>0</v>
      </c>
      <c r="BD195" s="76">
        <v>0</v>
      </c>
      <c r="BE195" s="76">
        <v>207909</v>
      </c>
      <c r="BF195" s="76">
        <v>6006</v>
      </c>
      <c r="BG195" s="76">
        <v>994</v>
      </c>
      <c r="BH195" s="76">
        <v>1458</v>
      </c>
      <c r="BI195" s="76">
        <v>926</v>
      </c>
      <c r="BJ195" s="76">
        <v>1033</v>
      </c>
      <c r="BK195" s="76">
        <v>10417</v>
      </c>
      <c r="BL195" s="76">
        <v>1919</v>
      </c>
      <c r="BM195" s="76">
        <v>0</v>
      </c>
      <c r="BN195" s="76">
        <v>923</v>
      </c>
      <c r="BO195" s="76">
        <v>4277</v>
      </c>
      <c r="BP195" s="76">
        <v>7119</v>
      </c>
      <c r="BQ195" s="76">
        <v>3298</v>
      </c>
      <c r="BR195" s="76">
        <v>211207</v>
      </c>
      <c r="BS195" s="76">
        <v>102494</v>
      </c>
      <c r="BT195" s="76">
        <v>0</v>
      </c>
      <c r="BU195" s="76">
        <v>0</v>
      </c>
      <c r="BV195" s="76">
        <v>0</v>
      </c>
      <c r="BW195" s="76">
        <v>79431</v>
      </c>
      <c r="BX195" s="76">
        <v>0</v>
      </c>
      <c r="BY195" s="76">
        <v>3473</v>
      </c>
      <c r="BZ195" s="76">
        <v>185398</v>
      </c>
      <c r="CA195" s="76">
        <v>0</v>
      </c>
      <c r="CB195" s="76">
        <v>0</v>
      </c>
      <c r="CC195" s="76">
        <v>25809</v>
      </c>
      <c r="CD195" s="76">
        <v>24165</v>
      </c>
      <c r="CE195" s="76">
        <v>289</v>
      </c>
      <c r="CF195" s="76">
        <v>1355</v>
      </c>
      <c r="CG195" s="76">
        <v>0</v>
      </c>
      <c r="CH195" s="76">
        <v>0</v>
      </c>
      <c r="CI195" s="76">
        <v>25809</v>
      </c>
      <c r="CJ195" s="76">
        <v>861</v>
      </c>
      <c r="CK195" s="76">
        <v>0</v>
      </c>
      <c r="CL195" s="76">
        <v>635</v>
      </c>
      <c r="CM195" s="76">
        <v>226</v>
      </c>
      <c r="CN195" s="76">
        <v>1080</v>
      </c>
      <c r="CO195" s="76">
        <v>0</v>
      </c>
      <c r="CP195" s="76">
        <v>1080</v>
      </c>
      <c r="CQ195" s="76">
        <v>0</v>
      </c>
      <c r="CR195" s="76">
        <v>0</v>
      </c>
      <c r="CS195" s="76">
        <v>0</v>
      </c>
      <c r="CT195" s="76">
        <v>0</v>
      </c>
      <c r="CU195" s="76">
        <v>0</v>
      </c>
      <c r="CV195" s="76">
        <v>276</v>
      </c>
      <c r="CW195" s="76">
        <v>0</v>
      </c>
      <c r="CX195" s="76">
        <v>434</v>
      </c>
      <c r="CY195" s="76">
        <v>-158</v>
      </c>
      <c r="CZ195" s="76">
        <v>1142</v>
      </c>
      <c r="DA195" s="76">
        <v>0</v>
      </c>
      <c r="DB195" s="76">
        <v>638</v>
      </c>
      <c r="DC195" s="76">
        <v>504</v>
      </c>
      <c r="DD195" s="76">
        <v>3359</v>
      </c>
      <c r="DE195" s="76">
        <v>0</v>
      </c>
      <c r="DF195" s="76">
        <v>2787</v>
      </c>
      <c r="DG195" s="76">
        <v>572</v>
      </c>
      <c r="DH195" s="76">
        <v>4369</v>
      </c>
      <c r="DI195" s="76">
        <v>0</v>
      </c>
      <c r="DJ195" s="76">
        <v>3669</v>
      </c>
      <c r="DK195" s="76">
        <v>700</v>
      </c>
      <c r="DL195" s="76">
        <v>0</v>
      </c>
      <c r="DM195" s="76">
        <v>0</v>
      </c>
      <c r="DN195" s="76">
        <v>0</v>
      </c>
      <c r="DO195" s="76">
        <v>0</v>
      </c>
      <c r="DP195" s="76">
        <v>0</v>
      </c>
      <c r="DQ195" s="76">
        <v>0</v>
      </c>
      <c r="DR195" s="76">
        <v>0</v>
      </c>
      <c r="DS195" s="76">
        <v>0</v>
      </c>
      <c r="DT195" s="76">
        <v>0</v>
      </c>
      <c r="DU195" s="76">
        <v>0</v>
      </c>
      <c r="DV195" s="76">
        <v>0</v>
      </c>
      <c r="DW195" s="76">
        <v>0</v>
      </c>
      <c r="DX195" s="76">
        <v>0</v>
      </c>
      <c r="DY195" s="76">
        <v>0</v>
      </c>
      <c r="DZ195" s="76">
        <v>0</v>
      </c>
      <c r="EA195" s="76">
        <v>0</v>
      </c>
      <c r="EB195" s="76">
        <v>1603</v>
      </c>
      <c r="EC195" s="76">
        <v>0</v>
      </c>
      <c r="ED195" s="76">
        <v>1188</v>
      </c>
      <c r="EE195" s="76">
        <v>415</v>
      </c>
      <c r="EF195" s="76">
        <v>5972</v>
      </c>
      <c r="EG195" s="76">
        <v>0</v>
      </c>
      <c r="EH195" s="76">
        <v>4857</v>
      </c>
      <c r="EI195" s="76">
        <v>1115</v>
      </c>
      <c r="EJ195" s="76">
        <v>9331</v>
      </c>
      <c r="EK195" s="76">
        <v>0</v>
      </c>
      <c r="EL195" s="76">
        <v>7644</v>
      </c>
      <c r="EM195" s="76">
        <v>1687</v>
      </c>
      <c r="EN195" s="76">
        <v>676</v>
      </c>
      <c r="EO195" s="76">
        <v>104</v>
      </c>
      <c r="EP195" s="76">
        <v>173</v>
      </c>
      <c r="EQ195" s="76">
        <v>55</v>
      </c>
      <c r="ER195" s="76">
        <v>216935</v>
      </c>
      <c r="ES195" s="76">
        <v>0</v>
      </c>
      <c r="ET195" s="76">
        <v>216935</v>
      </c>
      <c r="EU195" s="76">
        <v>5221</v>
      </c>
      <c r="EV195" s="76">
        <v>-933</v>
      </c>
      <c r="EW195" s="76">
        <v>0</v>
      </c>
      <c r="EX195" s="76">
        <v>0</v>
      </c>
      <c r="EY195" s="76">
        <v>-1315</v>
      </c>
      <c r="EZ195" s="76">
        <v>219908</v>
      </c>
      <c r="FA195" s="76">
        <v>19601</v>
      </c>
      <c r="FB195" s="76">
        <v>1904</v>
      </c>
      <c r="FC195" s="76">
        <v>0</v>
      </c>
      <c r="FD195" s="76">
        <v>0</v>
      </c>
      <c r="FE195" s="76">
        <v>-286</v>
      </c>
      <c r="FF195" s="76">
        <v>0</v>
      </c>
      <c r="FG195" s="76">
        <v>0</v>
      </c>
      <c r="FH195" s="76">
        <v>21219</v>
      </c>
      <c r="FI195" s="76">
        <v>198689</v>
      </c>
      <c r="FJ195" s="76">
        <v>197334</v>
      </c>
      <c r="FK195" s="76">
        <v>817</v>
      </c>
      <c r="FL195" s="76">
        <v>140</v>
      </c>
      <c r="FM195" s="76">
        <v>677</v>
      </c>
      <c r="FN195" s="76">
        <v>0</v>
      </c>
      <c r="FO195" s="76">
        <v>0</v>
      </c>
      <c r="FP195" s="76">
        <v>0</v>
      </c>
      <c r="FQ195" s="76">
        <v>0</v>
      </c>
      <c r="FR195" s="76">
        <v>0</v>
      </c>
      <c r="FS195" s="76">
        <v>0</v>
      </c>
      <c r="FT195" s="76">
        <v>0</v>
      </c>
      <c r="FU195" s="76">
        <v>0</v>
      </c>
      <c r="FV195" s="76">
        <v>0</v>
      </c>
      <c r="FW195" s="76">
        <v>0</v>
      </c>
      <c r="FX195" s="76">
        <v>0</v>
      </c>
      <c r="FY195" s="76">
        <v>0</v>
      </c>
      <c r="FZ195" s="76">
        <v>0</v>
      </c>
      <c r="GA195" s="76">
        <v>0</v>
      </c>
      <c r="GB195" s="76">
        <v>0</v>
      </c>
      <c r="GC195" s="76">
        <v>817</v>
      </c>
      <c r="GD195" s="76">
        <v>140</v>
      </c>
      <c r="GE195" s="76">
        <v>677</v>
      </c>
      <c r="GF195" s="76">
        <v>0</v>
      </c>
      <c r="GG195" s="76">
        <v>19</v>
      </c>
      <c r="GH195" s="76">
        <v>0</v>
      </c>
      <c r="GI195" s="76">
        <v>0</v>
      </c>
      <c r="GJ195" s="76">
        <v>0</v>
      </c>
      <c r="GK195" s="76">
        <v>1014</v>
      </c>
      <c r="GL195" s="76">
        <v>1033</v>
      </c>
      <c r="GM195" s="76">
        <v>271</v>
      </c>
      <c r="GN195" s="76">
        <v>312</v>
      </c>
      <c r="GO195" s="76">
        <v>0</v>
      </c>
      <c r="GP195" s="76">
        <v>0</v>
      </c>
      <c r="GQ195" s="76">
        <v>0</v>
      </c>
      <c r="GR195" s="76">
        <v>3694</v>
      </c>
      <c r="GS195" s="76">
        <v>0</v>
      </c>
      <c r="GT195" s="76">
        <v>0</v>
      </c>
      <c r="GU195" s="76">
        <v>0</v>
      </c>
      <c r="GV195" s="76">
        <v>0</v>
      </c>
      <c r="GW195" s="76">
        <v>0</v>
      </c>
      <c r="GX195" s="76">
        <v>4277</v>
      </c>
      <c r="GY195" s="76">
        <v>78</v>
      </c>
      <c r="GZ195" s="76">
        <v>0</v>
      </c>
      <c r="HA195" s="76">
        <v>3395</v>
      </c>
      <c r="HB195" s="76">
        <v>0</v>
      </c>
      <c r="HC195" s="76">
        <v>3473</v>
      </c>
      <c r="HD195" s="76">
        <v>0</v>
      </c>
      <c r="HE195" s="76">
        <v>0</v>
      </c>
      <c r="HF195" s="76">
        <v>0</v>
      </c>
      <c r="HG195" s="76">
        <v>5212</v>
      </c>
      <c r="HH195" s="76">
        <v>0</v>
      </c>
      <c r="HI195" s="76">
        <v>82</v>
      </c>
      <c r="HJ195" s="76">
        <v>0</v>
      </c>
      <c r="HK195" s="76">
        <v>0</v>
      </c>
      <c r="HL195" s="76">
        <v>-207</v>
      </c>
      <c r="HM195" s="76">
        <v>5087</v>
      </c>
      <c r="HN195" s="76">
        <v>1163</v>
      </c>
      <c r="HO195" s="76">
        <v>2172</v>
      </c>
      <c r="HP195" s="76">
        <v>0</v>
      </c>
      <c r="HQ195" s="76">
        <v>21</v>
      </c>
      <c r="HR195" s="76">
        <v>-12</v>
      </c>
      <c r="HS195" s="76">
        <v>0</v>
      </c>
      <c r="HT195" s="76">
        <v>2741</v>
      </c>
      <c r="HU195" s="76">
        <v>0</v>
      </c>
      <c r="HV195" s="76">
        <v>0</v>
      </c>
      <c r="HW195" s="76">
        <v>0</v>
      </c>
      <c r="HX195" s="76">
        <v>0</v>
      </c>
    </row>
    <row r="196" spans="1:232" x14ac:dyDescent="0.2">
      <c r="A196" s="74" t="s">
        <v>743</v>
      </c>
      <c r="B196" s="74" t="s">
        <v>744</v>
      </c>
      <c r="C196" s="75" t="s">
        <v>200</v>
      </c>
      <c r="D196" s="75">
        <v>12</v>
      </c>
      <c r="E196" s="76">
        <v>15982</v>
      </c>
      <c r="F196" s="76">
        <v>0</v>
      </c>
      <c r="G196" s="76">
        <v>-12365</v>
      </c>
      <c r="H196" s="76">
        <v>3617</v>
      </c>
      <c r="I196" s="76">
        <v>907</v>
      </c>
      <c r="J196" s="76">
        <v>0</v>
      </c>
      <c r="K196" s="76">
        <v>0</v>
      </c>
      <c r="L196" s="76">
        <v>0</v>
      </c>
      <c r="M196" s="76">
        <v>1</v>
      </c>
      <c r="N196" s="76">
        <v>-2508</v>
      </c>
      <c r="O196" s="76">
        <v>0</v>
      </c>
      <c r="P196" s="76">
        <v>0</v>
      </c>
      <c r="Q196" s="76">
        <v>0</v>
      </c>
      <c r="R196" s="76">
        <v>0</v>
      </c>
      <c r="S196" s="76">
        <v>2017</v>
      </c>
      <c r="T196" s="76">
        <v>0</v>
      </c>
      <c r="U196" s="76">
        <v>2017</v>
      </c>
      <c r="V196" s="76">
        <v>0</v>
      </c>
      <c r="W196" s="76">
        <v>0</v>
      </c>
      <c r="X196" s="76">
        <v>0</v>
      </c>
      <c r="Y196" s="76">
        <v>0</v>
      </c>
      <c r="Z196" s="76">
        <v>2017</v>
      </c>
      <c r="AA196" s="76">
        <v>9986</v>
      </c>
      <c r="AB196" s="76">
        <v>2625</v>
      </c>
      <c r="AC196" s="76">
        <v>12611</v>
      </c>
      <c r="AD196" s="76">
        <v>1661</v>
      </c>
      <c r="AE196" s="76">
        <v>0</v>
      </c>
      <c r="AF196" s="76">
        <v>0</v>
      </c>
      <c r="AG196" s="76">
        <v>0</v>
      </c>
      <c r="AH196" s="76">
        <v>14272</v>
      </c>
      <c r="AI196" s="76">
        <v>2333</v>
      </c>
      <c r="AJ196" s="76">
        <v>1945</v>
      </c>
      <c r="AK196" s="76">
        <v>1741</v>
      </c>
      <c r="AL196" s="76">
        <v>408</v>
      </c>
      <c r="AM196" s="76">
        <v>0</v>
      </c>
      <c r="AN196" s="76">
        <v>76</v>
      </c>
      <c r="AO196" s="76">
        <v>1864</v>
      </c>
      <c r="AP196" s="76">
        <v>0</v>
      </c>
      <c r="AQ196" s="76">
        <v>3585</v>
      </c>
      <c r="AR196" s="76">
        <v>11952</v>
      </c>
      <c r="AS196" s="76">
        <v>2320</v>
      </c>
      <c r="AT196" s="76">
        <v>299</v>
      </c>
      <c r="AU196" s="76">
        <v>162318</v>
      </c>
      <c r="AV196" s="76">
        <v>0</v>
      </c>
      <c r="AW196" s="76">
        <v>2387</v>
      </c>
      <c r="AX196" s="76">
        <v>0</v>
      </c>
      <c r="AY196" s="76">
        <v>0</v>
      </c>
      <c r="AZ196" s="76">
        <v>0</v>
      </c>
      <c r="BA196" s="76">
        <v>0</v>
      </c>
      <c r="BB196" s="76">
        <v>0</v>
      </c>
      <c r="BC196" s="76">
        <v>0</v>
      </c>
      <c r="BD196" s="76">
        <v>0</v>
      </c>
      <c r="BE196" s="76">
        <v>164705</v>
      </c>
      <c r="BF196" s="76">
        <v>0</v>
      </c>
      <c r="BG196" s="76">
        <v>843</v>
      </c>
      <c r="BH196" s="76">
        <v>755</v>
      </c>
      <c r="BI196" s="76">
        <v>0</v>
      </c>
      <c r="BJ196" s="76">
        <v>0</v>
      </c>
      <c r="BK196" s="76">
        <v>1598</v>
      </c>
      <c r="BL196" s="76">
        <v>217</v>
      </c>
      <c r="BM196" s="76">
        <v>0</v>
      </c>
      <c r="BN196" s="76">
        <v>434</v>
      </c>
      <c r="BO196" s="76">
        <v>3428</v>
      </c>
      <c r="BP196" s="76">
        <v>4079</v>
      </c>
      <c r="BQ196" s="76">
        <v>-2481</v>
      </c>
      <c r="BR196" s="76">
        <v>162224</v>
      </c>
      <c r="BS196" s="76">
        <v>65956</v>
      </c>
      <c r="BT196" s="76">
        <v>0</v>
      </c>
      <c r="BU196" s="76">
        <v>0</v>
      </c>
      <c r="BV196" s="76">
        <v>72700</v>
      </c>
      <c r="BW196" s="76">
        <v>0</v>
      </c>
      <c r="BX196" s="76">
        <v>0</v>
      </c>
      <c r="BY196" s="76">
        <v>580</v>
      </c>
      <c r="BZ196" s="76">
        <v>139236</v>
      </c>
      <c r="CA196" s="76">
        <v>0</v>
      </c>
      <c r="CB196" s="76">
        <v>221</v>
      </c>
      <c r="CC196" s="76">
        <v>22767</v>
      </c>
      <c r="CD196" s="76">
        <v>22437</v>
      </c>
      <c r="CE196" s="76">
        <v>0</v>
      </c>
      <c r="CF196" s="76">
        <v>330</v>
      </c>
      <c r="CG196" s="76">
        <v>0</v>
      </c>
      <c r="CH196" s="76">
        <v>0</v>
      </c>
      <c r="CI196" s="76">
        <v>22767</v>
      </c>
      <c r="CJ196" s="76">
        <v>0</v>
      </c>
      <c r="CK196" s="76">
        <v>0</v>
      </c>
      <c r="CL196" s="76">
        <v>0</v>
      </c>
      <c r="CM196" s="76">
        <v>0</v>
      </c>
      <c r="CN196" s="76">
        <v>770</v>
      </c>
      <c r="CO196" s="76">
        <v>0</v>
      </c>
      <c r="CP196" s="76">
        <v>0</v>
      </c>
      <c r="CQ196" s="76">
        <v>770</v>
      </c>
      <c r="CR196" s="76">
        <v>0</v>
      </c>
      <c r="CS196" s="76">
        <v>0</v>
      </c>
      <c r="CT196" s="76">
        <v>0</v>
      </c>
      <c r="CU196" s="76">
        <v>0</v>
      </c>
      <c r="CV196" s="76">
        <v>0</v>
      </c>
      <c r="CW196" s="76">
        <v>0</v>
      </c>
      <c r="CX196" s="76">
        <v>0</v>
      </c>
      <c r="CY196" s="76">
        <v>0</v>
      </c>
      <c r="CZ196" s="76">
        <v>0</v>
      </c>
      <c r="DA196" s="76">
        <v>0</v>
      </c>
      <c r="DB196" s="76">
        <v>0</v>
      </c>
      <c r="DC196" s="76">
        <v>0</v>
      </c>
      <c r="DD196" s="76">
        <v>770</v>
      </c>
      <c r="DE196" s="76">
        <v>0</v>
      </c>
      <c r="DF196" s="76">
        <v>0</v>
      </c>
      <c r="DG196" s="76">
        <v>770</v>
      </c>
      <c r="DH196" s="76">
        <v>0</v>
      </c>
      <c r="DI196" s="76">
        <v>0</v>
      </c>
      <c r="DJ196" s="76">
        <v>0</v>
      </c>
      <c r="DK196" s="76">
        <v>0</v>
      </c>
      <c r="DL196" s="76">
        <v>0</v>
      </c>
      <c r="DM196" s="76">
        <v>0</v>
      </c>
      <c r="DN196" s="76">
        <v>0</v>
      </c>
      <c r="DO196" s="76">
        <v>0</v>
      </c>
      <c r="DP196" s="76">
        <v>0</v>
      </c>
      <c r="DQ196" s="76">
        <v>0</v>
      </c>
      <c r="DR196" s="76">
        <v>0</v>
      </c>
      <c r="DS196" s="76">
        <v>0</v>
      </c>
      <c r="DT196" s="76">
        <v>940</v>
      </c>
      <c r="DU196" s="76">
        <v>0</v>
      </c>
      <c r="DV196" s="76">
        <v>413</v>
      </c>
      <c r="DW196" s="76">
        <v>527</v>
      </c>
      <c r="DX196" s="76">
        <v>0</v>
      </c>
      <c r="DY196" s="76">
        <v>0</v>
      </c>
      <c r="DZ196" s="76">
        <v>0</v>
      </c>
      <c r="EA196" s="76">
        <v>0</v>
      </c>
      <c r="EB196" s="76">
        <v>0</v>
      </c>
      <c r="EC196" s="76">
        <v>0</v>
      </c>
      <c r="ED196" s="76">
        <v>0</v>
      </c>
      <c r="EE196" s="76">
        <v>0</v>
      </c>
      <c r="EF196" s="76">
        <v>940</v>
      </c>
      <c r="EG196" s="76">
        <v>0</v>
      </c>
      <c r="EH196" s="76">
        <v>413</v>
      </c>
      <c r="EI196" s="76">
        <v>527</v>
      </c>
      <c r="EJ196" s="76">
        <v>1710</v>
      </c>
      <c r="EK196" s="76">
        <v>0</v>
      </c>
      <c r="EL196" s="76">
        <v>413</v>
      </c>
      <c r="EM196" s="76">
        <v>1297</v>
      </c>
      <c r="EN196" s="76">
        <v>399</v>
      </c>
      <c r="EO196" s="76">
        <v>235</v>
      </c>
      <c r="EP196" s="76">
        <v>0</v>
      </c>
      <c r="EQ196" s="76">
        <v>0</v>
      </c>
      <c r="ER196" s="76">
        <v>167595</v>
      </c>
      <c r="ES196" s="76">
        <v>0</v>
      </c>
      <c r="ET196" s="76">
        <v>167595</v>
      </c>
      <c r="EU196" s="76">
        <v>11997</v>
      </c>
      <c r="EV196" s="76">
        <v>-3217</v>
      </c>
      <c r="EW196" s="76">
        <v>0</v>
      </c>
      <c r="EX196" s="76">
        <v>0</v>
      </c>
      <c r="EY196" s="76">
        <v>0</v>
      </c>
      <c r="EZ196" s="76">
        <v>176375</v>
      </c>
      <c r="FA196" s="76">
        <v>15032</v>
      </c>
      <c r="FB196" s="76">
        <v>1864</v>
      </c>
      <c r="FC196" s="76">
        <v>0</v>
      </c>
      <c r="FD196" s="76">
        <v>0</v>
      </c>
      <c r="FE196" s="76">
        <v>-2839</v>
      </c>
      <c r="FF196" s="76">
        <v>0</v>
      </c>
      <c r="FG196" s="76">
        <v>0</v>
      </c>
      <c r="FH196" s="76">
        <v>14057</v>
      </c>
      <c r="FI196" s="76">
        <v>162318</v>
      </c>
      <c r="FJ196" s="76">
        <v>152563</v>
      </c>
      <c r="FK196" s="76">
        <v>0</v>
      </c>
      <c r="FL196" s="76">
        <v>0</v>
      </c>
      <c r="FM196" s="76">
        <v>0</v>
      </c>
      <c r="FN196" s="76">
        <v>0</v>
      </c>
      <c r="FO196" s="76">
        <v>0</v>
      </c>
      <c r="FP196" s="76">
        <v>0</v>
      </c>
      <c r="FQ196" s="76">
        <v>0</v>
      </c>
      <c r="FR196" s="76">
        <v>0</v>
      </c>
      <c r="FS196" s="76">
        <v>0</v>
      </c>
      <c r="FT196" s="76">
        <v>1045</v>
      </c>
      <c r="FU196" s="76">
        <v>138</v>
      </c>
      <c r="FV196" s="76">
        <v>907</v>
      </c>
      <c r="FW196" s="76">
        <v>0</v>
      </c>
      <c r="FX196" s="76">
        <v>0</v>
      </c>
      <c r="FY196" s="76">
        <v>0</v>
      </c>
      <c r="FZ196" s="76">
        <v>0</v>
      </c>
      <c r="GA196" s="76">
        <v>0</v>
      </c>
      <c r="GB196" s="76">
        <v>0</v>
      </c>
      <c r="GC196" s="76">
        <v>1045</v>
      </c>
      <c r="GD196" s="76">
        <v>138</v>
      </c>
      <c r="GE196" s="76">
        <v>907</v>
      </c>
      <c r="GF196" s="76">
        <v>0</v>
      </c>
      <c r="GG196" s="76">
        <v>0</v>
      </c>
      <c r="GH196" s="76">
        <v>0</v>
      </c>
      <c r="GI196" s="76">
        <v>0</v>
      </c>
      <c r="GJ196" s="76">
        <v>0</v>
      </c>
      <c r="GK196" s="76">
        <v>0</v>
      </c>
      <c r="GL196" s="76">
        <v>0</v>
      </c>
      <c r="GM196" s="76">
        <v>1550</v>
      </c>
      <c r="GN196" s="76">
        <v>0</v>
      </c>
      <c r="GO196" s="76">
        <v>32</v>
      </c>
      <c r="GP196" s="76">
        <v>0</v>
      </c>
      <c r="GQ196" s="76">
        <v>0</v>
      </c>
      <c r="GR196" s="76">
        <v>1170</v>
      </c>
      <c r="GS196" s="76">
        <v>0</v>
      </c>
      <c r="GT196" s="76">
        <v>0</v>
      </c>
      <c r="GU196" s="76">
        <v>0</v>
      </c>
      <c r="GV196" s="76">
        <v>0</v>
      </c>
      <c r="GW196" s="76">
        <v>676</v>
      </c>
      <c r="GX196" s="76">
        <v>3428</v>
      </c>
      <c r="GY196" s="76">
        <v>0</v>
      </c>
      <c r="GZ196" s="76">
        <v>0</v>
      </c>
      <c r="HA196" s="76">
        <v>0</v>
      </c>
      <c r="HB196" s="76">
        <v>580</v>
      </c>
      <c r="HC196" s="76">
        <v>580</v>
      </c>
      <c r="HD196" s="76">
        <v>0</v>
      </c>
      <c r="HE196" s="76">
        <v>221</v>
      </c>
      <c r="HF196" s="76">
        <v>221</v>
      </c>
      <c r="HG196" s="76">
        <v>2477</v>
      </c>
      <c r="HH196" s="76">
        <v>26</v>
      </c>
      <c r="HI196" s="76">
        <v>0</v>
      </c>
      <c r="HJ196" s="76">
        <v>0</v>
      </c>
      <c r="HK196" s="76">
        <v>5</v>
      </c>
      <c r="HL196" s="76">
        <v>0</v>
      </c>
      <c r="HM196" s="76">
        <v>2508</v>
      </c>
      <c r="HN196" s="76">
        <v>1438</v>
      </c>
      <c r="HO196" s="76">
        <v>2002</v>
      </c>
      <c r="HP196" s="76">
        <v>0</v>
      </c>
      <c r="HQ196" s="76">
        <v>50</v>
      </c>
      <c r="HR196" s="76">
        <v>0</v>
      </c>
      <c r="HS196" s="76">
        <v>-105</v>
      </c>
      <c r="HT196" s="76">
        <v>1486</v>
      </c>
      <c r="HU196" s="76">
        <v>0</v>
      </c>
      <c r="HV196" s="76">
        <v>0</v>
      </c>
      <c r="HW196" s="76">
        <v>0</v>
      </c>
      <c r="HX196" s="76">
        <v>17</v>
      </c>
    </row>
    <row r="197" spans="1:232" x14ac:dyDescent="0.2">
      <c r="A197" s="74" t="s">
        <v>745</v>
      </c>
      <c r="B197" s="74" t="s">
        <v>746</v>
      </c>
      <c r="C197" s="75" t="s">
        <v>200</v>
      </c>
      <c r="D197" s="75">
        <v>12</v>
      </c>
      <c r="E197" s="76">
        <v>38794</v>
      </c>
      <c r="F197" s="76">
        <v>-1540</v>
      </c>
      <c r="G197" s="76">
        <v>-27012</v>
      </c>
      <c r="H197" s="76">
        <v>10242</v>
      </c>
      <c r="I197" s="76">
        <v>239</v>
      </c>
      <c r="J197" s="76">
        <v>0</v>
      </c>
      <c r="K197" s="76">
        <v>0</v>
      </c>
      <c r="L197" s="76">
        <v>0</v>
      </c>
      <c r="M197" s="76">
        <v>3</v>
      </c>
      <c r="N197" s="76">
        <v>-7192</v>
      </c>
      <c r="O197" s="76">
        <v>25</v>
      </c>
      <c r="P197" s="76">
        <v>0</v>
      </c>
      <c r="Q197" s="76">
        <v>0</v>
      </c>
      <c r="R197" s="76">
        <v>0</v>
      </c>
      <c r="S197" s="76">
        <v>3317</v>
      </c>
      <c r="T197" s="76">
        <v>-186</v>
      </c>
      <c r="U197" s="76">
        <v>3131</v>
      </c>
      <c r="V197" s="76">
        <v>0</v>
      </c>
      <c r="W197" s="76">
        <v>-3585</v>
      </c>
      <c r="X197" s="76">
        <v>0</v>
      </c>
      <c r="Y197" s="76">
        <v>0</v>
      </c>
      <c r="Z197" s="76">
        <v>-454</v>
      </c>
      <c r="AA197" s="76">
        <v>26150</v>
      </c>
      <c r="AB197" s="76">
        <v>2161</v>
      </c>
      <c r="AC197" s="76">
        <v>28311</v>
      </c>
      <c r="AD197" s="76">
        <v>293</v>
      </c>
      <c r="AE197" s="76">
        <v>0</v>
      </c>
      <c r="AF197" s="76">
        <v>0</v>
      </c>
      <c r="AG197" s="76">
        <v>1589</v>
      </c>
      <c r="AH197" s="76">
        <v>30193</v>
      </c>
      <c r="AI197" s="76">
        <v>5552</v>
      </c>
      <c r="AJ197" s="76">
        <v>2327</v>
      </c>
      <c r="AK197" s="76">
        <v>3189</v>
      </c>
      <c r="AL197" s="76">
        <v>1781</v>
      </c>
      <c r="AM197" s="76">
        <v>654</v>
      </c>
      <c r="AN197" s="76">
        <v>303</v>
      </c>
      <c r="AO197" s="76">
        <v>3140</v>
      </c>
      <c r="AP197" s="76">
        <v>0</v>
      </c>
      <c r="AQ197" s="76">
        <v>3764</v>
      </c>
      <c r="AR197" s="76">
        <v>20710</v>
      </c>
      <c r="AS197" s="76">
        <v>9483</v>
      </c>
      <c r="AT197" s="76">
        <v>324</v>
      </c>
      <c r="AU197" s="76">
        <v>195754</v>
      </c>
      <c r="AV197" s="76">
        <v>0</v>
      </c>
      <c r="AW197" s="76">
        <v>7842</v>
      </c>
      <c r="AX197" s="76">
        <v>150</v>
      </c>
      <c r="AY197" s="76">
        <v>0</v>
      </c>
      <c r="AZ197" s="76">
        <v>920</v>
      </c>
      <c r="BA197" s="76">
        <v>0</v>
      </c>
      <c r="BB197" s="76">
        <v>0</v>
      </c>
      <c r="BC197" s="76">
        <v>0</v>
      </c>
      <c r="BD197" s="76">
        <v>0</v>
      </c>
      <c r="BE197" s="76">
        <v>204666</v>
      </c>
      <c r="BF197" s="76">
        <v>1603</v>
      </c>
      <c r="BG197" s="76">
        <v>1362</v>
      </c>
      <c r="BH197" s="76">
        <v>3414</v>
      </c>
      <c r="BI197" s="76">
        <v>0</v>
      </c>
      <c r="BJ197" s="76">
        <v>821</v>
      </c>
      <c r="BK197" s="76">
        <v>7200</v>
      </c>
      <c r="BL197" s="76">
        <v>0</v>
      </c>
      <c r="BM197" s="76">
        <v>0</v>
      </c>
      <c r="BN197" s="76">
        <v>275</v>
      </c>
      <c r="BO197" s="76">
        <v>4237</v>
      </c>
      <c r="BP197" s="76">
        <v>4512</v>
      </c>
      <c r="BQ197" s="76">
        <v>2688</v>
      </c>
      <c r="BR197" s="76">
        <v>207354</v>
      </c>
      <c r="BS197" s="76">
        <v>146012</v>
      </c>
      <c r="BT197" s="76">
        <v>0</v>
      </c>
      <c r="BU197" s="76">
        <v>0</v>
      </c>
      <c r="BV197" s="76">
        <v>26226</v>
      </c>
      <c r="BW197" s="76">
        <v>0</v>
      </c>
      <c r="BX197" s="76">
        <v>0</v>
      </c>
      <c r="BY197" s="76">
        <v>948</v>
      </c>
      <c r="BZ197" s="76">
        <v>173186</v>
      </c>
      <c r="CA197" s="76">
        <v>27682</v>
      </c>
      <c r="CB197" s="76">
        <v>0</v>
      </c>
      <c r="CC197" s="76">
        <v>6486</v>
      </c>
      <c r="CD197" s="76">
        <v>6486</v>
      </c>
      <c r="CE197" s="76">
        <v>0</v>
      </c>
      <c r="CF197" s="76">
        <v>0</v>
      </c>
      <c r="CG197" s="76">
        <v>0</v>
      </c>
      <c r="CH197" s="76">
        <v>0</v>
      </c>
      <c r="CI197" s="76">
        <v>6486</v>
      </c>
      <c r="CJ197" s="76">
        <v>2485</v>
      </c>
      <c r="CK197" s="76">
        <v>1540</v>
      </c>
      <c r="CL197" s="76">
        <v>375</v>
      </c>
      <c r="CM197" s="76">
        <v>570</v>
      </c>
      <c r="CN197" s="76">
        <v>66</v>
      </c>
      <c r="CO197" s="76">
        <v>0</v>
      </c>
      <c r="CP197" s="76">
        <v>365</v>
      </c>
      <c r="CQ197" s="76">
        <v>-299</v>
      </c>
      <c r="CR197" s="76">
        <v>0</v>
      </c>
      <c r="CS197" s="76">
        <v>0</v>
      </c>
      <c r="CT197" s="76">
        <v>0</v>
      </c>
      <c r="CU197" s="76">
        <v>0</v>
      </c>
      <c r="CV197" s="76">
        <v>0</v>
      </c>
      <c r="CW197" s="76">
        <v>0</v>
      </c>
      <c r="CX197" s="76">
        <v>0</v>
      </c>
      <c r="CY197" s="76">
        <v>0</v>
      </c>
      <c r="CZ197" s="76">
        <v>196</v>
      </c>
      <c r="DA197" s="76">
        <v>0</v>
      </c>
      <c r="DB197" s="76">
        <v>262</v>
      </c>
      <c r="DC197" s="76">
        <v>-66</v>
      </c>
      <c r="DD197" s="76">
        <v>2747</v>
      </c>
      <c r="DE197" s="76">
        <v>1540</v>
      </c>
      <c r="DF197" s="76">
        <v>1002</v>
      </c>
      <c r="DG197" s="76">
        <v>205</v>
      </c>
      <c r="DH197" s="76">
        <v>0</v>
      </c>
      <c r="DI197" s="76">
        <v>0</v>
      </c>
      <c r="DJ197" s="76">
        <v>0</v>
      </c>
      <c r="DK197" s="76">
        <v>0</v>
      </c>
      <c r="DL197" s="76">
        <v>0</v>
      </c>
      <c r="DM197" s="76">
        <v>0</v>
      </c>
      <c r="DN197" s="76">
        <v>0</v>
      </c>
      <c r="DO197" s="76">
        <v>0</v>
      </c>
      <c r="DP197" s="76">
        <v>0</v>
      </c>
      <c r="DQ197" s="76">
        <v>0</v>
      </c>
      <c r="DR197" s="76">
        <v>0</v>
      </c>
      <c r="DS197" s="76">
        <v>0</v>
      </c>
      <c r="DT197" s="76">
        <v>0</v>
      </c>
      <c r="DU197" s="76">
        <v>0</v>
      </c>
      <c r="DV197" s="76">
        <v>0</v>
      </c>
      <c r="DW197" s="76">
        <v>0</v>
      </c>
      <c r="DX197" s="76">
        <v>0</v>
      </c>
      <c r="DY197" s="76">
        <v>0</v>
      </c>
      <c r="DZ197" s="76">
        <v>0</v>
      </c>
      <c r="EA197" s="76">
        <v>0</v>
      </c>
      <c r="EB197" s="76">
        <v>5854</v>
      </c>
      <c r="EC197" s="76">
        <v>0</v>
      </c>
      <c r="ED197" s="76">
        <v>5300</v>
      </c>
      <c r="EE197" s="76">
        <v>554</v>
      </c>
      <c r="EF197" s="76">
        <v>5854</v>
      </c>
      <c r="EG197" s="76">
        <v>0</v>
      </c>
      <c r="EH197" s="76">
        <v>5300</v>
      </c>
      <c r="EI197" s="76">
        <v>554</v>
      </c>
      <c r="EJ197" s="76">
        <v>8601</v>
      </c>
      <c r="EK197" s="76">
        <v>1540</v>
      </c>
      <c r="EL197" s="76">
        <v>6302</v>
      </c>
      <c r="EM197" s="76">
        <v>759</v>
      </c>
      <c r="EN197" s="76">
        <v>296</v>
      </c>
      <c r="EO197" s="76">
        <v>182</v>
      </c>
      <c r="EP197" s="76">
        <v>34</v>
      </c>
      <c r="EQ197" s="76">
        <v>98</v>
      </c>
      <c r="ER197" s="76">
        <v>207291</v>
      </c>
      <c r="ES197" s="76">
        <v>0</v>
      </c>
      <c r="ET197" s="76">
        <v>207291</v>
      </c>
      <c r="EU197" s="76">
        <v>15275</v>
      </c>
      <c r="EV197" s="76">
        <v>-3411</v>
      </c>
      <c r="EW197" s="76">
        <v>0</v>
      </c>
      <c r="EX197" s="76">
        <v>0</v>
      </c>
      <c r="EY197" s="76">
        <v>-264</v>
      </c>
      <c r="EZ197" s="76">
        <v>218891</v>
      </c>
      <c r="FA197" s="76">
        <v>20585</v>
      </c>
      <c r="FB197" s="76">
        <v>3140</v>
      </c>
      <c r="FC197" s="76">
        <v>0</v>
      </c>
      <c r="FD197" s="76">
        <v>0</v>
      </c>
      <c r="FE197" s="76">
        <v>-588</v>
      </c>
      <c r="FF197" s="76">
        <v>0</v>
      </c>
      <c r="FG197" s="76">
        <v>0</v>
      </c>
      <c r="FH197" s="76">
        <v>23137</v>
      </c>
      <c r="FI197" s="76">
        <v>195754</v>
      </c>
      <c r="FJ197" s="76">
        <v>186706</v>
      </c>
      <c r="FK197" s="76">
        <v>611</v>
      </c>
      <c r="FL197" s="76">
        <v>461</v>
      </c>
      <c r="FM197" s="76">
        <v>150</v>
      </c>
      <c r="FN197" s="76">
        <v>815</v>
      </c>
      <c r="FO197" s="76">
        <v>659</v>
      </c>
      <c r="FP197" s="76">
        <v>156</v>
      </c>
      <c r="FQ197" s="76">
        <v>242</v>
      </c>
      <c r="FR197" s="76">
        <v>287</v>
      </c>
      <c r="FS197" s="76">
        <v>-45</v>
      </c>
      <c r="FT197" s="76">
        <v>126</v>
      </c>
      <c r="FU197" s="76">
        <v>15</v>
      </c>
      <c r="FV197" s="76">
        <v>111</v>
      </c>
      <c r="FW197" s="76">
        <v>0</v>
      </c>
      <c r="FX197" s="76">
        <v>0</v>
      </c>
      <c r="FY197" s="76">
        <v>0</v>
      </c>
      <c r="FZ197" s="76">
        <v>594</v>
      </c>
      <c r="GA197" s="76">
        <v>727</v>
      </c>
      <c r="GB197" s="76">
        <v>-133</v>
      </c>
      <c r="GC197" s="76">
        <v>2388</v>
      </c>
      <c r="GD197" s="76">
        <v>2149</v>
      </c>
      <c r="GE197" s="76">
        <v>239</v>
      </c>
      <c r="GF197" s="76">
        <v>0</v>
      </c>
      <c r="GG197" s="76">
        <v>46</v>
      </c>
      <c r="GH197" s="76">
        <v>0</v>
      </c>
      <c r="GI197" s="76">
        <v>0</v>
      </c>
      <c r="GJ197" s="76">
        <v>0</v>
      </c>
      <c r="GK197" s="76">
        <v>775</v>
      </c>
      <c r="GL197" s="76">
        <v>821</v>
      </c>
      <c r="GM197" s="76">
        <v>958</v>
      </c>
      <c r="GN197" s="76">
        <v>373</v>
      </c>
      <c r="GO197" s="76">
        <v>0</v>
      </c>
      <c r="GP197" s="76">
        <v>0</v>
      </c>
      <c r="GQ197" s="76">
        <v>64</v>
      </c>
      <c r="GR197" s="76">
        <v>1621</v>
      </c>
      <c r="GS197" s="76">
        <v>0</v>
      </c>
      <c r="GT197" s="76">
        <v>0</v>
      </c>
      <c r="GU197" s="76">
        <v>0</v>
      </c>
      <c r="GV197" s="76">
        <v>0</v>
      </c>
      <c r="GW197" s="76">
        <v>1221</v>
      </c>
      <c r="GX197" s="76">
        <v>4237</v>
      </c>
      <c r="GY197" s="76">
        <v>257</v>
      </c>
      <c r="GZ197" s="76">
        <v>321</v>
      </c>
      <c r="HA197" s="76">
        <v>370</v>
      </c>
      <c r="HB197" s="76">
        <v>0</v>
      </c>
      <c r="HC197" s="76">
        <v>948</v>
      </c>
      <c r="HD197" s="76">
        <v>0</v>
      </c>
      <c r="HE197" s="76">
        <v>0</v>
      </c>
      <c r="HF197" s="76">
        <v>0</v>
      </c>
      <c r="HG197" s="76">
        <v>6718</v>
      </c>
      <c r="HH197" s="76">
        <v>0</v>
      </c>
      <c r="HI197" s="76">
        <v>802</v>
      </c>
      <c r="HJ197" s="76">
        <v>0</v>
      </c>
      <c r="HK197" s="76">
        <v>9</v>
      </c>
      <c r="HL197" s="76">
        <v>-337</v>
      </c>
      <c r="HM197" s="76">
        <v>7192</v>
      </c>
      <c r="HN197" s="76">
        <v>5373</v>
      </c>
      <c r="HO197" s="76">
        <v>4137</v>
      </c>
      <c r="HP197" s="76">
        <v>0</v>
      </c>
      <c r="HQ197" s="76">
        <v>122</v>
      </c>
      <c r="HR197" s="76">
        <v>-55</v>
      </c>
      <c r="HS197" s="76">
        <v>-2</v>
      </c>
      <c r="HT197" s="76">
        <v>5937</v>
      </c>
      <c r="HU197" s="76">
        <v>0</v>
      </c>
      <c r="HV197" s="76">
        <v>0</v>
      </c>
      <c r="HW197" s="76">
        <v>-22</v>
      </c>
      <c r="HX197" s="76">
        <v>82</v>
      </c>
    </row>
    <row r="198" spans="1:232" x14ac:dyDescent="0.2">
      <c r="A198" s="74" t="s">
        <v>749</v>
      </c>
      <c r="B198" s="74" t="s">
        <v>748</v>
      </c>
      <c r="C198" s="75" t="s">
        <v>200</v>
      </c>
      <c r="D198" s="75">
        <v>12</v>
      </c>
      <c r="E198" s="76">
        <v>430100</v>
      </c>
      <c r="F198" s="76">
        <v>-73900</v>
      </c>
      <c r="G198" s="76">
        <v>-225900</v>
      </c>
      <c r="H198" s="76">
        <v>130300</v>
      </c>
      <c r="I198" s="76">
        <v>9700</v>
      </c>
      <c r="J198" s="76">
        <v>0</v>
      </c>
      <c r="K198" s="76">
        <v>13600</v>
      </c>
      <c r="L198" s="76">
        <v>0</v>
      </c>
      <c r="M198" s="76">
        <v>400</v>
      </c>
      <c r="N198" s="76">
        <v>-58500</v>
      </c>
      <c r="O198" s="76">
        <v>0</v>
      </c>
      <c r="P198" s="76">
        <v>-300</v>
      </c>
      <c r="Q198" s="76">
        <v>0</v>
      </c>
      <c r="R198" s="76">
        <v>0</v>
      </c>
      <c r="S198" s="76">
        <v>95200</v>
      </c>
      <c r="T198" s="76">
        <v>-800</v>
      </c>
      <c r="U198" s="76">
        <v>94400</v>
      </c>
      <c r="V198" s="76">
        <v>0</v>
      </c>
      <c r="W198" s="76">
        <v>200</v>
      </c>
      <c r="X198" s="76">
        <v>-1500</v>
      </c>
      <c r="Y198" s="76">
        <v>0</v>
      </c>
      <c r="Z198" s="76">
        <v>93100</v>
      </c>
      <c r="AA198" s="76">
        <v>279400</v>
      </c>
      <c r="AB198" s="76">
        <v>21100</v>
      </c>
      <c r="AC198" s="76">
        <v>300500</v>
      </c>
      <c r="AD198" s="76">
        <v>14300</v>
      </c>
      <c r="AE198" s="76">
        <v>0</v>
      </c>
      <c r="AF198" s="76">
        <v>0</v>
      </c>
      <c r="AG198" s="76">
        <v>0</v>
      </c>
      <c r="AH198" s="76">
        <v>314800</v>
      </c>
      <c r="AI198" s="76">
        <v>76300</v>
      </c>
      <c r="AJ198" s="76">
        <v>24400</v>
      </c>
      <c r="AK198" s="76">
        <v>29900</v>
      </c>
      <c r="AL198" s="76">
        <v>13200</v>
      </c>
      <c r="AM198" s="76">
        <v>11100</v>
      </c>
      <c r="AN198" s="76">
        <v>2400</v>
      </c>
      <c r="AO198" s="76">
        <v>43500</v>
      </c>
      <c r="AP198" s="76">
        <v>-2000</v>
      </c>
      <c r="AQ198" s="76">
        <v>0</v>
      </c>
      <c r="AR198" s="76">
        <v>198800</v>
      </c>
      <c r="AS198" s="76">
        <v>116000</v>
      </c>
      <c r="AT198" s="76">
        <v>2800</v>
      </c>
      <c r="AU198" s="76">
        <v>3045800</v>
      </c>
      <c r="AV198" s="76">
        <v>0</v>
      </c>
      <c r="AW198" s="76">
        <v>39500</v>
      </c>
      <c r="AX198" s="76">
        <v>0</v>
      </c>
      <c r="AY198" s="76">
        <v>11200</v>
      </c>
      <c r="AZ198" s="76">
        <v>2100</v>
      </c>
      <c r="BA198" s="76">
        <v>0</v>
      </c>
      <c r="BB198" s="76">
        <v>0</v>
      </c>
      <c r="BC198" s="76">
        <v>0</v>
      </c>
      <c r="BD198" s="76">
        <v>48900</v>
      </c>
      <c r="BE198" s="76">
        <v>3147500</v>
      </c>
      <c r="BF198" s="76">
        <v>28500</v>
      </c>
      <c r="BG198" s="76">
        <v>10400</v>
      </c>
      <c r="BH198" s="76">
        <v>73900</v>
      </c>
      <c r="BI198" s="76">
        <v>0</v>
      </c>
      <c r="BJ198" s="76">
        <v>21000</v>
      </c>
      <c r="BK198" s="76">
        <v>133800</v>
      </c>
      <c r="BL198" s="76">
        <v>16500</v>
      </c>
      <c r="BM198" s="76">
        <v>2200</v>
      </c>
      <c r="BN198" s="76">
        <v>14700</v>
      </c>
      <c r="BO198" s="76">
        <v>93700</v>
      </c>
      <c r="BP198" s="76">
        <v>127100</v>
      </c>
      <c r="BQ198" s="76">
        <v>6700</v>
      </c>
      <c r="BR198" s="76">
        <v>3154200</v>
      </c>
      <c r="BS198" s="76">
        <v>1196200</v>
      </c>
      <c r="BT198" s="76">
        <v>0</v>
      </c>
      <c r="BU198" s="76">
        <v>0</v>
      </c>
      <c r="BV198" s="76">
        <v>1176400</v>
      </c>
      <c r="BW198" s="76">
        <v>0</v>
      </c>
      <c r="BX198" s="76">
        <v>49300</v>
      </c>
      <c r="BY198" s="76">
        <v>13300</v>
      </c>
      <c r="BZ198" s="76">
        <v>2435200</v>
      </c>
      <c r="CA198" s="76">
        <v>6300</v>
      </c>
      <c r="CB198" s="76">
        <v>49200</v>
      </c>
      <c r="CC198" s="76">
        <v>663500</v>
      </c>
      <c r="CD198" s="76">
        <v>663300</v>
      </c>
      <c r="CE198" s="76">
        <v>0</v>
      </c>
      <c r="CF198" s="76">
        <v>200</v>
      </c>
      <c r="CG198" s="76">
        <v>0</v>
      </c>
      <c r="CH198" s="76">
        <v>0</v>
      </c>
      <c r="CI198" s="76">
        <v>663500</v>
      </c>
      <c r="CJ198" s="76">
        <v>8400</v>
      </c>
      <c r="CK198" s="76">
        <v>6400</v>
      </c>
      <c r="CL198" s="76">
        <v>0</v>
      </c>
      <c r="CM198" s="76">
        <v>2000</v>
      </c>
      <c r="CN198" s="76">
        <v>600</v>
      </c>
      <c r="CO198" s="76">
        <v>0</v>
      </c>
      <c r="CP198" s="76">
        <v>200</v>
      </c>
      <c r="CQ198" s="76">
        <v>400</v>
      </c>
      <c r="CR198" s="76">
        <v>0</v>
      </c>
      <c r="CS198" s="76">
        <v>0</v>
      </c>
      <c r="CT198" s="76">
        <v>900</v>
      </c>
      <c r="CU198" s="76">
        <v>-900</v>
      </c>
      <c r="CV198" s="76">
        <v>0</v>
      </c>
      <c r="CW198" s="76">
        <v>0</v>
      </c>
      <c r="CX198" s="76">
        <v>0</v>
      </c>
      <c r="CY198" s="76">
        <v>0</v>
      </c>
      <c r="CZ198" s="76">
        <v>14200</v>
      </c>
      <c r="DA198" s="76">
        <v>0</v>
      </c>
      <c r="DB198" s="76">
        <v>20600</v>
      </c>
      <c r="DC198" s="76">
        <v>-6400</v>
      </c>
      <c r="DD198" s="76">
        <v>23200</v>
      </c>
      <c r="DE198" s="76">
        <v>6400</v>
      </c>
      <c r="DF198" s="76">
        <v>21700</v>
      </c>
      <c r="DG198" s="76">
        <v>-4900</v>
      </c>
      <c r="DH198" s="76">
        <v>87500</v>
      </c>
      <c r="DI198" s="76">
        <v>63800</v>
      </c>
      <c r="DJ198" s="76">
        <v>1000</v>
      </c>
      <c r="DK198" s="76">
        <v>22700</v>
      </c>
      <c r="DL198" s="76">
        <v>0</v>
      </c>
      <c r="DM198" s="76">
        <v>0</v>
      </c>
      <c r="DN198" s="76">
        <v>0</v>
      </c>
      <c r="DO198" s="76">
        <v>0</v>
      </c>
      <c r="DP198" s="76">
        <v>0</v>
      </c>
      <c r="DQ198" s="76">
        <v>0</v>
      </c>
      <c r="DR198" s="76">
        <v>0</v>
      </c>
      <c r="DS198" s="76">
        <v>0</v>
      </c>
      <c r="DT198" s="76">
        <v>0</v>
      </c>
      <c r="DU198" s="76">
        <v>0</v>
      </c>
      <c r="DV198" s="76">
        <v>0</v>
      </c>
      <c r="DW198" s="76">
        <v>0</v>
      </c>
      <c r="DX198" s="76">
        <v>0</v>
      </c>
      <c r="DY198" s="76">
        <v>0</v>
      </c>
      <c r="DZ198" s="76">
        <v>0</v>
      </c>
      <c r="EA198" s="76">
        <v>0</v>
      </c>
      <c r="EB198" s="76">
        <v>4600</v>
      </c>
      <c r="EC198" s="76">
        <v>3700</v>
      </c>
      <c r="ED198" s="76">
        <v>4400</v>
      </c>
      <c r="EE198" s="76">
        <v>-3500</v>
      </c>
      <c r="EF198" s="76">
        <v>92100</v>
      </c>
      <c r="EG198" s="76">
        <v>67500</v>
      </c>
      <c r="EH198" s="76">
        <v>5400</v>
      </c>
      <c r="EI198" s="76">
        <v>19200</v>
      </c>
      <c r="EJ198" s="76">
        <v>115300</v>
      </c>
      <c r="EK198" s="76">
        <v>73900</v>
      </c>
      <c r="EL198" s="76">
        <v>27100</v>
      </c>
      <c r="EM198" s="76">
        <v>14300</v>
      </c>
      <c r="EN198" s="76">
        <v>16200</v>
      </c>
      <c r="EO198" s="76">
        <v>7200</v>
      </c>
      <c r="EP198" s="76">
        <v>5800</v>
      </c>
      <c r="EQ198" s="76">
        <v>7200</v>
      </c>
      <c r="ER198" s="76">
        <v>3369900</v>
      </c>
      <c r="ES198" s="76">
        <v>0</v>
      </c>
      <c r="ET198" s="76">
        <v>3369900</v>
      </c>
      <c r="EU198" s="76">
        <v>69100</v>
      </c>
      <c r="EV198" s="76">
        <v>-29000</v>
      </c>
      <c r="EW198" s="76">
        <v>243300</v>
      </c>
      <c r="EX198" s="76">
        <v>0</v>
      </c>
      <c r="EY198" s="76">
        <v>0</v>
      </c>
      <c r="EZ198" s="76">
        <v>3653300</v>
      </c>
      <c r="FA198" s="76">
        <v>577400</v>
      </c>
      <c r="FB198" s="76">
        <v>44200</v>
      </c>
      <c r="FC198" s="76">
        <v>-2000</v>
      </c>
      <c r="FD198" s="76">
        <v>0</v>
      </c>
      <c r="FE198" s="76">
        <v>-12100</v>
      </c>
      <c r="FF198" s="76">
        <v>0</v>
      </c>
      <c r="FG198" s="76">
        <v>0</v>
      </c>
      <c r="FH198" s="76">
        <v>607500</v>
      </c>
      <c r="FI198" s="76">
        <v>3045800</v>
      </c>
      <c r="FJ198" s="76">
        <v>2792500</v>
      </c>
      <c r="FK198" s="76">
        <v>13500</v>
      </c>
      <c r="FL198" s="76">
        <v>6900</v>
      </c>
      <c r="FM198" s="76">
        <v>6600</v>
      </c>
      <c r="FN198" s="76">
        <v>1600</v>
      </c>
      <c r="FO198" s="76">
        <v>700</v>
      </c>
      <c r="FP198" s="76">
        <v>900</v>
      </c>
      <c r="FQ198" s="76">
        <v>500</v>
      </c>
      <c r="FR198" s="76">
        <v>800</v>
      </c>
      <c r="FS198" s="76">
        <v>-300</v>
      </c>
      <c r="FT198" s="76">
        <v>4800</v>
      </c>
      <c r="FU198" s="76">
        <v>3900</v>
      </c>
      <c r="FV198" s="76">
        <v>900</v>
      </c>
      <c r="FW198" s="76">
        <v>0</v>
      </c>
      <c r="FX198" s="76">
        <v>0</v>
      </c>
      <c r="FY198" s="76">
        <v>0</v>
      </c>
      <c r="FZ198" s="76">
        <v>5400</v>
      </c>
      <c r="GA198" s="76">
        <v>3800</v>
      </c>
      <c r="GB198" s="76">
        <v>1600</v>
      </c>
      <c r="GC198" s="76">
        <v>25800</v>
      </c>
      <c r="GD198" s="76">
        <v>16100</v>
      </c>
      <c r="GE198" s="76">
        <v>9700</v>
      </c>
      <c r="GF198" s="76">
        <v>0</v>
      </c>
      <c r="GG198" s="76">
        <v>0</v>
      </c>
      <c r="GH198" s="76">
        <v>700</v>
      </c>
      <c r="GI198" s="76">
        <v>0</v>
      </c>
      <c r="GJ198" s="76">
        <v>0</v>
      </c>
      <c r="GK198" s="76">
        <v>20300</v>
      </c>
      <c r="GL198" s="76">
        <v>21000</v>
      </c>
      <c r="GM198" s="76">
        <v>15400</v>
      </c>
      <c r="GN198" s="76">
        <v>9200</v>
      </c>
      <c r="GO198" s="76">
        <v>0</v>
      </c>
      <c r="GP198" s="76">
        <v>7400</v>
      </c>
      <c r="GQ198" s="76">
        <v>300</v>
      </c>
      <c r="GR198" s="76">
        <v>43100</v>
      </c>
      <c r="GS198" s="76">
        <v>0</v>
      </c>
      <c r="GT198" s="76">
        <v>0</v>
      </c>
      <c r="GU198" s="76">
        <v>0</v>
      </c>
      <c r="GV198" s="76">
        <v>0</v>
      </c>
      <c r="GW198" s="76">
        <v>18300</v>
      </c>
      <c r="GX198" s="76">
        <v>93700</v>
      </c>
      <c r="GY198" s="76">
        <v>11300</v>
      </c>
      <c r="GZ198" s="76">
        <v>1100</v>
      </c>
      <c r="HA198" s="76">
        <v>0</v>
      </c>
      <c r="HB198" s="76">
        <v>900</v>
      </c>
      <c r="HC198" s="76">
        <v>13300</v>
      </c>
      <c r="HD198" s="76">
        <v>800</v>
      </c>
      <c r="HE198" s="76">
        <v>48400</v>
      </c>
      <c r="HF198" s="76">
        <v>49200</v>
      </c>
      <c r="HG198" s="76">
        <v>59900</v>
      </c>
      <c r="HH198" s="76">
        <v>-200</v>
      </c>
      <c r="HI198" s="76">
        <v>1000</v>
      </c>
      <c r="HJ198" s="76">
        <v>0</v>
      </c>
      <c r="HK198" s="76">
        <v>0</v>
      </c>
      <c r="HL198" s="76">
        <v>-2200</v>
      </c>
      <c r="HM198" s="76">
        <v>58500</v>
      </c>
      <c r="HN198" s="76">
        <v>20400</v>
      </c>
      <c r="HO198" s="76">
        <v>49100</v>
      </c>
      <c r="HP198" s="76">
        <v>-2000</v>
      </c>
      <c r="HQ198" s="76">
        <v>445</v>
      </c>
      <c r="HR198" s="76">
        <v>-252</v>
      </c>
      <c r="HS198" s="76">
        <v>5607</v>
      </c>
      <c r="HT198" s="76">
        <v>64482</v>
      </c>
      <c r="HU198" s="76">
        <v>129</v>
      </c>
      <c r="HV198" s="76">
        <v>0</v>
      </c>
      <c r="HW198" s="76">
        <v>37</v>
      </c>
      <c r="HX198" s="76">
        <v>881</v>
      </c>
    </row>
    <row r="199" spans="1:232" x14ac:dyDescent="0.2">
      <c r="A199" s="74" t="s">
        <v>750</v>
      </c>
      <c r="B199" s="74" t="s">
        <v>751</v>
      </c>
      <c r="C199" s="75" t="s">
        <v>200</v>
      </c>
      <c r="D199" s="75">
        <v>12</v>
      </c>
      <c r="E199" s="76">
        <v>34992</v>
      </c>
      <c r="F199" s="76">
        <v>-523</v>
      </c>
      <c r="G199" s="76">
        <v>-22642</v>
      </c>
      <c r="H199" s="76">
        <v>11827</v>
      </c>
      <c r="I199" s="76">
        <v>557</v>
      </c>
      <c r="J199" s="76">
        <v>0</v>
      </c>
      <c r="K199" s="76">
        <v>0</v>
      </c>
      <c r="L199" s="76">
        <v>0</v>
      </c>
      <c r="M199" s="76">
        <v>3</v>
      </c>
      <c r="N199" s="76">
        <v>-7119</v>
      </c>
      <c r="O199" s="76">
        <v>0</v>
      </c>
      <c r="P199" s="76">
        <v>0</v>
      </c>
      <c r="Q199" s="76">
        <v>0</v>
      </c>
      <c r="R199" s="76">
        <v>0</v>
      </c>
      <c r="S199" s="76">
        <v>5268</v>
      </c>
      <c r="T199" s="76">
        <v>0</v>
      </c>
      <c r="U199" s="76">
        <v>5268</v>
      </c>
      <c r="V199" s="76">
        <v>0</v>
      </c>
      <c r="W199" s="76">
        <v>398</v>
      </c>
      <c r="X199" s="76">
        <v>0</v>
      </c>
      <c r="Y199" s="76">
        <v>0</v>
      </c>
      <c r="Z199" s="76">
        <v>5666</v>
      </c>
      <c r="AA199" s="76">
        <v>32367</v>
      </c>
      <c r="AB199" s="76">
        <v>1091</v>
      </c>
      <c r="AC199" s="76">
        <v>33458</v>
      </c>
      <c r="AD199" s="76">
        <v>80</v>
      </c>
      <c r="AE199" s="76">
        <v>0</v>
      </c>
      <c r="AF199" s="76">
        <v>0</v>
      </c>
      <c r="AG199" s="76">
        <v>338</v>
      </c>
      <c r="AH199" s="76">
        <v>33876</v>
      </c>
      <c r="AI199" s="76">
        <v>3617</v>
      </c>
      <c r="AJ199" s="76">
        <v>1955</v>
      </c>
      <c r="AK199" s="76">
        <v>3511</v>
      </c>
      <c r="AL199" s="76">
        <v>2104</v>
      </c>
      <c r="AM199" s="76">
        <v>4708</v>
      </c>
      <c r="AN199" s="76">
        <v>11</v>
      </c>
      <c r="AO199" s="76">
        <v>5572</v>
      </c>
      <c r="AP199" s="76">
        <v>0</v>
      </c>
      <c r="AQ199" s="76">
        <v>12</v>
      </c>
      <c r="AR199" s="76">
        <v>21490</v>
      </c>
      <c r="AS199" s="76">
        <v>12386</v>
      </c>
      <c r="AT199" s="76">
        <v>285</v>
      </c>
      <c r="AU199" s="76">
        <v>282489</v>
      </c>
      <c r="AV199" s="76">
        <v>0</v>
      </c>
      <c r="AW199" s="76">
        <v>3461</v>
      </c>
      <c r="AX199" s="76">
        <v>541</v>
      </c>
      <c r="AY199" s="76">
        <v>0</v>
      </c>
      <c r="AZ199" s="76">
        <v>0</v>
      </c>
      <c r="BA199" s="76">
        <v>0</v>
      </c>
      <c r="BB199" s="76">
        <v>0</v>
      </c>
      <c r="BC199" s="76">
        <v>0</v>
      </c>
      <c r="BD199" s="76">
        <v>0</v>
      </c>
      <c r="BE199" s="76">
        <v>286491</v>
      </c>
      <c r="BF199" s="76">
        <v>2383</v>
      </c>
      <c r="BG199" s="76">
        <v>2183</v>
      </c>
      <c r="BH199" s="76">
        <v>8457</v>
      </c>
      <c r="BI199" s="76">
        <v>0</v>
      </c>
      <c r="BJ199" s="76">
        <v>150</v>
      </c>
      <c r="BK199" s="76">
        <v>13173</v>
      </c>
      <c r="BL199" s="76">
        <v>0</v>
      </c>
      <c r="BM199" s="76">
        <v>0</v>
      </c>
      <c r="BN199" s="76">
        <v>104</v>
      </c>
      <c r="BO199" s="76">
        <v>10368</v>
      </c>
      <c r="BP199" s="76">
        <v>10472</v>
      </c>
      <c r="BQ199" s="76">
        <v>2701</v>
      </c>
      <c r="BR199" s="76">
        <v>289192</v>
      </c>
      <c r="BS199" s="76">
        <v>155839</v>
      </c>
      <c r="BT199" s="76">
        <v>0</v>
      </c>
      <c r="BU199" s="76">
        <v>0</v>
      </c>
      <c r="BV199" s="76">
        <v>10614</v>
      </c>
      <c r="BW199" s="76">
        <v>0</v>
      </c>
      <c r="BX199" s="76">
        <v>0</v>
      </c>
      <c r="BY199" s="76">
        <v>432</v>
      </c>
      <c r="BZ199" s="76">
        <v>166885</v>
      </c>
      <c r="CA199" s="76">
        <v>3680</v>
      </c>
      <c r="CB199" s="76">
        <v>0</v>
      </c>
      <c r="CC199" s="76">
        <v>118627</v>
      </c>
      <c r="CD199" s="76">
        <v>29932</v>
      </c>
      <c r="CE199" s="76">
        <v>88695</v>
      </c>
      <c r="CF199" s="76">
        <v>0</v>
      </c>
      <c r="CG199" s="76">
        <v>0</v>
      </c>
      <c r="CH199" s="76">
        <v>0</v>
      </c>
      <c r="CI199" s="76">
        <v>118627</v>
      </c>
      <c r="CJ199" s="76">
        <v>867</v>
      </c>
      <c r="CK199" s="76">
        <v>523</v>
      </c>
      <c r="CL199" s="76">
        <v>0</v>
      </c>
      <c r="CM199" s="76">
        <v>344</v>
      </c>
      <c r="CN199" s="76">
        <v>249</v>
      </c>
      <c r="CO199" s="76">
        <v>0</v>
      </c>
      <c r="CP199" s="76">
        <v>249</v>
      </c>
      <c r="CQ199" s="76">
        <v>0</v>
      </c>
      <c r="CR199" s="76">
        <v>0</v>
      </c>
      <c r="CS199" s="76">
        <v>0</v>
      </c>
      <c r="CT199" s="76">
        <v>0</v>
      </c>
      <c r="CU199" s="76">
        <v>0</v>
      </c>
      <c r="CV199" s="76">
        <v>0</v>
      </c>
      <c r="CW199" s="76">
        <v>0</v>
      </c>
      <c r="CX199" s="76">
        <v>0</v>
      </c>
      <c r="CY199" s="76">
        <v>0</v>
      </c>
      <c r="CZ199" s="76">
        <v>0</v>
      </c>
      <c r="DA199" s="76">
        <v>0</v>
      </c>
      <c r="DB199" s="76">
        <v>707</v>
      </c>
      <c r="DC199" s="76">
        <v>-707</v>
      </c>
      <c r="DD199" s="76">
        <v>1116</v>
      </c>
      <c r="DE199" s="76">
        <v>523</v>
      </c>
      <c r="DF199" s="76">
        <v>956</v>
      </c>
      <c r="DG199" s="76">
        <v>-363</v>
      </c>
      <c r="DH199" s="76">
        <v>0</v>
      </c>
      <c r="DI199" s="76">
        <v>0</v>
      </c>
      <c r="DJ199" s="76">
        <v>0</v>
      </c>
      <c r="DK199" s="76">
        <v>0</v>
      </c>
      <c r="DL199" s="76">
        <v>0</v>
      </c>
      <c r="DM199" s="76">
        <v>0</v>
      </c>
      <c r="DN199" s="76">
        <v>0</v>
      </c>
      <c r="DO199" s="76">
        <v>0</v>
      </c>
      <c r="DP199" s="76">
        <v>0</v>
      </c>
      <c r="DQ199" s="76">
        <v>0</v>
      </c>
      <c r="DR199" s="76">
        <v>0</v>
      </c>
      <c r="DS199" s="76">
        <v>0</v>
      </c>
      <c r="DT199" s="76">
        <v>0</v>
      </c>
      <c r="DU199" s="76">
        <v>0</v>
      </c>
      <c r="DV199" s="76">
        <v>0</v>
      </c>
      <c r="DW199" s="76">
        <v>0</v>
      </c>
      <c r="DX199" s="76">
        <v>0</v>
      </c>
      <c r="DY199" s="76">
        <v>0</v>
      </c>
      <c r="DZ199" s="76">
        <v>0</v>
      </c>
      <c r="EA199" s="76">
        <v>0</v>
      </c>
      <c r="EB199" s="76">
        <v>0</v>
      </c>
      <c r="EC199" s="76">
        <v>0</v>
      </c>
      <c r="ED199" s="76">
        <v>196</v>
      </c>
      <c r="EE199" s="76">
        <v>-196</v>
      </c>
      <c r="EF199" s="76">
        <v>0</v>
      </c>
      <c r="EG199" s="76">
        <v>0</v>
      </c>
      <c r="EH199" s="76">
        <v>196</v>
      </c>
      <c r="EI199" s="76">
        <v>-196</v>
      </c>
      <c r="EJ199" s="76">
        <v>1116</v>
      </c>
      <c r="EK199" s="76">
        <v>523</v>
      </c>
      <c r="EL199" s="76">
        <v>1152</v>
      </c>
      <c r="EM199" s="76">
        <v>-559</v>
      </c>
      <c r="EN199" s="76">
        <v>1174</v>
      </c>
      <c r="EO199" s="76">
        <v>167</v>
      </c>
      <c r="EP199" s="76">
        <v>188</v>
      </c>
      <c r="EQ199" s="76">
        <v>167</v>
      </c>
      <c r="ER199" s="76">
        <v>294576</v>
      </c>
      <c r="ES199" s="76">
        <v>0</v>
      </c>
      <c r="ET199" s="76">
        <v>294576</v>
      </c>
      <c r="EU199" s="76">
        <v>24175</v>
      </c>
      <c r="EV199" s="76">
        <v>-2411</v>
      </c>
      <c r="EW199" s="76">
        <v>0</v>
      </c>
      <c r="EX199" s="76">
        <v>0</v>
      </c>
      <c r="EY199" s="76">
        <v>0</v>
      </c>
      <c r="EZ199" s="76">
        <v>316340</v>
      </c>
      <c r="FA199" s="76">
        <v>28901</v>
      </c>
      <c r="FB199" s="76">
        <v>5572</v>
      </c>
      <c r="FC199" s="76">
        <v>0</v>
      </c>
      <c r="FD199" s="76">
        <v>0</v>
      </c>
      <c r="FE199" s="76">
        <v>-622</v>
      </c>
      <c r="FF199" s="76">
        <v>0</v>
      </c>
      <c r="FG199" s="76">
        <v>0</v>
      </c>
      <c r="FH199" s="76">
        <v>33851</v>
      </c>
      <c r="FI199" s="76">
        <v>282489</v>
      </c>
      <c r="FJ199" s="76">
        <v>265675</v>
      </c>
      <c r="FK199" s="76">
        <v>203</v>
      </c>
      <c r="FL199" s="76">
        <v>126</v>
      </c>
      <c r="FM199" s="76">
        <v>77</v>
      </c>
      <c r="FN199" s="76">
        <v>2135</v>
      </c>
      <c r="FO199" s="76">
        <v>2810</v>
      </c>
      <c r="FP199" s="76">
        <v>-675</v>
      </c>
      <c r="FQ199" s="76">
        <v>453</v>
      </c>
      <c r="FR199" s="76">
        <v>576</v>
      </c>
      <c r="FS199" s="76">
        <v>-123</v>
      </c>
      <c r="FT199" s="76">
        <v>1521</v>
      </c>
      <c r="FU199" s="76">
        <v>307</v>
      </c>
      <c r="FV199" s="76">
        <v>1214</v>
      </c>
      <c r="FW199" s="76">
        <v>0</v>
      </c>
      <c r="FX199" s="76">
        <v>0</v>
      </c>
      <c r="FY199" s="76">
        <v>0</v>
      </c>
      <c r="FZ199" s="76">
        <v>67</v>
      </c>
      <c r="GA199" s="76">
        <v>3</v>
      </c>
      <c r="GB199" s="76">
        <v>64</v>
      </c>
      <c r="GC199" s="76">
        <v>4379</v>
      </c>
      <c r="GD199" s="76">
        <v>3822</v>
      </c>
      <c r="GE199" s="76">
        <v>557</v>
      </c>
      <c r="GF199" s="76">
        <v>0</v>
      </c>
      <c r="GG199" s="76">
        <v>0</v>
      </c>
      <c r="GH199" s="76">
        <v>0</v>
      </c>
      <c r="GI199" s="76">
        <v>0</v>
      </c>
      <c r="GJ199" s="76">
        <v>0</v>
      </c>
      <c r="GK199" s="76">
        <v>150</v>
      </c>
      <c r="GL199" s="76">
        <v>150</v>
      </c>
      <c r="GM199" s="76">
        <v>1415</v>
      </c>
      <c r="GN199" s="76">
        <v>502</v>
      </c>
      <c r="GO199" s="76">
        <v>0</v>
      </c>
      <c r="GP199" s="76">
        <v>0</v>
      </c>
      <c r="GQ199" s="76">
        <v>0</v>
      </c>
      <c r="GR199" s="76">
        <v>6915</v>
      </c>
      <c r="GS199" s="76">
        <v>0</v>
      </c>
      <c r="GT199" s="76">
        <v>0</v>
      </c>
      <c r="GU199" s="76">
        <v>0</v>
      </c>
      <c r="GV199" s="76">
        <v>0</v>
      </c>
      <c r="GW199" s="76">
        <v>1536</v>
      </c>
      <c r="GX199" s="76">
        <v>10368</v>
      </c>
      <c r="GY199" s="76">
        <v>15</v>
      </c>
      <c r="GZ199" s="76">
        <v>417</v>
      </c>
      <c r="HA199" s="76">
        <v>0</v>
      </c>
      <c r="HB199" s="76">
        <v>0</v>
      </c>
      <c r="HC199" s="76">
        <v>432</v>
      </c>
      <c r="HD199" s="76">
        <v>0</v>
      </c>
      <c r="HE199" s="76">
        <v>0</v>
      </c>
      <c r="HF199" s="76">
        <v>0</v>
      </c>
      <c r="HG199" s="76">
        <v>6847</v>
      </c>
      <c r="HH199" s="76">
        <v>0</v>
      </c>
      <c r="HI199" s="76">
        <v>0</v>
      </c>
      <c r="HJ199" s="76">
        <v>0</v>
      </c>
      <c r="HK199" s="76">
        <v>768</v>
      </c>
      <c r="HL199" s="76">
        <v>-496</v>
      </c>
      <c r="HM199" s="76">
        <v>7119</v>
      </c>
      <c r="HN199" s="76">
        <v>4039</v>
      </c>
      <c r="HO199" s="76">
        <v>5762</v>
      </c>
      <c r="HP199" s="76">
        <v>0</v>
      </c>
      <c r="HQ199" s="76">
        <v>166</v>
      </c>
      <c r="HR199" s="76">
        <v>-91</v>
      </c>
      <c r="HS199" s="76">
        <v>-4</v>
      </c>
      <c r="HT199" s="76">
        <v>6244</v>
      </c>
      <c r="HU199" s="76">
        <v>0</v>
      </c>
      <c r="HV199" s="76">
        <v>0</v>
      </c>
      <c r="HW199" s="76">
        <v>0</v>
      </c>
      <c r="HX199" s="76">
        <v>0</v>
      </c>
    </row>
    <row r="200" spans="1:232" x14ac:dyDescent="0.2">
      <c r="A200" s="74" t="s">
        <v>752</v>
      </c>
      <c r="B200" s="74" t="s">
        <v>753</v>
      </c>
      <c r="C200" s="75" t="s">
        <v>200</v>
      </c>
      <c r="D200" s="75">
        <v>12</v>
      </c>
      <c r="E200" s="76">
        <v>62399</v>
      </c>
      <c r="F200" s="76">
        <v>-2143</v>
      </c>
      <c r="G200" s="76">
        <v>-40236</v>
      </c>
      <c r="H200" s="76">
        <v>20020</v>
      </c>
      <c r="I200" s="76">
        <v>1410</v>
      </c>
      <c r="J200" s="76">
        <v>0</v>
      </c>
      <c r="K200" s="76">
        <v>0</v>
      </c>
      <c r="L200" s="76">
        <v>-117</v>
      </c>
      <c r="M200" s="76">
        <v>61</v>
      </c>
      <c r="N200" s="76">
        <v>-14087</v>
      </c>
      <c r="O200" s="76">
        <v>-832</v>
      </c>
      <c r="P200" s="76">
        <v>0</v>
      </c>
      <c r="Q200" s="76">
        <v>0</v>
      </c>
      <c r="R200" s="76">
        <v>0</v>
      </c>
      <c r="S200" s="76">
        <v>6455</v>
      </c>
      <c r="T200" s="76">
        <v>-13</v>
      </c>
      <c r="U200" s="76">
        <v>6442</v>
      </c>
      <c r="V200" s="76">
        <v>0</v>
      </c>
      <c r="W200" s="76">
        <v>-3066</v>
      </c>
      <c r="X200" s="76">
        <v>0</v>
      </c>
      <c r="Y200" s="76">
        <v>0</v>
      </c>
      <c r="Z200" s="76">
        <v>3376</v>
      </c>
      <c r="AA200" s="76">
        <v>50734</v>
      </c>
      <c r="AB200" s="76">
        <v>4095</v>
      </c>
      <c r="AC200" s="76">
        <v>54829</v>
      </c>
      <c r="AD200" s="76">
        <v>939</v>
      </c>
      <c r="AE200" s="76">
        <v>0</v>
      </c>
      <c r="AF200" s="76">
        <v>0</v>
      </c>
      <c r="AG200" s="76">
        <v>0</v>
      </c>
      <c r="AH200" s="76">
        <v>55768</v>
      </c>
      <c r="AI200" s="76">
        <v>13728</v>
      </c>
      <c r="AJ200" s="76">
        <v>2852</v>
      </c>
      <c r="AK200" s="76">
        <v>5460</v>
      </c>
      <c r="AL200" s="76">
        <v>7131</v>
      </c>
      <c r="AM200" s="76">
        <v>0</v>
      </c>
      <c r="AN200" s="76">
        <v>133</v>
      </c>
      <c r="AO200" s="76">
        <v>8568</v>
      </c>
      <c r="AP200" s="76">
        <v>62</v>
      </c>
      <c r="AQ200" s="76">
        <v>0</v>
      </c>
      <c r="AR200" s="76">
        <v>37934</v>
      </c>
      <c r="AS200" s="76">
        <v>17834</v>
      </c>
      <c r="AT200" s="76">
        <v>374</v>
      </c>
      <c r="AU200" s="76">
        <v>333493</v>
      </c>
      <c r="AV200" s="76">
        <v>0</v>
      </c>
      <c r="AW200" s="76">
        <v>7101</v>
      </c>
      <c r="AX200" s="76">
        <v>75</v>
      </c>
      <c r="AY200" s="76">
        <v>0</v>
      </c>
      <c r="AZ200" s="76">
        <v>12953</v>
      </c>
      <c r="BA200" s="76">
        <v>0</v>
      </c>
      <c r="BB200" s="76">
        <v>0</v>
      </c>
      <c r="BC200" s="76">
        <v>0</v>
      </c>
      <c r="BD200" s="76">
        <v>0</v>
      </c>
      <c r="BE200" s="76">
        <v>353622</v>
      </c>
      <c r="BF200" s="76">
        <v>1976</v>
      </c>
      <c r="BG200" s="76">
        <v>1770</v>
      </c>
      <c r="BH200" s="76">
        <v>8234</v>
      </c>
      <c r="BI200" s="76">
        <v>7</v>
      </c>
      <c r="BJ200" s="76">
        <v>780</v>
      </c>
      <c r="BK200" s="76">
        <v>12767</v>
      </c>
      <c r="BL200" s="76">
        <v>292</v>
      </c>
      <c r="BM200" s="76">
        <v>0</v>
      </c>
      <c r="BN200" s="76">
        <v>1837</v>
      </c>
      <c r="BO200" s="76">
        <v>7728</v>
      </c>
      <c r="BP200" s="76">
        <v>9857</v>
      </c>
      <c r="BQ200" s="76">
        <v>2910</v>
      </c>
      <c r="BR200" s="76">
        <v>356532</v>
      </c>
      <c r="BS200" s="76">
        <v>257812</v>
      </c>
      <c r="BT200" s="76">
        <v>0</v>
      </c>
      <c r="BU200" s="76">
        <v>9</v>
      </c>
      <c r="BV200" s="76">
        <v>56370</v>
      </c>
      <c r="BW200" s="76">
        <v>0</v>
      </c>
      <c r="BX200" s="76">
        <v>0</v>
      </c>
      <c r="BY200" s="76">
        <v>2498</v>
      </c>
      <c r="BZ200" s="76">
        <v>316689</v>
      </c>
      <c r="CA200" s="76">
        <v>21121</v>
      </c>
      <c r="CB200" s="76">
        <v>0</v>
      </c>
      <c r="CC200" s="76">
        <v>18722</v>
      </c>
      <c r="CD200" s="76">
        <v>16034</v>
      </c>
      <c r="CE200" s="76">
        <v>0</v>
      </c>
      <c r="CF200" s="76">
        <v>2688</v>
      </c>
      <c r="CG200" s="76">
        <v>0</v>
      </c>
      <c r="CH200" s="76">
        <v>0</v>
      </c>
      <c r="CI200" s="76">
        <v>18722</v>
      </c>
      <c r="CJ200" s="76">
        <v>1653</v>
      </c>
      <c r="CK200" s="76">
        <v>1289</v>
      </c>
      <c r="CL200" s="76">
        <v>17</v>
      </c>
      <c r="CM200" s="76">
        <v>347</v>
      </c>
      <c r="CN200" s="76">
        <v>0</v>
      </c>
      <c r="CO200" s="76">
        <v>0</v>
      </c>
      <c r="CP200" s="76">
        <v>0</v>
      </c>
      <c r="CQ200" s="76">
        <v>0</v>
      </c>
      <c r="CR200" s="76">
        <v>0</v>
      </c>
      <c r="CS200" s="76">
        <v>0</v>
      </c>
      <c r="CT200" s="76">
        <v>0</v>
      </c>
      <c r="CU200" s="76">
        <v>0</v>
      </c>
      <c r="CV200" s="76">
        <v>0</v>
      </c>
      <c r="CW200" s="76">
        <v>0</v>
      </c>
      <c r="CX200" s="76">
        <v>0</v>
      </c>
      <c r="CY200" s="76">
        <v>0</v>
      </c>
      <c r="CZ200" s="76">
        <v>1479</v>
      </c>
      <c r="DA200" s="76">
        <v>0</v>
      </c>
      <c r="DB200" s="76">
        <v>1058</v>
      </c>
      <c r="DC200" s="76">
        <v>421</v>
      </c>
      <c r="DD200" s="76">
        <v>3132</v>
      </c>
      <c r="DE200" s="76">
        <v>1289</v>
      </c>
      <c r="DF200" s="76">
        <v>1075</v>
      </c>
      <c r="DG200" s="76">
        <v>768</v>
      </c>
      <c r="DH200" s="76">
        <v>1063</v>
      </c>
      <c r="DI200" s="76">
        <v>854</v>
      </c>
      <c r="DJ200" s="76">
        <v>7</v>
      </c>
      <c r="DK200" s="76">
        <v>202</v>
      </c>
      <c r="DL200" s="76">
        <v>0</v>
      </c>
      <c r="DM200" s="76">
        <v>0</v>
      </c>
      <c r="DN200" s="76">
        <v>0</v>
      </c>
      <c r="DO200" s="76">
        <v>0</v>
      </c>
      <c r="DP200" s="76">
        <v>0</v>
      </c>
      <c r="DQ200" s="76">
        <v>0</v>
      </c>
      <c r="DR200" s="76">
        <v>0</v>
      </c>
      <c r="DS200" s="76">
        <v>0</v>
      </c>
      <c r="DT200" s="76">
        <v>884</v>
      </c>
      <c r="DU200" s="76">
        <v>0</v>
      </c>
      <c r="DV200" s="76">
        <v>106</v>
      </c>
      <c r="DW200" s="76">
        <v>778</v>
      </c>
      <c r="DX200" s="76">
        <v>0</v>
      </c>
      <c r="DY200" s="76">
        <v>0</v>
      </c>
      <c r="DZ200" s="76">
        <v>0</v>
      </c>
      <c r="EA200" s="76">
        <v>0</v>
      </c>
      <c r="EB200" s="76">
        <v>1552</v>
      </c>
      <c r="EC200" s="76">
        <v>0</v>
      </c>
      <c r="ED200" s="76">
        <v>1113</v>
      </c>
      <c r="EE200" s="76">
        <v>439</v>
      </c>
      <c r="EF200" s="76">
        <v>3499</v>
      </c>
      <c r="EG200" s="76">
        <v>854</v>
      </c>
      <c r="EH200" s="76">
        <v>1226</v>
      </c>
      <c r="EI200" s="76">
        <v>1419</v>
      </c>
      <c r="EJ200" s="76">
        <v>6631</v>
      </c>
      <c r="EK200" s="76">
        <v>2143</v>
      </c>
      <c r="EL200" s="76">
        <v>2301</v>
      </c>
      <c r="EM200" s="76">
        <v>2187</v>
      </c>
      <c r="EN200" s="76">
        <v>756</v>
      </c>
      <c r="EO200" s="76">
        <v>363</v>
      </c>
      <c r="EP200" s="76">
        <v>96</v>
      </c>
      <c r="EQ200" s="76">
        <v>46</v>
      </c>
      <c r="ER200" s="76">
        <v>377424</v>
      </c>
      <c r="ES200" s="76">
        <v>0</v>
      </c>
      <c r="ET200" s="76">
        <v>377424</v>
      </c>
      <c r="EU200" s="76">
        <v>29490</v>
      </c>
      <c r="EV200" s="76">
        <v>-2212</v>
      </c>
      <c r="EW200" s="76">
        <v>0</v>
      </c>
      <c r="EX200" s="76">
        <v>0</v>
      </c>
      <c r="EY200" s="76">
        <v>-1600</v>
      </c>
      <c r="EZ200" s="76">
        <v>403102</v>
      </c>
      <c r="FA200" s="76">
        <v>62119</v>
      </c>
      <c r="FB200" s="76">
        <v>8190</v>
      </c>
      <c r="FC200" s="76">
        <v>62</v>
      </c>
      <c r="FD200" s="76">
        <v>0</v>
      </c>
      <c r="FE200" s="76">
        <v>-766</v>
      </c>
      <c r="FF200" s="76">
        <v>0</v>
      </c>
      <c r="FG200" s="76">
        <v>0</v>
      </c>
      <c r="FH200" s="76">
        <v>69605</v>
      </c>
      <c r="FI200" s="76">
        <v>333497</v>
      </c>
      <c r="FJ200" s="76">
        <v>315305</v>
      </c>
      <c r="FK200" s="76">
        <v>109</v>
      </c>
      <c r="FL200" s="76">
        <v>102</v>
      </c>
      <c r="FM200" s="76">
        <v>7</v>
      </c>
      <c r="FN200" s="76">
        <v>1658</v>
      </c>
      <c r="FO200" s="76">
        <v>527</v>
      </c>
      <c r="FP200" s="76">
        <v>1131</v>
      </c>
      <c r="FQ200" s="76">
        <v>146</v>
      </c>
      <c r="FR200" s="76">
        <v>30</v>
      </c>
      <c r="FS200" s="76">
        <v>116</v>
      </c>
      <c r="FT200" s="76">
        <v>178</v>
      </c>
      <c r="FU200" s="76">
        <v>35</v>
      </c>
      <c r="FV200" s="76">
        <v>143</v>
      </c>
      <c r="FW200" s="76">
        <v>0</v>
      </c>
      <c r="FX200" s="76">
        <v>0</v>
      </c>
      <c r="FY200" s="76">
        <v>0</v>
      </c>
      <c r="FZ200" s="76">
        <v>65</v>
      </c>
      <c r="GA200" s="76">
        <v>52</v>
      </c>
      <c r="GB200" s="76">
        <v>13</v>
      </c>
      <c r="GC200" s="76">
        <v>2156</v>
      </c>
      <c r="GD200" s="76">
        <v>746</v>
      </c>
      <c r="GE200" s="76">
        <v>1410</v>
      </c>
      <c r="GF200" s="76">
        <v>0</v>
      </c>
      <c r="GG200" s="76">
        <v>0</v>
      </c>
      <c r="GH200" s="76">
        <v>0</v>
      </c>
      <c r="GI200" s="76">
        <v>0</v>
      </c>
      <c r="GJ200" s="76">
        <v>0</v>
      </c>
      <c r="GK200" s="76">
        <v>780</v>
      </c>
      <c r="GL200" s="76">
        <v>780</v>
      </c>
      <c r="GM200" s="76">
        <v>422</v>
      </c>
      <c r="GN200" s="76">
        <v>1145</v>
      </c>
      <c r="GO200" s="76">
        <v>0</v>
      </c>
      <c r="GP200" s="76">
        <v>0</v>
      </c>
      <c r="GQ200" s="76">
        <v>0</v>
      </c>
      <c r="GR200" s="76">
        <v>3291</v>
      </c>
      <c r="GS200" s="76">
        <v>25</v>
      </c>
      <c r="GT200" s="76">
        <v>0</v>
      </c>
      <c r="GU200" s="76">
        <v>317</v>
      </c>
      <c r="GV200" s="76">
        <v>0</v>
      </c>
      <c r="GW200" s="76">
        <v>2528</v>
      </c>
      <c r="GX200" s="76">
        <v>7728</v>
      </c>
      <c r="GY200" s="76">
        <v>153</v>
      </c>
      <c r="GZ200" s="76">
        <v>0</v>
      </c>
      <c r="HA200" s="76">
        <v>1813</v>
      </c>
      <c r="HB200" s="76">
        <v>532</v>
      </c>
      <c r="HC200" s="76">
        <v>2498</v>
      </c>
      <c r="HD200" s="76">
        <v>0</v>
      </c>
      <c r="HE200" s="76">
        <v>0</v>
      </c>
      <c r="HF200" s="76">
        <v>0</v>
      </c>
      <c r="HG200" s="76">
        <v>13490</v>
      </c>
      <c r="HH200" s="76">
        <v>0</v>
      </c>
      <c r="HI200" s="76">
        <v>652</v>
      </c>
      <c r="HJ200" s="76">
        <v>0</v>
      </c>
      <c r="HK200" s="76">
        <v>364</v>
      </c>
      <c r="HL200" s="76">
        <v>-419</v>
      </c>
      <c r="HM200" s="76">
        <v>14087</v>
      </c>
      <c r="HN200" s="76">
        <v>6557</v>
      </c>
      <c r="HO200" s="76">
        <v>9252</v>
      </c>
      <c r="HP200" s="76">
        <v>62</v>
      </c>
      <c r="HQ200" s="76">
        <v>200</v>
      </c>
      <c r="HR200" s="76">
        <v>-37</v>
      </c>
      <c r="HS200" s="76">
        <v>2</v>
      </c>
      <c r="HT200" s="76">
        <v>11749</v>
      </c>
      <c r="HU200" s="76">
        <v>4</v>
      </c>
      <c r="HV200" s="76">
        <v>0</v>
      </c>
      <c r="HW200" s="76">
        <v>-1</v>
      </c>
      <c r="HX200" s="76">
        <v>106</v>
      </c>
    </row>
    <row r="201" spans="1:232" x14ac:dyDescent="0.2">
      <c r="A201" s="74" t="s">
        <v>754</v>
      </c>
      <c r="B201" s="74" t="s">
        <v>755</v>
      </c>
      <c r="C201" s="75" t="s">
        <v>200</v>
      </c>
      <c r="D201" s="75">
        <v>12</v>
      </c>
      <c r="E201" s="76">
        <v>9874</v>
      </c>
      <c r="F201" s="76">
        <v>0</v>
      </c>
      <c r="G201" s="76">
        <v>-7140</v>
      </c>
      <c r="H201" s="76">
        <v>2734</v>
      </c>
      <c r="I201" s="76">
        <v>189</v>
      </c>
      <c r="J201" s="76">
        <v>0</v>
      </c>
      <c r="K201" s="76">
        <v>0</v>
      </c>
      <c r="L201" s="76">
        <v>0</v>
      </c>
      <c r="M201" s="76">
        <v>26</v>
      </c>
      <c r="N201" s="76">
        <v>-614</v>
      </c>
      <c r="O201" s="76">
        <v>271</v>
      </c>
      <c r="P201" s="76">
        <v>0</v>
      </c>
      <c r="Q201" s="76">
        <v>0</v>
      </c>
      <c r="R201" s="76">
        <v>0</v>
      </c>
      <c r="S201" s="76">
        <v>2606</v>
      </c>
      <c r="T201" s="76">
        <v>0</v>
      </c>
      <c r="U201" s="76">
        <v>2606</v>
      </c>
      <c r="V201" s="76">
        <v>0</v>
      </c>
      <c r="W201" s="76">
        <v>746</v>
      </c>
      <c r="X201" s="76">
        <v>0</v>
      </c>
      <c r="Y201" s="76">
        <v>0</v>
      </c>
      <c r="Z201" s="76">
        <v>3352</v>
      </c>
      <c r="AA201" s="76">
        <v>7245</v>
      </c>
      <c r="AB201" s="76">
        <v>1754</v>
      </c>
      <c r="AC201" s="76">
        <v>8999</v>
      </c>
      <c r="AD201" s="76">
        <v>625</v>
      </c>
      <c r="AE201" s="76">
        <v>0</v>
      </c>
      <c r="AF201" s="76">
        <v>0</v>
      </c>
      <c r="AG201" s="76">
        <v>0</v>
      </c>
      <c r="AH201" s="76">
        <v>9624</v>
      </c>
      <c r="AI201" s="76">
        <v>1449</v>
      </c>
      <c r="AJ201" s="76">
        <v>1755</v>
      </c>
      <c r="AK201" s="76">
        <v>1694</v>
      </c>
      <c r="AL201" s="76">
        <v>237</v>
      </c>
      <c r="AM201" s="76">
        <v>479</v>
      </c>
      <c r="AN201" s="76">
        <v>20</v>
      </c>
      <c r="AO201" s="76">
        <v>1175</v>
      </c>
      <c r="AP201" s="76">
        <v>0</v>
      </c>
      <c r="AQ201" s="76">
        <v>0</v>
      </c>
      <c r="AR201" s="76">
        <v>6809</v>
      </c>
      <c r="AS201" s="76">
        <v>2815</v>
      </c>
      <c r="AT201" s="76">
        <v>98</v>
      </c>
      <c r="AU201" s="76">
        <v>62564</v>
      </c>
      <c r="AV201" s="76">
        <v>0</v>
      </c>
      <c r="AW201" s="76">
        <v>361</v>
      </c>
      <c r="AX201" s="76">
        <v>0</v>
      </c>
      <c r="AY201" s="76">
        <v>0</v>
      </c>
      <c r="AZ201" s="76">
        <v>2717</v>
      </c>
      <c r="BA201" s="76">
        <v>0</v>
      </c>
      <c r="BB201" s="76">
        <v>0</v>
      </c>
      <c r="BC201" s="76">
        <v>0</v>
      </c>
      <c r="BD201" s="76">
        <v>1423</v>
      </c>
      <c r="BE201" s="76">
        <v>67065</v>
      </c>
      <c r="BF201" s="76">
        <v>232</v>
      </c>
      <c r="BG201" s="76">
        <v>349</v>
      </c>
      <c r="BH201" s="76">
        <v>1606</v>
      </c>
      <c r="BI201" s="76">
        <v>1000</v>
      </c>
      <c r="BJ201" s="76">
        <v>132</v>
      </c>
      <c r="BK201" s="76">
        <v>3319</v>
      </c>
      <c r="BL201" s="76">
        <v>154</v>
      </c>
      <c r="BM201" s="76">
        <v>0</v>
      </c>
      <c r="BN201" s="76">
        <v>609</v>
      </c>
      <c r="BO201" s="76">
        <v>931</v>
      </c>
      <c r="BP201" s="76">
        <v>1694</v>
      </c>
      <c r="BQ201" s="76">
        <v>1625</v>
      </c>
      <c r="BR201" s="76">
        <v>68690</v>
      </c>
      <c r="BS201" s="76">
        <v>9309</v>
      </c>
      <c r="BT201" s="76">
        <v>0</v>
      </c>
      <c r="BU201" s="76">
        <v>0</v>
      </c>
      <c r="BV201" s="76">
        <v>29794</v>
      </c>
      <c r="BW201" s="76">
        <v>0</v>
      </c>
      <c r="BX201" s="76">
        <v>0</v>
      </c>
      <c r="BY201" s="76">
        <v>144</v>
      </c>
      <c r="BZ201" s="76">
        <v>39247</v>
      </c>
      <c r="CA201" s="76">
        <v>0</v>
      </c>
      <c r="CB201" s="76">
        <v>0</v>
      </c>
      <c r="CC201" s="76">
        <v>29443</v>
      </c>
      <c r="CD201" s="76">
        <v>29443</v>
      </c>
      <c r="CE201" s="76">
        <v>0</v>
      </c>
      <c r="CF201" s="76">
        <v>0</v>
      </c>
      <c r="CG201" s="76">
        <v>0</v>
      </c>
      <c r="CH201" s="76">
        <v>0</v>
      </c>
      <c r="CI201" s="76">
        <v>29443</v>
      </c>
      <c r="CJ201" s="76">
        <v>0</v>
      </c>
      <c r="CK201" s="76">
        <v>0</v>
      </c>
      <c r="CL201" s="76">
        <v>0</v>
      </c>
      <c r="CM201" s="76">
        <v>0</v>
      </c>
      <c r="CN201" s="76">
        <v>0</v>
      </c>
      <c r="CO201" s="76">
        <v>0</v>
      </c>
      <c r="CP201" s="76">
        <v>0</v>
      </c>
      <c r="CQ201" s="76">
        <v>0</v>
      </c>
      <c r="CR201" s="76">
        <v>0</v>
      </c>
      <c r="CS201" s="76">
        <v>0</v>
      </c>
      <c r="CT201" s="76">
        <v>73</v>
      </c>
      <c r="CU201" s="76">
        <v>-73</v>
      </c>
      <c r="CV201" s="76">
        <v>0</v>
      </c>
      <c r="CW201" s="76">
        <v>0</v>
      </c>
      <c r="CX201" s="76">
        <v>177</v>
      </c>
      <c r="CY201" s="76">
        <v>-177</v>
      </c>
      <c r="CZ201" s="76">
        <v>0</v>
      </c>
      <c r="DA201" s="76">
        <v>0</v>
      </c>
      <c r="DB201" s="76">
        <v>0</v>
      </c>
      <c r="DC201" s="76">
        <v>0</v>
      </c>
      <c r="DD201" s="76">
        <v>0</v>
      </c>
      <c r="DE201" s="76">
        <v>0</v>
      </c>
      <c r="DF201" s="76">
        <v>250</v>
      </c>
      <c r="DG201" s="76">
        <v>-250</v>
      </c>
      <c r="DH201" s="76">
        <v>0</v>
      </c>
      <c r="DI201" s="76">
        <v>0</v>
      </c>
      <c r="DJ201" s="76">
        <v>0</v>
      </c>
      <c r="DK201" s="76">
        <v>0</v>
      </c>
      <c r="DL201" s="76">
        <v>0</v>
      </c>
      <c r="DM201" s="76">
        <v>0</v>
      </c>
      <c r="DN201" s="76">
        <v>0</v>
      </c>
      <c r="DO201" s="76">
        <v>0</v>
      </c>
      <c r="DP201" s="76">
        <v>0</v>
      </c>
      <c r="DQ201" s="76">
        <v>0</v>
      </c>
      <c r="DR201" s="76">
        <v>0</v>
      </c>
      <c r="DS201" s="76">
        <v>0</v>
      </c>
      <c r="DT201" s="76">
        <v>0</v>
      </c>
      <c r="DU201" s="76">
        <v>0</v>
      </c>
      <c r="DV201" s="76">
        <v>0</v>
      </c>
      <c r="DW201" s="76">
        <v>0</v>
      </c>
      <c r="DX201" s="76">
        <v>0</v>
      </c>
      <c r="DY201" s="76">
        <v>0</v>
      </c>
      <c r="DZ201" s="76">
        <v>0</v>
      </c>
      <c r="EA201" s="76">
        <v>0</v>
      </c>
      <c r="EB201" s="76">
        <v>250</v>
      </c>
      <c r="EC201" s="76">
        <v>0</v>
      </c>
      <c r="ED201" s="76">
        <v>81</v>
      </c>
      <c r="EE201" s="76">
        <v>169</v>
      </c>
      <c r="EF201" s="76">
        <v>250</v>
      </c>
      <c r="EG201" s="76">
        <v>0</v>
      </c>
      <c r="EH201" s="76">
        <v>81</v>
      </c>
      <c r="EI201" s="76">
        <v>169</v>
      </c>
      <c r="EJ201" s="76">
        <v>250</v>
      </c>
      <c r="EK201" s="76">
        <v>0</v>
      </c>
      <c r="EL201" s="76">
        <v>331</v>
      </c>
      <c r="EM201" s="76">
        <v>-81</v>
      </c>
      <c r="EN201" s="76">
        <v>139</v>
      </c>
      <c r="EO201" s="76">
        <v>3</v>
      </c>
      <c r="EP201" s="76">
        <v>112</v>
      </c>
      <c r="EQ201" s="76">
        <v>3</v>
      </c>
      <c r="ER201" s="76">
        <v>79250</v>
      </c>
      <c r="ES201" s="76">
        <v>0</v>
      </c>
      <c r="ET201" s="76">
        <v>79250</v>
      </c>
      <c r="EU201" s="76">
        <v>6794</v>
      </c>
      <c r="EV201" s="76">
        <v>-836</v>
      </c>
      <c r="EW201" s="76">
        <v>0</v>
      </c>
      <c r="EX201" s="76">
        <v>0</v>
      </c>
      <c r="EY201" s="76">
        <v>-4315</v>
      </c>
      <c r="EZ201" s="76">
        <v>80893</v>
      </c>
      <c r="FA201" s="76">
        <v>17500</v>
      </c>
      <c r="FB201" s="76">
        <v>1175</v>
      </c>
      <c r="FC201" s="76">
        <v>0</v>
      </c>
      <c r="FD201" s="76">
        <v>0</v>
      </c>
      <c r="FE201" s="76">
        <v>-346</v>
      </c>
      <c r="FF201" s="76">
        <v>0</v>
      </c>
      <c r="FG201" s="76">
        <v>0</v>
      </c>
      <c r="FH201" s="76">
        <v>18329</v>
      </c>
      <c r="FI201" s="76">
        <v>62564</v>
      </c>
      <c r="FJ201" s="76">
        <v>61750</v>
      </c>
      <c r="FK201" s="76">
        <v>449</v>
      </c>
      <c r="FL201" s="76">
        <v>260</v>
      </c>
      <c r="FM201" s="76">
        <v>189</v>
      </c>
      <c r="FN201" s="76">
        <v>0</v>
      </c>
      <c r="FO201" s="76">
        <v>0</v>
      </c>
      <c r="FP201" s="76">
        <v>0</v>
      </c>
      <c r="FQ201" s="76">
        <v>0</v>
      </c>
      <c r="FR201" s="76">
        <v>0</v>
      </c>
      <c r="FS201" s="76">
        <v>0</v>
      </c>
      <c r="FT201" s="76">
        <v>0</v>
      </c>
      <c r="FU201" s="76">
        <v>0</v>
      </c>
      <c r="FV201" s="76">
        <v>0</v>
      </c>
      <c r="FW201" s="76">
        <v>0</v>
      </c>
      <c r="FX201" s="76">
        <v>0</v>
      </c>
      <c r="FY201" s="76">
        <v>0</v>
      </c>
      <c r="FZ201" s="76">
        <v>0</v>
      </c>
      <c r="GA201" s="76">
        <v>0</v>
      </c>
      <c r="GB201" s="76">
        <v>0</v>
      </c>
      <c r="GC201" s="76">
        <v>449</v>
      </c>
      <c r="GD201" s="76">
        <v>260</v>
      </c>
      <c r="GE201" s="76">
        <v>189</v>
      </c>
      <c r="GF201" s="76">
        <v>0</v>
      </c>
      <c r="GG201" s="76">
        <v>13</v>
      </c>
      <c r="GH201" s="76">
        <v>0</v>
      </c>
      <c r="GI201" s="76">
        <v>0</v>
      </c>
      <c r="GJ201" s="76">
        <v>0</v>
      </c>
      <c r="GK201" s="76">
        <v>119</v>
      </c>
      <c r="GL201" s="76">
        <v>132</v>
      </c>
      <c r="GM201" s="76">
        <v>331</v>
      </c>
      <c r="GN201" s="76">
        <v>264</v>
      </c>
      <c r="GO201" s="76">
        <v>0</v>
      </c>
      <c r="GP201" s="76">
        <v>20</v>
      </c>
      <c r="GQ201" s="76">
        <v>0</v>
      </c>
      <c r="GR201" s="76">
        <v>258</v>
      </c>
      <c r="GS201" s="76">
        <v>0</v>
      </c>
      <c r="GT201" s="76">
        <v>0</v>
      </c>
      <c r="GU201" s="76">
        <v>0</v>
      </c>
      <c r="GV201" s="76">
        <v>0</v>
      </c>
      <c r="GW201" s="76">
        <v>58</v>
      </c>
      <c r="GX201" s="76">
        <v>931</v>
      </c>
      <c r="GY201" s="76">
        <v>144</v>
      </c>
      <c r="GZ201" s="76">
        <v>0</v>
      </c>
      <c r="HA201" s="76">
        <v>0</v>
      </c>
      <c r="HB201" s="76">
        <v>0</v>
      </c>
      <c r="HC201" s="76">
        <v>144</v>
      </c>
      <c r="HD201" s="76">
        <v>0</v>
      </c>
      <c r="HE201" s="76">
        <v>0</v>
      </c>
      <c r="HF201" s="76">
        <v>0</v>
      </c>
      <c r="HG201" s="76">
        <v>614</v>
      </c>
      <c r="HH201" s="76">
        <v>0</v>
      </c>
      <c r="HI201" s="76">
        <v>0</v>
      </c>
      <c r="HJ201" s="76">
        <v>0</v>
      </c>
      <c r="HK201" s="76">
        <v>0</v>
      </c>
      <c r="HL201" s="76">
        <v>0</v>
      </c>
      <c r="HM201" s="76">
        <v>614</v>
      </c>
      <c r="HN201" s="76">
        <v>1099</v>
      </c>
      <c r="HO201" s="76">
        <v>1300</v>
      </c>
      <c r="HP201" s="76">
        <v>0</v>
      </c>
      <c r="HQ201" s="76">
        <v>21</v>
      </c>
      <c r="HR201" s="76">
        <v>-2</v>
      </c>
      <c r="HS201" s="76">
        <v>0</v>
      </c>
      <c r="HT201" s="76">
        <v>1505</v>
      </c>
      <c r="HU201" s="76">
        <v>0</v>
      </c>
      <c r="HV201" s="76">
        <v>0</v>
      </c>
      <c r="HW201" s="76">
        <v>0</v>
      </c>
      <c r="HX201" s="76">
        <v>0</v>
      </c>
    </row>
    <row r="202" spans="1:232" x14ac:dyDescent="0.2">
      <c r="A202" s="74" t="s">
        <v>170</v>
      </c>
      <c r="B202" s="74" t="s">
        <v>169</v>
      </c>
      <c r="C202" s="75" t="s">
        <v>201</v>
      </c>
      <c r="D202" s="75">
        <v>12</v>
      </c>
      <c r="E202" s="76">
        <v>24120</v>
      </c>
      <c r="F202" s="76">
        <v>-950</v>
      </c>
      <c r="G202" s="76">
        <v>-21624</v>
      </c>
      <c r="H202" s="76">
        <v>1546</v>
      </c>
      <c r="I202" s="76">
        <v>336</v>
      </c>
      <c r="J202" s="76">
        <v>0</v>
      </c>
      <c r="K202" s="76">
        <v>0</v>
      </c>
      <c r="L202" s="76">
        <v>0</v>
      </c>
      <c r="M202" s="76">
        <v>145</v>
      </c>
      <c r="N202" s="76">
        <v>-1910</v>
      </c>
      <c r="O202" s="76">
        <v>121</v>
      </c>
      <c r="P202" s="76">
        <v>-59</v>
      </c>
      <c r="Q202" s="76">
        <v>0</v>
      </c>
      <c r="R202" s="76">
        <v>0</v>
      </c>
      <c r="S202" s="76">
        <v>179</v>
      </c>
      <c r="T202" s="76">
        <v>0</v>
      </c>
      <c r="U202" s="76">
        <v>179</v>
      </c>
      <c r="V202" s="76">
        <v>0</v>
      </c>
      <c r="W202" s="76">
        <v>0</v>
      </c>
      <c r="X202" s="76">
        <v>0</v>
      </c>
      <c r="Y202" s="76">
        <v>0</v>
      </c>
      <c r="Z202" s="76">
        <v>179</v>
      </c>
      <c r="AA202" s="76">
        <v>8720</v>
      </c>
      <c r="AB202" s="76">
        <v>772</v>
      </c>
      <c r="AC202" s="76">
        <v>9492</v>
      </c>
      <c r="AD202" s="76">
        <v>423</v>
      </c>
      <c r="AE202" s="76">
        <v>0</v>
      </c>
      <c r="AF202" s="76">
        <v>0</v>
      </c>
      <c r="AG202" s="76">
        <v>0</v>
      </c>
      <c r="AH202" s="76">
        <v>9915</v>
      </c>
      <c r="AI202" s="76">
        <v>3276</v>
      </c>
      <c r="AJ202" s="76">
        <v>1038</v>
      </c>
      <c r="AK202" s="76">
        <v>1673</v>
      </c>
      <c r="AL202" s="76">
        <v>667</v>
      </c>
      <c r="AM202" s="76">
        <v>188</v>
      </c>
      <c r="AN202" s="76">
        <v>60</v>
      </c>
      <c r="AO202" s="76">
        <v>2036</v>
      </c>
      <c r="AP202" s="76">
        <v>0</v>
      </c>
      <c r="AQ202" s="76">
        <v>277</v>
      </c>
      <c r="AR202" s="76">
        <v>9215</v>
      </c>
      <c r="AS202" s="76">
        <v>700</v>
      </c>
      <c r="AT202" s="76">
        <v>397</v>
      </c>
      <c r="AU202" s="76">
        <v>119033</v>
      </c>
      <c r="AV202" s="76">
        <v>0</v>
      </c>
      <c r="AW202" s="76">
        <v>18556</v>
      </c>
      <c r="AX202" s="76">
        <v>0</v>
      </c>
      <c r="AY202" s="76">
        <v>2970</v>
      </c>
      <c r="AZ202" s="76">
        <v>650</v>
      </c>
      <c r="BA202" s="76">
        <v>0</v>
      </c>
      <c r="BB202" s="76">
        <v>0</v>
      </c>
      <c r="BC202" s="76">
        <v>0</v>
      </c>
      <c r="BD202" s="76">
        <v>0</v>
      </c>
      <c r="BE202" s="76">
        <v>141209</v>
      </c>
      <c r="BF202" s="76">
        <v>447</v>
      </c>
      <c r="BG202" s="76">
        <v>1442</v>
      </c>
      <c r="BH202" s="76">
        <v>3099</v>
      </c>
      <c r="BI202" s="76">
        <v>0</v>
      </c>
      <c r="BJ202" s="76">
        <v>109</v>
      </c>
      <c r="BK202" s="76">
        <v>5097</v>
      </c>
      <c r="BL202" s="76">
        <v>1412</v>
      </c>
      <c r="BM202" s="76">
        <v>0</v>
      </c>
      <c r="BN202" s="76">
        <v>423</v>
      </c>
      <c r="BO202" s="76">
        <v>3005</v>
      </c>
      <c r="BP202" s="76">
        <v>4840</v>
      </c>
      <c r="BQ202" s="76">
        <v>257</v>
      </c>
      <c r="BR202" s="76">
        <v>141466</v>
      </c>
      <c r="BS202" s="76">
        <v>49368</v>
      </c>
      <c r="BT202" s="76">
        <v>0</v>
      </c>
      <c r="BU202" s="76">
        <v>0</v>
      </c>
      <c r="BV202" s="76">
        <v>33616</v>
      </c>
      <c r="BW202" s="76">
        <v>2954</v>
      </c>
      <c r="BX202" s="76">
        <v>0</v>
      </c>
      <c r="BY202" s="76">
        <v>10586</v>
      </c>
      <c r="BZ202" s="76">
        <v>96524</v>
      </c>
      <c r="CA202" s="76">
        <v>0</v>
      </c>
      <c r="CB202" s="76">
        <v>0</v>
      </c>
      <c r="CC202" s="76">
        <v>44942</v>
      </c>
      <c r="CD202" s="76">
        <v>34067</v>
      </c>
      <c r="CE202" s="76">
        <v>9812</v>
      </c>
      <c r="CF202" s="76">
        <v>1063</v>
      </c>
      <c r="CG202" s="76">
        <v>0</v>
      </c>
      <c r="CH202" s="76">
        <v>0</v>
      </c>
      <c r="CI202" s="76">
        <v>44942</v>
      </c>
      <c r="CJ202" s="76">
        <v>1546</v>
      </c>
      <c r="CK202" s="76">
        <v>950</v>
      </c>
      <c r="CL202" s="76">
        <v>0</v>
      </c>
      <c r="CM202" s="76">
        <v>596</v>
      </c>
      <c r="CN202" s="76">
        <v>6252</v>
      </c>
      <c r="CO202" s="76">
        <v>0</v>
      </c>
      <c r="CP202" s="76">
        <v>7407</v>
      </c>
      <c r="CQ202" s="76">
        <v>-1155</v>
      </c>
      <c r="CR202" s="76">
        <v>0</v>
      </c>
      <c r="CS202" s="76">
        <v>0</v>
      </c>
      <c r="CT202" s="76">
        <v>0</v>
      </c>
      <c r="CU202" s="76">
        <v>0</v>
      </c>
      <c r="CV202" s="76">
        <v>879</v>
      </c>
      <c r="CW202" s="76">
        <v>0</v>
      </c>
      <c r="CX202" s="76">
        <v>1603</v>
      </c>
      <c r="CY202" s="76">
        <v>-724</v>
      </c>
      <c r="CZ202" s="76">
        <v>494</v>
      </c>
      <c r="DA202" s="76">
        <v>0</v>
      </c>
      <c r="DB202" s="76">
        <v>545</v>
      </c>
      <c r="DC202" s="76">
        <v>-51</v>
      </c>
      <c r="DD202" s="76">
        <v>9171</v>
      </c>
      <c r="DE202" s="76">
        <v>950</v>
      </c>
      <c r="DF202" s="76">
        <v>9555</v>
      </c>
      <c r="DG202" s="76">
        <v>-1334</v>
      </c>
      <c r="DH202" s="76">
        <v>0</v>
      </c>
      <c r="DI202" s="76">
        <v>0</v>
      </c>
      <c r="DJ202" s="76">
        <v>0</v>
      </c>
      <c r="DK202" s="76">
        <v>0</v>
      </c>
      <c r="DL202" s="76">
        <v>0</v>
      </c>
      <c r="DM202" s="76">
        <v>0</v>
      </c>
      <c r="DN202" s="76">
        <v>0</v>
      </c>
      <c r="DO202" s="76">
        <v>0</v>
      </c>
      <c r="DP202" s="76">
        <v>0</v>
      </c>
      <c r="DQ202" s="76">
        <v>0</v>
      </c>
      <c r="DR202" s="76">
        <v>0</v>
      </c>
      <c r="DS202" s="76">
        <v>0</v>
      </c>
      <c r="DT202" s="76">
        <v>0</v>
      </c>
      <c r="DU202" s="76">
        <v>0</v>
      </c>
      <c r="DV202" s="76">
        <v>0</v>
      </c>
      <c r="DW202" s="76">
        <v>0</v>
      </c>
      <c r="DX202" s="76">
        <v>0</v>
      </c>
      <c r="DY202" s="76">
        <v>0</v>
      </c>
      <c r="DZ202" s="76">
        <v>0</v>
      </c>
      <c r="EA202" s="76">
        <v>0</v>
      </c>
      <c r="EB202" s="76">
        <v>5034</v>
      </c>
      <c r="EC202" s="76">
        <v>0</v>
      </c>
      <c r="ED202" s="76">
        <v>2854</v>
      </c>
      <c r="EE202" s="76">
        <v>2180</v>
      </c>
      <c r="EF202" s="76">
        <v>5034</v>
      </c>
      <c r="EG202" s="76">
        <v>0</v>
      </c>
      <c r="EH202" s="76">
        <v>2854</v>
      </c>
      <c r="EI202" s="76">
        <v>2180</v>
      </c>
      <c r="EJ202" s="76">
        <v>14205</v>
      </c>
      <c r="EK202" s="76">
        <v>950</v>
      </c>
      <c r="EL202" s="76">
        <v>12409</v>
      </c>
      <c r="EM202" s="76">
        <v>846</v>
      </c>
      <c r="EN202" s="76">
        <v>419</v>
      </c>
      <c r="EO202" s="76">
        <v>136</v>
      </c>
      <c r="EP202" s="76">
        <v>64</v>
      </c>
      <c r="EQ202" s="76">
        <v>136</v>
      </c>
      <c r="ER202" s="76">
        <v>138036</v>
      </c>
      <c r="ES202" s="76">
        <v>0</v>
      </c>
      <c r="ET202" s="76">
        <v>138036</v>
      </c>
      <c r="EU202" s="76">
        <v>9149</v>
      </c>
      <c r="EV202" s="76">
        <v>-9111</v>
      </c>
      <c r="EW202" s="76">
        <v>0</v>
      </c>
      <c r="EX202" s="76">
        <v>0</v>
      </c>
      <c r="EY202" s="76">
        <v>390</v>
      </c>
      <c r="EZ202" s="76">
        <v>138464</v>
      </c>
      <c r="FA202" s="76">
        <v>17966</v>
      </c>
      <c r="FB202" s="76">
        <v>2036</v>
      </c>
      <c r="FC202" s="76">
        <v>0</v>
      </c>
      <c r="FD202" s="76">
        <v>0</v>
      </c>
      <c r="FE202" s="76">
        <v>-565</v>
      </c>
      <c r="FF202" s="76">
        <v>0</v>
      </c>
      <c r="FG202" s="76">
        <v>-6</v>
      </c>
      <c r="FH202" s="76">
        <v>19431</v>
      </c>
      <c r="FI202" s="76">
        <v>119033</v>
      </c>
      <c r="FJ202" s="76">
        <v>120070</v>
      </c>
      <c r="FK202" s="76">
        <v>87</v>
      </c>
      <c r="FL202" s="76">
        <v>35</v>
      </c>
      <c r="FM202" s="76">
        <v>52</v>
      </c>
      <c r="FN202" s="76">
        <v>0</v>
      </c>
      <c r="FO202" s="76">
        <v>0</v>
      </c>
      <c r="FP202" s="76">
        <v>0</v>
      </c>
      <c r="FQ202" s="76">
        <v>0</v>
      </c>
      <c r="FR202" s="76">
        <v>0</v>
      </c>
      <c r="FS202" s="76">
        <v>0</v>
      </c>
      <c r="FT202" s="76">
        <v>4445</v>
      </c>
      <c r="FU202" s="76">
        <v>4161</v>
      </c>
      <c r="FV202" s="76">
        <v>284</v>
      </c>
      <c r="FW202" s="76">
        <v>0</v>
      </c>
      <c r="FX202" s="76">
        <v>0</v>
      </c>
      <c r="FY202" s="76">
        <v>0</v>
      </c>
      <c r="FZ202" s="76">
        <v>0</v>
      </c>
      <c r="GA202" s="76">
        <v>0</v>
      </c>
      <c r="GB202" s="76">
        <v>0</v>
      </c>
      <c r="GC202" s="76">
        <v>4532</v>
      </c>
      <c r="GD202" s="76">
        <v>4196</v>
      </c>
      <c r="GE202" s="76">
        <v>336</v>
      </c>
      <c r="GF202" s="76">
        <v>0</v>
      </c>
      <c r="GG202" s="76">
        <v>0</v>
      </c>
      <c r="GH202" s="76">
        <v>0</v>
      </c>
      <c r="GI202" s="76">
        <v>0</v>
      </c>
      <c r="GJ202" s="76">
        <v>0</v>
      </c>
      <c r="GK202" s="76">
        <v>109</v>
      </c>
      <c r="GL202" s="76">
        <v>109</v>
      </c>
      <c r="GM202" s="76">
        <v>951</v>
      </c>
      <c r="GN202" s="76">
        <v>241</v>
      </c>
      <c r="GO202" s="76">
        <v>0</v>
      </c>
      <c r="GP202" s="76">
        <v>141</v>
      </c>
      <c r="GQ202" s="76">
        <v>0</v>
      </c>
      <c r="GR202" s="76">
        <v>1177</v>
      </c>
      <c r="GS202" s="76">
        <v>0</v>
      </c>
      <c r="GT202" s="76">
        <v>0</v>
      </c>
      <c r="GU202" s="76">
        <v>0</v>
      </c>
      <c r="GV202" s="76">
        <v>0</v>
      </c>
      <c r="GW202" s="76">
        <v>495</v>
      </c>
      <c r="GX202" s="76">
        <v>3005</v>
      </c>
      <c r="GY202" s="76">
        <v>1095</v>
      </c>
      <c r="GZ202" s="76">
        <v>0</v>
      </c>
      <c r="HA202" s="76">
        <v>0</v>
      </c>
      <c r="HB202" s="76">
        <v>9491</v>
      </c>
      <c r="HC202" s="76">
        <v>10586</v>
      </c>
      <c r="HD202" s="76">
        <v>0</v>
      </c>
      <c r="HE202" s="76">
        <v>0</v>
      </c>
      <c r="HF202" s="76">
        <v>0</v>
      </c>
      <c r="HG202" s="76">
        <v>2420</v>
      </c>
      <c r="HH202" s="76">
        <v>0</v>
      </c>
      <c r="HI202" s="76">
        <v>0</v>
      </c>
      <c r="HJ202" s="76">
        <v>4</v>
      </c>
      <c r="HK202" s="76">
        <v>0</v>
      </c>
      <c r="HL202" s="76">
        <v>-514</v>
      </c>
      <c r="HM202" s="76">
        <v>1910</v>
      </c>
      <c r="HN202" s="76">
        <v>1454</v>
      </c>
      <c r="HO202" s="76">
        <v>2368</v>
      </c>
      <c r="HP202" s="76">
        <v>0</v>
      </c>
      <c r="HQ202" s="76">
        <v>40</v>
      </c>
      <c r="HR202" s="76">
        <v>-9</v>
      </c>
      <c r="HS202" s="76">
        <v>27</v>
      </c>
      <c r="HT202" s="76">
        <v>2360</v>
      </c>
      <c r="HU202" s="76">
        <v>0</v>
      </c>
      <c r="HV202" s="76">
        <v>0</v>
      </c>
      <c r="HW202" s="76">
        <v>0</v>
      </c>
      <c r="HX202" s="76">
        <v>211</v>
      </c>
    </row>
    <row r="203" spans="1:232" x14ac:dyDescent="0.2">
      <c r="A203" s="74" t="s">
        <v>172</v>
      </c>
      <c r="B203" s="74" t="s">
        <v>171</v>
      </c>
      <c r="C203" s="75" t="s">
        <v>200</v>
      </c>
      <c r="D203" s="75">
        <v>12</v>
      </c>
      <c r="E203" s="76">
        <v>13852</v>
      </c>
      <c r="F203" s="76">
        <v>0</v>
      </c>
      <c r="G203" s="76">
        <v>-8839</v>
      </c>
      <c r="H203" s="76">
        <v>5013</v>
      </c>
      <c r="I203" s="76">
        <v>301</v>
      </c>
      <c r="J203" s="76">
        <v>0</v>
      </c>
      <c r="K203" s="76">
        <v>0</v>
      </c>
      <c r="L203" s="76">
        <v>0</v>
      </c>
      <c r="M203" s="76">
        <v>24</v>
      </c>
      <c r="N203" s="76">
        <v>-1897</v>
      </c>
      <c r="O203" s="76">
        <v>1732</v>
      </c>
      <c r="P203" s="76">
        <v>0</v>
      </c>
      <c r="Q203" s="76">
        <v>0</v>
      </c>
      <c r="R203" s="76">
        <v>0</v>
      </c>
      <c r="S203" s="76">
        <v>5173</v>
      </c>
      <c r="T203" s="76">
        <v>0</v>
      </c>
      <c r="U203" s="76">
        <v>5173</v>
      </c>
      <c r="V203" s="76">
        <v>0</v>
      </c>
      <c r="W203" s="76">
        <v>15</v>
      </c>
      <c r="X203" s="76">
        <v>0</v>
      </c>
      <c r="Y203" s="76">
        <v>0</v>
      </c>
      <c r="Z203" s="76">
        <v>5188</v>
      </c>
      <c r="AA203" s="76">
        <v>11460</v>
      </c>
      <c r="AB203" s="76">
        <v>428</v>
      </c>
      <c r="AC203" s="76">
        <v>11888</v>
      </c>
      <c r="AD203" s="76">
        <v>233</v>
      </c>
      <c r="AE203" s="76">
        <v>0</v>
      </c>
      <c r="AF203" s="76">
        <v>0</v>
      </c>
      <c r="AG203" s="76">
        <v>19</v>
      </c>
      <c r="AH203" s="76">
        <v>12140</v>
      </c>
      <c r="AI203" s="76">
        <v>1666</v>
      </c>
      <c r="AJ203" s="76">
        <v>904</v>
      </c>
      <c r="AK203" s="76">
        <v>1368</v>
      </c>
      <c r="AL203" s="76">
        <v>838</v>
      </c>
      <c r="AM203" s="76">
        <v>506</v>
      </c>
      <c r="AN203" s="76">
        <v>77</v>
      </c>
      <c r="AO203" s="76">
        <v>1224</v>
      </c>
      <c r="AP203" s="76">
        <v>0</v>
      </c>
      <c r="AQ203" s="76">
        <v>0</v>
      </c>
      <c r="AR203" s="76">
        <v>6583</v>
      </c>
      <c r="AS203" s="76">
        <v>5557</v>
      </c>
      <c r="AT203" s="76">
        <v>15</v>
      </c>
      <c r="AU203" s="76">
        <v>74350</v>
      </c>
      <c r="AV203" s="76">
        <v>0</v>
      </c>
      <c r="AW203" s="76">
        <v>2799</v>
      </c>
      <c r="AX203" s="76">
        <v>85</v>
      </c>
      <c r="AY203" s="76">
        <v>0</v>
      </c>
      <c r="AZ203" s="76">
        <v>11898</v>
      </c>
      <c r="BA203" s="76">
        <v>0</v>
      </c>
      <c r="BB203" s="76">
        <v>0</v>
      </c>
      <c r="BC203" s="76">
        <v>0</v>
      </c>
      <c r="BD203" s="76">
        <v>0</v>
      </c>
      <c r="BE203" s="76">
        <v>89132</v>
      </c>
      <c r="BF203" s="76">
        <v>0</v>
      </c>
      <c r="BG203" s="76">
        <v>510</v>
      </c>
      <c r="BH203" s="76">
        <v>8895</v>
      </c>
      <c r="BI203" s="76">
        <v>0</v>
      </c>
      <c r="BJ203" s="76">
        <v>0</v>
      </c>
      <c r="BK203" s="76">
        <v>9405</v>
      </c>
      <c r="BL203" s="76">
        <v>1099</v>
      </c>
      <c r="BM203" s="76">
        <v>0</v>
      </c>
      <c r="BN203" s="76">
        <v>236</v>
      </c>
      <c r="BO203" s="76">
        <v>2079</v>
      </c>
      <c r="BP203" s="76">
        <v>3414</v>
      </c>
      <c r="BQ203" s="76">
        <v>5991</v>
      </c>
      <c r="BR203" s="76">
        <v>95123</v>
      </c>
      <c r="BS203" s="76">
        <v>42120</v>
      </c>
      <c r="BT203" s="76">
        <v>0</v>
      </c>
      <c r="BU203" s="76">
        <v>0</v>
      </c>
      <c r="BV203" s="76">
        <v>31080</v>
      </c>
      <c r="BW203" s="76">
        <v>0</v>
      </c>
      <c r="BX203" s="76">
        <v>0</v>
      </c>
      <c r="BY203" s="76">
        <v>293</v>
      </c>
      <c r="BZ203" s="76">
        <v>73493</v>
      </c>
      <c r="CA203" s="76">
        <v>1135</v>
      </c>
      <c r="CB203" s="76">
        <v>0</v>
      </c>
      <c r="CC203" s="76">
        <v>20495</v>
      </c>
      <c r="CD203" s="76">
        <v>20495</v>
      </c>
      <c r="CE203" s="76">
        <v>0</v>
      </c>
      <c r="CF203" s="76">
        <v>0</v>
      </c>
      <c r="CG203" s="76">
        <v>0</v>
      </c>
      <c r="CH203" s="76">
        <v>0</v>
      </c>
      <c r="CI203" s="76">
        <v>20495</v>
      </c>
      <c r="CJ203" s="76">
        <v>0</v>
      </c>
      <c r="CK203" s="76">
        <v>0</v>
      </c>
      <c r="CL203" s="76">
        <v>0</v>
      </c>
      <c r="CM203" s="76">
        <v>0</v>
      </c>
      <c r="CN203" s="76">
        <v>0</v>
      </c>
      <c r="CO203" s="76">
        <v>0</v>
      </c>
      <c r="CP203" s="76">
        <v>0</v>
      </c>
      <c r="CQ203" s="76">
        <v>0</v>
      </c>
      <c r="CR203" s="76">
        <v>0</v>
      </c>
      <c r="CS203" s="76">
        <v>0</v>
      </c>
      <c r="CT203" s="76">
        <v>0</v>
      </c>
      <c r="CU203" s="76">
        <v>0</v>
      </c>
      <c r="CV203" s="76">
        <v>0</v>
      </c>
      <c r="CW203" s="76">
        <v>0</v>
      </c>
      <c r="CX203" s="76">
        <v>0</v>
      </c>
      <c r="CY203" s="76">
        <v>0</v>
      </c>
      <c r="CZ203" s="76">
        <v>34</v>
      </c>
      <c r="DA203" s="76">
        <v>0</v>
      </c>
      <c r="DB203" s="76">
        <v>0</v>
      </c>
      <c r="DC203" s="76">
        <v>34</v>
      </c>
      <c r="DD203" s="76">
        <v>34</v>
      </c>
      <c r="DE203" s="76">
        <v>0</v>
      </c>
      <c r="DF203" s="76">
        <v>0</v>
      </c>
      <c r="DG203" s="76">
        <v>34</v>
      </c>
      <c r="DH203" s="76">
        <v>0</v>
      </c>
      <c r="DI203" s="76">
        <v>0</v>
      </c>
      <c r="DJ203" s="76">
        <v>0</v>
      </c>
      <c r="DK203" s="76">
        <v>0</v>
      </c>
      <c r="DL203" s="76">
        <v>0</v>
      </c>
      <c r="DM203" s="76">
        <v>0</v>
      </c>
      <c r="DN203" s="76">
        <v>0</v>
      </c>
      <c r="DO203" s="76">
        <v>0</v>
      </c>
      <c r="DP203" s="76">
        <v>0</v>
      </c>
      <c r="DQ203" s="76">
        <v>0</v>
      </c>
      <c r="DR203" s="76">
        <v>0</v>
      </c>
      <c r="DS203" s="76">
        <v>0</v>
      </c>
      <c r="DT203" s="76">
        <v>451</v>
      </c>
      <c r="DU203" s="76">
        <v>0</v>
      </c>
      <c r="DV203" s="76">
        <v>410</v>
      </c>
      <c r="DW203" s="76">
        <v>41</v>
      </c>
      <c r="DX203" s="76">
        <v>0</v>
      </c>
      <c r="DY203" s="76">
        <v>0</v>
      </c>
      <c r="DZ203" s="76">
        <v>0</v>
      </c>
      <c r="EA203" s="76">
        <v>0</v>
      </c>
      <c r="EB203" s="76">
        <v>1227</v>
      </c>
      <c r="EC203" s="76">
        <v>0</v>
      </c>
      <c r="ED203" s="76">
        <v>1846</v>
      </c>
      <c r="EE203" s="76">
        <v>-619</v>
      </c>
      <c r="EF203" s="76">
        <v>1678</v>
      </c>
      <c r="EG203" s="76">
        <v>0</v>
      </c>
      <c r="EH203" s="76">
        <v>2256</v>
      </c>
      <c r="EI203" s="76">
        <v>-578</v>
      </c>
      <c r="EJ203" s="76">
        <v>1712</v>
      </c>
      <c r="EK203" s="76">
        <v>0</v>
      </c>
      <c r="EL203" s="76">
        <v>2256</v>
      </c>
      <c r="EM203" s="76">
        <v>-544</v>
      </c>
      <c r="EN203" s="76">
        <v>290</v>
      </c>
      <c r="EO203" s="76">
        <v>230</v>
      </c>
      <c r="EP203" s="76">
        <v>252</v>
      </c>
      <c r="EQ203" s="76">
        <v>230</v>
      </c>
      <c r="ER203" s="76">
        <v>87817</v>
      </c>
      <c r="ES203" s="76">
        <v>0</v>
      </c>
      <c r="ET203" s="76">
        <v>87817</v>
      </c>
      <c r="EU203" s="76">
        <v>1633</v>
      </c>
      <c r="EV203" s="76">
        <v>-351</v>
      </c>
      <c r="EW203" s="76">
        <v>0</v>
      </c>
      <c r="EX203" s="76">
        <v>0</v>
      </c>
      <c r="EY203" s="76">
        <v>-387</v>
      </c>
      <c r="EZ203" s="76">
        <v>88712</v>
      </c>
      <c r="FA203" s="76">
        <v>13405</v>
      </c>
      <c r="FB203" s="76">
        <v>1207</v>
      </c>
      <c r="FC203" s="76">
        <v>0</v>
      </c>
      <c r="FD203" s="76">
        <v>0</v>
      </c>
      <c r="FE203" s="76">
        <v>-250</v>
      </c>
      <c r="FF203" s="76">
        <v>0</v>
      </c>
      <c r="FG203" s="76">
        <v>0</v>
      </c>
      <c r="FH203" s="76">
        <v>14362</v>
      </c>
      <c r="FI203" s="76">
        <v>74350</v>
      </c>
      <c r="FJ203" s="76">
        <v>74412</v>
      </c>
      <c r="FK203" s="76">
        <v>0</v>
      </c>
      <c r="FL203" s="76">
        <v>0</v>
      </c>
      <c r="FM203" s="76">
        <v>0</v>
      </c>
      <c r="FN203" s="76">
        <v>400</v>
      </c>
      <c r="FO203" s="76">
        <v>99</v>
      </c>
      <c r="FP203" s="76">
        <v>301</v>
      </c>
      <c r="FQ203" s="76">
        <v>0</v>
      </c>
      <c r="FR203" s="76">
        <v>0</v>
      </c>
      <c r="FS203" s="76">
        <v>0</v>
      </c>
      <c r="FT203" s="76">
        <v>0</v>
      </c>
      <c r="FU203" s="76">
        <v>0</v>
      </c>
      <c r="FV203" s="76">
        <v>0</v>
      </c>
      <c r="FW203" s="76">
        <v>0</v>
      </c>
      <c r="FX203" s="76">
        <v>0</v>
      </c>
      <c r="FY203" s="76">
        <v>0</v>
      </c>
      <c r="FZ203" s="76">
        <v>0</v>
      </c>
      <c r="GA203" s="76">
        <v>0</v>
      </c>
      <c r="GB203" s="76">
        <v>0</v>
      </c>
      <c r="GC203" s="76">
        <v>400</v>
      </c>
      <c r="GD203" s="76">
        <v>99</v>
      </c>
      <c r="GE203" s="76">
        <v>301</v>
      </c>
      <c r="GF203" s="76">
        <v>0</v>
      </c>
      <c r="GG203" s="76">
        <v>0</v>
      </c>
      <c r="GH203" s="76">
        <v>0</v>
      </c>
      <c r="GI203" s="76">
        <v>0</v>
      </c>
      <c r="GJ203" s="76">
        <v>0</v>
      </c>
      <c r="GK203" s="76">
        <v>0</v>
      </c>
      <c r="GL203" s="76">
        <v>0</v>
      </c>
      <c r="GM203" s="76">
        <v>184</v>
      </c>
      <c r="GN203" s="76">
        <v>362</v>
      </c>
      <c r="GO203" s="76">
        <v>0</v>
      </c>
      <c r="GP203" s="76">
        <v>0</v>
      </c>
      <c r="GQ203" s="76">
        <v>0</v>
      </c>
      <c r="GR203" s="76">
        <v>1447</v>
      </c>
      <c r="GS203" s="76">
        <v>0</v>
      </c>
      <c r="GT203" s="76">
        <v>0</v>
      </c>
      <c r="GU203" s="76">
        <v>0</v>
      </c>
      <c r="GV203" s="76">
        <v>0</v>
      </c>
      <c r="GW203" s="76">
        <v>86</v>
      </c>
      <c r="GX203" s="76">
        <v>2079</v>
      </c>
      <c r="GY203" s="76">
        <v>0</v>
      </c>
      <c r="GZ203" s="76">
        <v>0</v>
      </c>
      <c r="HA203" s="76">
        <v>0</v>
      </c>
      <c r="HB203" s="76">
        <v>293</v>
      </c>
      <c r="HC203" s="76">
        <v>293</v>
      </c>
      <c r="HD203" s="76">
        <v>0</v>
      </c>
      <c r="HE203" s="76">
        <v>0</v>
      </c>
      <c r="HF203" s="76">
        <v>0</v>
      </c>
      <c r="HG203" s="76">
        <v>1811</v>
      </c>
      <c r="HH203" s="76">
        <v>56</v>
      </c>
      <c r="HI203" s="76">
        <v>30</v>
      </c>
      <c r="HJ203" s="76">
        <v>0</v>
      </c>
      <c r="HK203" s="76">
        <v>0</v>
      </c>
      <c r="HL203" s="76">
        <v>0</v>
      </c>
      <c r="HM203" s="76">
        <v>1897</v>
      </c>
      <c r="HN203" s="76">
        <v>1633</v>
      </c>
      <c r="HO203" s="76">
        <v>1445</v>
      </c>
      <c r="HP203" s="76">
        <v>0</v>
      </c>
      <c r="HQ203" s="76">
        <v>0</v>
      </c>
      <c r="HR203" s="76">
        <v>-9</v>
      </c>
      <c r="HS203" s="76">
        <v>0</v>
      </c>
      <c r="HT203" s="76">
        <v>2502</v>
      </c>
      <c r="HU203" s="76">
        <v>16</v>
      </c>
      <c r="HV203" s="76">
        <v>0</v>
      </c>
      <c r="HW203" s="76">
        <v>0</v>
      </c>
      <c r="HX203" s="76">
        <v>78</v>
      </c>
    </row>
    <row r="204" spans="1:232" x14ac:dyDescent="0.2">
      <c r="A204" s="74" t="s">
        <v>756</v>
      </c>
      <c r="B204" s="74" t="s">
        <v>757</v>
      </c>
      <c r="C204" s="75" t="s">
        <v>200</v>
      </c>
      <c r="D204" s="75">
        <v>12</v>
      </c>
      <c r="E204" s="76">
        <v>370051</v>
      </c>
      <c r="F204" s="76">
        <v>-35384</v>
      </c>
      <c r="G204" s="76">
        <v>-254616</v>
      </c>
      <c r="H204" s="76">
        <v>80051</v>
      </c>
      <c r="I204" s="76">
        <v>22333</v>
      </c>
      <c r="J204" s="76">
        <v>0</v>
      </c>
      <c r="K204" s="76">
        <v>0</v>
      </c>
      <c r="L204" s="76">
        <v>649</v>
      </c>
      <c r="M204" s="76">
        <v>4038</v>
      </c>
      <c r="N204" s="76">
        <v>-39185</v>
      </c>
      <c r="O204" s="76">
        <v>755</v>
      </c>
      <c r="P204" s="76">
        <v>1209</v>
      </c>
      <c r="Q204" s="76">
        <v>0</v>
      </c>
      <c r="R204" s="76">
        <v>0</v>
      </c>
      <c r="S204" s="76">
        <v>69850</v>
      </c>
      <c r="T204" s="76">
        <v>-807</v>
      </c>
      <c r="U204" s="76">
        <v>69043</v>
      </c>
      <c r="V204" s="76">
        <v>0</v>
      </c>
      <c r="W204" s="76">
        <v>-10742</v>
      </c>
      <c r="X204" s="76">
        <v>2787</v>
      </c>
      <c r="Y204" s="76">
        <v>0</v>
      </c>
      <c r="Z204" s="76">
        <v>61088</v>
      </c>
      <c r="AA204" s="76">
        <v>210317</v>
      </c>
      <c r="AB204" s="76">
        <v>33527</v>
      </c>
      <c r="AC204" s="76">
        <v>243844</v>
      </c>
      <c r="AD204" s="76">
        <v>10757</v>
      </c>
      <c r="AE204" s="76">
        <v>1222</v>
      </c>
      <c r="AF204" s="76">
        <v>371</v>
      </c>
      <c r="AG204" s="76">
        <v>0</v>
      </c>
      <c r="AH204" s="76">
        <v>256194</v>
      </c>
      <c r="AI204" s="76">
        <v>47608</v>
      </c>
      <c r="AJ204" s="76">
        <v>33527</v>
      </c>
      <c r="AK204" s="76">
        <v>50718</v>
      </c>
      <c r="AL204" s="76">
        <v>0</v>
      </c>
      <c r="AM204" s="76">
        <v>9598</v>
      </c>
      <c r="AN204" s="76">
        <v>1953</v>
      </c>
      <c r="AO204" s="76">
        <v>33577</v>
      </c>
      <c r="AP204" s="76">
        <v>4641</v>
      </c>
      <c r="AQ204" s="76">
        <v>0</v>
      </c>
      <c r="AR204" s="76">
        <v>181622</v>
      </c>
      <c r="AS204" s="76">
        <v>74572</v>
      </c>
      <c r="AT204" s="76">
        <v>3514</v>
      </c>
      <c r="AU204" s="76">
        <v>1776397</v>
      </c>
      <c r="AV204" s="76">
        <v>0</v>
      </c>
      <c r="AW204" s="76">
        <v>17388</v>
      </c>
      <c r="AX204" s="76">
        <v>0</v>
      </c>
      <c r="AY204" s="76">
        <v>5666</v>
      </c>
      <c r="AZ204" s="76">
        <v>15013</v>
      </c>
      <c r="BA204" s="76">
        <v>1255</v>
      </c>
      <c r="BB204" s="76">
        <v>0</v>
      </c>
      <c r="BC204" s="76">
        <v>0</v>
      </c>
      <c r="BD204" s="76">
        <v>27967</v>
      </c>
      <c r="BE204" s="76">
        <v>1843686</v>
      </c>
      <c r="BF204" s="76">
        <v>57313</v>
      </c>
      <c r="BG204" s="76">
        <v>136079</v>
      </c>
      <c r="BH204" s="76">
        <v>68927</v>
      </c>
      <c r="BI204" s="76">
        <v>50800</v>
      </c>
      <c r="BJ204" s="76">
        <v>0</v>
      </c>
      <c r="BK204" s="76">
        <v>313119</v>
      </c>
      <c r="BL204" s="76">
        <v>44411</v>
      </c>
      <c r="BM204" s="76">
        <v>0</v>
      </c>
      <c r="BN204" s="76">
        <v>10545</v>
      </c>
      <c r="BO204" s="76">
        <v>127930</v>
      </c>
      <c r="BP204" s="76">
        <v>182886</v>
      </c>
      <c r="BQ204" s="76">
        <v>130233</v>
      </c>
      <c r="BR204" s="76">
        <v>1973919</v>
      </c>
      <c r="BS204" s="76">
        <v>740629</v>
      </c>
      <c r="BT204" s="76">
        <v>0</v>
      </c>
      <c r="BU204" s="76">
        <v>0</v>
      </c>
      <c r="BV204" s="76">
        <v>686593</v>
      </c>
      <c r="BW204" s="76">
        <v>908</v>
      </c>
      <c r="BX204" s="76">
        <v>24954</v>
      </c>
      <c r="BY204" s="76">
        <v>37037</v>
      </c>
      <c r="BZ204" s="76">
        <v>1490121</v>
      </c>
      <c r="CA204" s="76">
        <v>16408</v>
      </c>
      <c r="CB204" s="76">
        <v>16459</v>
      </c>
      <c r="CC204" s="76">
        <v>450931</v>
      </c>
      <c r="CD204" s="76">
        <v>468451</v>
      </c>
      <c r="CE204" s="76">
        <v>0</v>
      </c>
      <c r="CF204" s="76">
        <v>1953</v>
      </c>
      <c r="CG204" s="76">
        <v>-20542</v>
      </c>
      <c r="CH204" s="76">
        <v>1069</v>
      </c>
      <c r="CI204" s="76">
        <v>450931</v>
      </c>
      <c r="CJ204" s="76">
        <v>3842</v>
      </c>
      <c r="CK204" s="76">
        <v>3396</v>
      </c>
      <c r="CL204" s="76">
        <v>0</v>
      </c>
      <c r="CM204" s="76">
        <v>446</v>
      </c>
      <c r="CN204" s="76">
        <v>25855</v>
      </c>
      <c r="CO204" s="76">
        <v>0</v>
      </c>
      <c r="CP204" s="76">
        <v>30913</v>
      </c>
      <c r="CQ204" s="76">
        <v>-5058</v>
      </c>
      <c r="CR204" s="76">
        <v>0</v>
      </c>
      <c r="CS204" s="76">
        <v>0</v>
      </c>
      <c r="CT204" s="76">
        <v>0</v>
      </c>
      <c r="CU204" s="76">
        <v>0</v>
      </c>
      <c r="CV204" s="76">
        <v>20</v>
      </c>
      <c r="CW204" s="76">
        <v>0</v>
      </c>
      <c r="CX204" s="76">
        <v>4184</v>
      </c>
      <c r="CY204" s="76">
        <v>-4164</v>
      </c>
      <c r="CZ204" s="76">
        <v>38587</v>
      </c>
      <c r="DA204" s="76">
        <v>0</v>
      </c>
      <c r="DB204" s="76">
        <v>35612</v>
      </c>
      <c r="DC204" s="76">
        <v>2975</v>
      </c>
      <c r="DD204" s="76">
        <v>68304</v>
      </c>
      <c r="DE204" s="76">
        <v>3396</v>
      </c>
      <c r="DF204" s="76">
        <v>70709</v>
      </c>
      <c r="DG204" s="76">
        <v>-5801</v>
      </c>
      <c r="DH204" s="76">
        <v>38633</v>
      </c>
      <c r="DI204" s="76">
        <v>31988</v>
      </c>
      <c r="DJ204" s="76">
        <v>0</v>
      </c>
      <c r="DK204" s="76">
        <v>6645</v>
      </c>
      <c r="DL204" s="76">
        <v>0</v>
      </c>
      <c r="DM204" s="76">
        <v>0</v>
      </c>
      <c r="DN204" s="76">
        <v>0</v>
      </c>
      <c r="DO204" s="76">
        <v>0</v>
      </c>
      <c r="DP204" s="76">
        <v>0</v>
      </c>
      <c r="DQ204" s="76">
        <v>0</v>
      </c>
      <c r="DR204" s="76">
        <v>0</v>
      </c>
      <c r="DS204" s="76">
        <v>0</v>
      </c>
      <c r="DT204" s="76">
        <v>5204</v>
      </c>
      <c r="DU204" s="76">
        <v>0</v>
      </c>
      <c r="DV204" s="76">
        <v>1127</v>
      </c>
      <c r="DW204" s="76">
        <v>4077</v>
      </c>
      <c r="DX204" s="76">
        <v>0</v>
      </c>
      <c r="DY204" s="76">
        <v>0</v>
      </c>
      <c r="DZ204" s="76">
        <v>0</v>
      </c>
      <c r="EA204" s="76">
        <v>0</v>
      </c>
      <c r="EB204" s="76">
        <v>1716</v>
      </c>
      <c r="EC204" s="76">
        <v>0</v>
      </c>
      <c r="ED204" s="76">
        <v>1158</v>
      </c>
      <c r="EE204" s="76">
        <v>558</v>
      </c>
      <c r="EF204" s="76">
        <v>45553</v>
      </c>
      <c r="EG204" s="76">
        <v>31988</v>
      </c>
      <c r="EH204" s="76">
        <v>2285</v>
      </c>
      <c r="EI204" s="76">
        <v>11280</v>
      </c>
      <c r="EJ204" s="76">
        <v>113857</v>
      </c>
      <c r="EK204" s="76">
        <v>35384</v>
      </c>
      <c r="EL204" s="76">
        <v>72994</v>
      </c>
      <c r="EM204" s="76">
        <v>5479</v>
      </c>
      <c r="EN204" s="76">
        <v>9648</v>
      </c>
      <c r="EO204" s="76">
        <v>7343</v>
      </c>
      <c r="EP204" s="76">
        <v>2109</v>
      </c>
      <c r="EQ204" s="76">
        <v>7343</v>
      </c>
      <c r="ER204" s="76">
        <v>2102986</v>
      </c>
      <c r="ES204" s="76">
        <v>0</v>
      </c>
      <c r="ET204" s="76">
        <v>2102986</v>
      </c>
      <c r="EU204" s="76">
        <v>76303</v>
      </c>
      <c r="EV204" s="76">
        <v>-36749</v>
      </c>
      <c r="EW204" s="76">
        <v>0</v>
      </c>
      <c r="EX204" s="76">
        <v>0</v>
      </c>
      <c r="EY204" s="76">
        <v>235</v>
      </c>
      <c r="EZ204" s="76">
        <v>2142775</v>
      </c>
      <c r="FA204" s="76">
        <v>340709</v>
      </c>
      <c r="FB204" s="76">
        <v>33581</v>
      </c>
      <c r="FC204" s="76">
        <v>4217</v>
      </c>
      <c r="FD204" s="76">
        <v>0</v>
      </c>
      <c r="FE204" s="76">
        <v>-12129</v>
      </c>
      <c r="FF204" s="76">
        <v>0</v>
      </c>
      <c r="FG204" s="76">
        <v>0</v>
      </c>
      <c r="FH204" s="76">
        <v>366378</v>
      </c>
      <c r="FI204" s="76">
        <v>1776397</v>
      </c>
      <c r="FJ204" s="76">
        <v>1762277</v>
      </c>
      <c r="FK204" s="76">
        <v>3965</v>
      </c>
      <c r="FL204" s="76">
        <v>3492</v>
      </c>
      <c r="FM204" s="76">
        <v>473</v>
      </c>
      <c r="FN204" s="76">
        <v>20728</v>
      </c>
      <c r="FO204" s="76">
        <v>7751</v>
      </c>
      <c r="FP204" s="76">
        <v>12977</v>
      </c>
      <c r="FQ204" s="76">
        <v>1416</v>
      </c>
      <c r="FR204" s="76">
        <v>1128</v>
      </c>
      <c r="FS204" s="76">
        <v>288</v>
      </c>
      <c r="FT204" s="76">
        <v>21002</v>
      </c>
      <c r="FU204" s="76">
        <v>13797</v>
      </c>
      <c r="FV204" s="76">
        <v>7205</v>
      </c>
      <c r="FW204" s="76">
        <v>2600</v>
      </c>
      <c r="FX204" s="76">
        <v>1207</v>
      </c>
      <c r="FY204" s="76">
        <v>1393</v>
      </c>
      <c r="FZ204" s="76">
        <v>0</v>
      </c>
      <c r="GA204" s="76">
        <v>3</v>
      </c>
      <c r="GB204" s="76">
        <v>-3</v>
      </c>
      <c r="GC204" s="76">
        <v>49711</v>
      </c>
      <c r="GD204" s="76">
        <v>27378</v>
      </c>
      <c r="GE204" s="76">
        <v>22333</v>
      </c>
      <c r="GF204" s="76">
        <v>0</v>
      </c>
      <c r="GG204" s="76">
        <v>0</v>
      </c>
      <c r="GH204" s="76">
        <v>0</v>
      </c>
      <c r="GI204" s="76">
        <v>0</v>
      </c>
      <c r="GJ204" s="76">
        <v>0</v>
      </c>
      <c r="GK204" s="76">
        <v>0</v>
      </c>
      <c r="GL204" s="76">
        <v>0</v>
      </c>
      <c r="GM204" s="76">
        <v>10728</v>
      </c>
      <c r="GN204" s="76">
        <v>4422</v>
      </c>
      <c r="GO204" s="76">
        <v>0</v>
      </c>
      <c r="GP204" s="76">
        <v>3178</v>
      </c>
      <c r="GQ204" s="76">
        <v>449</v>
      </c>
      <c r="GR204" s="76">
        <v>72129</v>
      </c>
      <c r="GS204" s="76">
        <v>0</v>
      </c>
      <c r="GT204" s="76">
        <v>0</v>
      </c>
      <c r="GU204" s="76">
        <v>0</v>
      </c>
      <c r="GV204" s="76">
        <v>0</v>
      </c>
      <c r="GW204" s="76">
        <v>37024</v>
      </c>
      <c r="GX204" s="76">
        <v>127930</v>
      </c>
      <c r="GY204" s="76">
        <v>13178</v>
      </c>
      <c r="GZ204" s="76">
        <v>1872</v>
      </c>
      <c r="HA204" s="76">
        <v>15173</v>
      </c>
      <c r="HB204" s="76">
        <v>6814</v>
      </c>
      <c r="HC204" s="76">
        <v>37037</v>
      </c>
      <c r="HD204" s="76">
        <v>11312</v>
      </c>
      <c r="HE204" s="76">
        <v>5147</v>
      </c>
      <c r="HF204" s="76">
        <v>16459</v>
      </c>
      <c r="HG204" s="76">
        <v>38058</v>
      </c>
      <c r="HH204" s="76">
        <v>809</v>
      </c>
      <c r="HI204" s="76">
        <v>251</v>
      </c>
      <c r="HJ204" s="76">
        <v>67</v>
      </c>
      <c r="HK204" s="76">
        <v>0</v>
      </c>
      <c r="HL204" s="76">
        <v>0</v>
      </c>
      <c r="HM204" s="76">
        <v>39185</v>
      </c>
      <c r="HN204" s="76">
        <v>29906</v>
      </c>
      <c r="HO204" s="76">
        <v>38154</v>
      </c>
      <c r="HP204" s="76">
        <v>1186</v>
      </c>
      <c r="HQ204" s="76">
        <v>416</v>
      </c>
      <c r="HR204" s="76">
        <v>-748</v>
      </c>
      <c r="HS204" s="76">
        <v>-53</v>
      </c>
      <c r="HT204" s="76">
        <v>50705</v>
      </c>
      <c r="HU204" s="76">
        <v>0</v>
      </c>
      <c r="HV204" s="76">
        <v>0</v>
      </c>
      <c r="HW204" s="76">
        <v>2</v>
      </c>
      <c r="HX204" s="76">
        <v>362</v>
      </c>
    </row>
    <row r="205" spans="1:232" x14ac:dyDescent="0.2">
      <c r="A205" s="74" t="s">
        <v>763</v>
      </c>
      <c r="B205" s="74" t="s">
        <v>764</v>
      </c>
      <c r="C205" s="75" t="s">
        <v>200</v>
      </c>
      <c r="D205" s="75">
        <v>12</v>
      </c>
      <c r="E205" s="76">
        <v>81735</v>
      </c>
      <c r="F205" s="76">
        <v>0</v>
      </c>
      <c r="G205" s="76">
        <v>-58985</v>
      </c>
      <c r="H205" s="76">
        <v>22750</v>
      </c>
      <c r="I205" s="76">
        <v>4416</v>
      </c>
      <c r="J205" s="76">
        <v>0</v>
      </c>
      <c r="K205" s="76">
        <v>0</v>
      </c>
      <c r="L205" s="76">
        <v>0</v>
      </c>
      <c r="M205" s="76">
        <v>15</v>
      </c>
      <c r="N205" s="76">
        <v>-19853</v>
      </c>
      <c r="O205" s="76">
        <v>175</v>
      </c>
      <c r="P205" s="76">
        <v>0</v>
      </c>
      <c r="Q205" s="76">
        <v>0</v>
      </c>
      <c r="R205" s="76">
        <v>0</v>
      </c>
      <c r="S205" s="76">
        <v>7503</v>
      </c>
      <c r="T205" s="76">
        <v>101</v>
      </c>
      <c r="U205" s="76">
        <v>7604</v>
      </c>
      <c r="V205" s="76">
        <v>0</v>
      </c>
      <c r="W205" s="76">
        <v>-9019</v>
      </c>
      <c r="X205" s="76">
        <v>0</v>
      </c>
      <c r="Y205" s="76">
        <v>0</v>
      </c>
      <c r="Z205" s="76">
        <v>-1415</v>
      </c>
      <c r="AA205" s="76">
        <v>61156</v>
      </c>
      <c r="AB205" s="76">
        <v>5631</v>
      </c>
      <c r="AC205" s="76">
        <v>66787</v>
      </c>
      <c r="AD205" s="76">
        <v>689</v>
      </c>
      <c r="AE205" s="76">
        <v>0</v>
      </c>
      <c r="AF205" s="76">
        <v>0</v>
      </c>
      <c r="AG205" s="76">
        <v>0</v>
      </c>
      <c r="AH205" s="76">
        <v>67476</v>
      </c>
      <c r="AI205" s="76">
        <v>3678</v>
      </c>
      <c r="AJ205" s="76">
        <v>10923</v>
      </c>
      <c r="AK205" s="76">
        <v>11463</v>
      </c>
      <c r="AL205" s="76">
        <v>0</v>
      </c>
      <c r="AM205" s="76">
        <v>5481</v>
      </c>
      <c r="AN205" s="76">
        <v>115</v>
      </c>
      <c r="AO205" s="76">
        <v>10073</v>
      </c>
      <c r="AP205" s="76">
        <v>0</v>
      </c>
      <c r="AQ205" s="76">
        <v>0</v>
      </c>
      <c r="AR205" s="76">
        <v>41733</v>
      </c>
      <c r="AS205" s="76">
        <v>25743</v>
      </c>
      <c r="AT205" s="76">
        <v>881</v>
      </c>
      <c r="AU205" s="76">
        <v>537067</v>
      </c>
      <c r="AV205" s="76">
        <v>0</v>
      </c>
      <c r="AW205" s="76">
        <v>5403</v>
      </c>
      <c r="AX205" s="76">
        <v>0</v>
      </c>
      <c r="AY205" s="76">
        <v>0</v>
      </c>
      <c r="AZ205" s="76">
        <v>11276</v>
      </c>
      <c r="BA205" s="76">
        <v>0</v>
      </c>
      <c r="BB205" s="76">
        <v>0</v>
      </c>
      <c r="BC205" s="76">
        <v>0</v>
      </c>
      <c r="BD205" s="76">
        <v>0</v>
      </c>
      <c r="BE205" s="76">
        <v>553746</v>
      </c>
      <c r="BF205" s="76">
        <v>2001</v>
      </c>
      <c r="BG205" s="76">
        <v>5488</v>
      </c>
      <c r="BH205" s="76">
        <v>5798</v>
      </c>
      <c r="BI205" s="76">
        <v>2546</v>
      </c>
      <c r="BJ205" s="76">
        <v>319</v>
      </c>
      <c r="BK205" s="76">
        <v>16152</v>
      </c>
      <c r="BL205" s="76">
        <v>0</v>
      </c>
      <c r="BM205" s="76">
        <v>0</v>
      </c>
      <c r="BN205" s="76">
        <v>705</v>
      </c>
      <c r="BO205" s="76">
        <v>16044</v>
      </c>
      <c r="BP205" s="76">
        <v>16749</v>
      </c>
      <c r="BQ205" s="76">
        <v>-597</v>
      </c>
      <c r="BR205" s="76">
        <v>553149</v>
      </c>
      <c r="BS205" s="76">
        <v>354007</v>
      </c>
      <c r="BT205" s="76">
        <v>0</v>
      </c>
      <c r="BU205" s="76">
        <v>0</v>
      </c>
      <c r="BV205" s="76">
        <v>75503</v>
      </c>
      <c r="BW205" s="76">
        <v>0</v>
      </c>
      <c r="BX205" s="76">
        <v>0</v>
      </c>
      <c r="BY205" s="76">
        <v>1989</v>
      </c>
      <c r="BZ205" s="76">
        <v>431499</v>
      </c>
      <c r="CA205" s="76">
        <v>40716</v>
      </c>
      <c r="CB205" s="76">
        <v>0</v>
      </c>
      <c r="CC205" s="76">
        <v>80934</v>
      </c>
      <c r="CD205" s="76">
        <v>80088</v>
      </c>
      <c r="CE205" s="76">
        <v>0</v>
      </c>
      <c r="CF205" s="76">
        <v>846</v>
      </c>
      <c r="CG205" s="76">
        <v>0</v>
      </c>
      <c r="CH205" s="76">
        <v>0</v>
      </c>
      <c r="CI205" s="76">
        <v>80934</v>
      </c>
      <c r="CJ205" s="76">
        <v>1705</v>
      </c>
      <c r="CK205" s="76">
        <v>0</v>
      </c>
      <c r="CL205" s="76">
        <v>1221</v>
      </c>
      <c r="CM205" s="76">
        <v>484</v>
      </c>
      <c r="CN205" s="76">
        <v>0</v>
      </c>
      <c r="CO205" s="76">
        <v>0</v>
      </c>
      <c r="CP205" s="76">
        <v>0</v>
      </c>
      <c r="CQ205" s="76">
        <v>0</v>
      </c>
      <c r="CR205" s="76">
        <v>0</v>
      </c>
      <c r="CS205" s="76">
        <v>0</v>
      </c>
      <c r="CT205" s="76">
        <v>0</v>
      </c>
      <c r="CU205" s="76">
        <v>0</v>
      </c>
      <c r="CV205" s="76">
        <v>0</v>
      </c>
      <c r="CW205" s="76">
        <v>0</v>
      </c>
      <c r="CX205" s="76">
        <v>0</v>
      </c>
      <c r="CY205" s="76">
        <v>0</v>
      </c>
      <c r="CZ205" s="76">
        <v>1545</v>
      </c>
      <c r="DA205" s="76">
        <v>0</v>
      </c>
      <c r="DB205" s="76">
        <v>974</v>
      </c>
      <c r="DC205" s="76">
        <v>571</v>
      </c>
      <c r="DD205" s="76">
        <v>3250</v>
      </c>
      <c r="DE205" s="76">
        <v>0</v>
      </c>
      <c r="DF205" s="76">
        <v>2195</v>
      </c>
      <c r="DG205" s="76">
        <v>1055</v>
      </c>
      <c r="DH205" s="76">
        <v>0</v>
      </c>
      <c r="DI205" s="76">
        <v>0</v>
      </c>
      <c r="DJ205" s="76">
        <v>0</v>
      </c>
      <c r="DK205" s="76">
        <v>0</v>
      </c>
      <c r="DL205" s="76">
        <v>0</v>
      </c>
      <c r="DM205" s="76">
        <v>0</v>
      </c>
      <c r="DN205" s="76">
        <v>0</v>
      </c>
      <c r="DO205" s="76">
        <v>0</v>
      </c>
      <c r="DP205" s="76">
        <v>0</v>
      </c>
      <c r="DQ205" s="76">
        <v>0</v>
      </c>
      <c r="DR205" s="76">
        <v>0</v>
      </c>
      <c r="DS205" s="76">
        <v>0</v>
      </c>
      <c r="DT205" s="76">
        <v>0</v>
      </c>
      <c r="DU205" s="76">
        <v>0</v>
      </c>
      <c r="DV205" s="76">
        <v>0</v>
      </c>
      <c r="DW205" s="76">
        <v>0</v>
      </c>
      <c r="DX205" s="76">
        <v>0</v>
      </c>
      <c r="DY205" s="76">
        <v>0</v>
      </c>
      <c r="DZ205" s="76">
        <v>0</v>
      </c>
      <c r="EA205" s="76">
        <v>0</v>
      </c>
      <c r="EB205" s="76">
        <v>11009</v>
      </c>
      <c r="EC205" s="76">
        <v>0</v>
      </c>
      <c r="ED205" s="76">
        <v>15057</v>
      </c>
      <c r="EE205" s="76">
        <v>-4048</v>
      </c>
      <c r="EF205" s="76">
        <v>11009</v>
      </c>
      <c r="EG205" s="76">
        <v>0</v>
      </c>
      <c r="EH205" s="76">
        <v>15057</v>
      </c>
      <c r="EI205" s="76">
        <v>-4048</v>
      </c>
      <c r="EJ205" s="76">
        <v>14259</v>
      </c>
      <c r="EK205" s="76">
        <v>0</v>
      </c>
      <c r="EL205" s="76">
        <v>17252</v>
      </c>
      <c r="EM205" s="76">
        <v>-2993</v>
      </c>
      <c r="EN205" s="76">
        <v>784</v>
      </c>
      <c r="EO205" s="76">
        <v>602</v>
      </c>
      <c r="EP205" s="76">
        <v>198</v>
      </c>
      <c r="EQ205" s="76">
        <v>558</v>
      </c>
      <c r="ER205" s="76">
        <v>545139</v>
      </c>
      <c r="ES205" s="76">
        <v>0</v>
      </c>
      <c r="ET205" s="76">
        <v>545139</v>
      </c>
      <c r="EU205" s="76">
        <v>76435</v>
      </c>
      <c r="EV205" s="76">
        <v>-12513</v>
      </c>
      <c r="EW205" s="76">
        <v>0</v>
      </c>
      <c r="EX205" s="76">
        <v>0</v>
      </c>
      <c r="EY205" s="76">
        <v>0</v>
      </c>
      <c r="EZ205" s="76">
        <v>609061</v>
      </c>
      <c r="FA205" s="76">
        <v>65009</v>
      </c>
      <c r="FB205" s="76">
        <v>10073</v>
      </c>
      <c r="FC205" s="76">
        <v>0</v>
      </c>
      <c r="FD205" s="76">
        <v>0</v>
      </c>
      <c r="FE205" s="76">
        <v>-3088</v>
      </c>
      <c r="FF205" s="76">
        <v>0</v>
      </c>
      <c r="FG205" s="76">
        <v>0</v>
      </c>
      <c r="FH205" s="76">
        <v>71994</v>
      </c>
      <c r="FI205" s="76">
        <v>537067</v>
      </c>
      <c r="FJ205" s="76">
        <v>480130</v>
      </c>
      <c r="FK205" s="76">
        <v>0</v>
      </c>
      <c r="FL205" s="76">
        <v>0</v>
      </c>
      <c r="FM205" s="76">
        <v>0</v>
      </c>
      <c r="FN205" s="76">
        <v>1640</v>
      </c>
      <c r="FO205" s="76">
        <v>1267</v>
      </c>
      <c r="FP205" s="76">
        <v>373</v>
      </c>
      <c r="FQ205" s="76">
        <v>1360</v>
      </c>
      <c r="FR205" s="76">
        <v>1216</v>
      </c>
      <c r="FS205" s="76">
        <v>144</v>
      </c>
      <c r="FT205" s="76">
        <v>9403</v>
      </c>
      <c r="FU205" s="76">
        <v>5550</v>
      </c>
      <c r="FV205" s="76">
        <v>3853</v>
      </c>
      <c r="FW205" s="76">
        <v>0</v>
      </c>
      <c r="FX205" s="76">
        <v>0</v>
      </c>
      <c r="FY205" s="76">
        <v>0</v>
      </c>
      <c r="FZ205" s="76">
        <v>47</v>
      </c>
      <c r="GA205" s="76">
        <v>1</v>
      </c>
      <c r="GB205" s="76">
        <v>46</v>
      </c>
      <c r="GC205" s="76">
        <v>12450</v>
      </c>
      <c r="GD205" s="76">
        <v>8034</v>
      </c>
      <c r="GE205" s="76">
        <v>4416</v>
      </c>
      <c r="GF205" s="76">
        <v>0</v>
      </c>
      <c r="GG205" s="76">
        <v>0</v>
      </c>
      <c r="GH205" s="76">
        <v>0</v>
      </c>
      <c r="GI205" s="76">
        <v>0</v>
      </c>
      <c r="GJ205" s="76">
        <v>0</v>
      </c>
      <c r="GK205" s="76">
        <v>319</v>
      </c>
      <c r="GL205" s="76">
        <v>319</v>
      </c>
      <c r="GM205" s="76">
        <v>8017</v>
      </c>
      <c r="GN205" s="76">
        <v>1199</v>
      </c>
      <c r="GO205" s="76">
        <v>0</v>
      </c>
      <c r="GP205" s="76">
        <v>0</v>
      </c>
      <c r="GQ205" s="76">
        <v>1021</v>
      </c>
      <c r="GR205" s="76">
        <v>3912</v>
      </c>
      <c r="GS205" s="76">
        <v>3</v>
      </c>
      <c r="GT205" s="76">
        <v>0</v>
      </c>
      <c r="GU205" s="76">
        <v>0</v>
      </c>
      <c r="GV205" s="76">
        <v>0</v>
      </c>
      <c r="GW205" s="76">
        <v>1892</v>
      </c>
      <c r="GX205" s="76">
        <v>16044</v>
      </c>
      <c r="GY205" s="76">
        <v>492</v>
      </c>
      <c r="GZ205" s="76">
        <v>1497</v>
      </c>
      <c r="HA205" s="76">
        <v>0</v>
      </c>
      <c r="HB205" s="76">
        <v>0</v>
      </c>
      <c r="HC205" s="76">
        <v>1989</v>
      </c>
      <c r="HD205" s="76">
        <v>0</v>
      </c>
      <c r="HE205" s="76">
        <v>0</v>
      </c>
      <c r="HF205" s="76">
        <v>0</v>
      </c>
      <c r="HG205" s="76">
        <v>17355</v>
      </c>
      <c r="HH205" s="76">
        <v>1428</v>
      </c>
      <c r="HI205" s="76">
        <v>1045</v>
      </c>
      <c r="HJ205" s="76">
        <v>11</v>
      </c>
      <c r="HK205" s="76">
        <v>14</v>
      </c>
      <c r="HL205" s="76">
        <v>0</v>
      </c>
      <c r="HM205" s="76">
        <v>19853</v>
      </c>
      <c r="HN205" s="76">
        <v>6115</v>
      </c>
      <c r="HO205" s="76">
        <v>10783</v>
      </c>
      <c r="HP205" s="76">
        <v>0</v>
      </c>
      <c r="HQ205" s="76">
        <v>650</v>
      </c>
      <c r="HR205" s="76">
        <v>-324</v>
      </c>
      <c r="HS205" s="76">
        <v>0</v>
      </c>
      <c r="HT205" s="76">
        <v>12455</v>
      </c>
      <c r="HU205" s="76">
        <v>0</v>
      </c>
      <c r="HV205" s="76">
        <v>0</v>
      </c>
      <c r="HW205" s="76">
        <v>0</v>
      </c>
      <c r="HX205" s="76">
        <v>117</v>
      </c>
    </row>
    <row r="206" spans="1:232" x14ac:dyDescent="0.2">
      <c r="A206" s="74" t="s">
        <v>767</v>
      </c>
      <c r="B206" s="74" t="s">
        <v>768</v>
      </c>
      <c r="C206" s="75" t="s">
        <v>200</v>
      </c>
      <c r="D206" s="75">
        <v>12</v>
      </c>
      <c r="E206" s="76">
        <v>164989</v>
      </c>
      <c r="F206" s="76">
        <v>-4659</v>
      </c>
      <c r="G206" s="76">
        <v>-110779</v>
      </c>
      <c r="H206" s="76">
        <v>49551</v>
      </c>
      <c r="I206" s="76">
        <v>1372</v>
      </c>
      <c r="J206" s="76">
        <v>0</v>
      </c>
      <c r="K206" s="76">
        <v>-1343</v>
      </c>
      <c r="L206" s="76">
        <v>0</v>
      </c>
      <c r="M206" s="76">
        <v>176</v>
      </c>
      <c r="N206" s="76">
        <v>-12236</v>
      </c>
      <c r="O206" s="76">
        <v>0</v>
      </c>
      <c r="P206" s="76">
        <v>0</v>
      </c>
      <c r="Q206" s="76">
        <v>0</v>
      </c>
      <c r="R206" s="76">
        <v>0</v>
      </c>
      <c r="S206" s="76">
        <v>37520</v>
      </c>
      <c r="T206" s="76">
        <v>0</v>
      </c>
      <c r="U206" s="76">
        <v>37520</v>
      </c>
      <c r="V206" s="76">
        <v>0</v>
      </c>
      <c r="W206" s="76">
        <v>3104</v>
      </c>
      <c r="X206" s="76">
        <v>0</v>
      </c>
      <c r="Y206" s="76">
        <v>0</v>
      </c>
      <c r="Z206" s="76">
        <v>40624</v>
      </c>
      <c r="AA206" s="76">
        <v>140842</v>
      </c>
      <c r="AB206" s="76">
        <v>7148</v>
      </c>
      <c r="AC206" s="76">
        <v>147990</v>
      </c>
      <c r="AD206" s="76">
        <v>1109</v>
      </c>
      <c r="AE206" s="76">
        <v>0</v>
      </c>
      <c r="AF206" s="76">
        <v>0</v>
      </c>
      <c r="AG206" s="76">
        <v>0</v>
      </c>
      <c r="AH206" s="76">
        <v>149099</v>
      </c>
      <c r="AI206" s="76">
        <v>16855</v>
      </c>
      <c r="AJ206" s="76">
        <v>10129</v>
      </c>
      <c r="AK206" s="76">
        <v>23917</v>
      </c>
      <c r="AL206" s="76">
        <v>4679</v>
      </c>
      <c r="AM206" s="76">
        <v>23498</v>
      </c>
      <c r="AN206" s="76">
        <v>454</v>
      </c>
      <c r="AO206" s="76">
        <v>18773</v>
      </c>
      <c r="AP206" s="76">
        <v>0</v>
      </c>
      <c r="AQ206" s="76">
        <v>123</v>
      </c>
      <c r="AR206" s="76">
        <v>98428</v>
      </c>
      <c r="AS206" s="76">
        <v>50671</v>
      </c>
      <c r="AT206" s="76">
        <v>2943</v>
      </c>
      <c r="AU206" s="76">
        <v>951679</v>
      </c>
      <c r="AV206" s="76">
        <v>0</v>
      </c>
      <c r="AW206" s="76">
        <v>47709</v>
      </c>
      <c r="AX206" s="76">
        <v>0</v>
      </c>
      <c r="AY206" s="76">
        <v>1101</v>
      </c>
      <c r="AZ206" s="76">
        <v>2410</v>
      </c>
      <c r="BA206" s="76">
        <v>0</v>
      </c>
      <c r="BB206" s="76">
        <v>0</v>
      </c>
      <c r="BC206" s="76">
        <v>0</v>
      </c>
      <c r="BD206" s="76">
        <v>1</v>
      </c>
      <c r="BE206" s="76">
        <v>1002900</v>
      </c>
      <c r="BF206" s="76">
        <v>6399</v>
      </c>
      <c r="BG206" s="76">
        <v>7781</v>
      </c>
      <c r="BH206" s="76">
        <v>31349</v>
      </c>
      <c r="BI206" s="76">
        <v>0</v>
      </c>
      <c r="BJ206" s="76">
        <v>9610</v>
      </c>
      <c r="BK206" s="76">
        <v>55139</v>
      </c>
      <c r="BL206" s="76">
        <v>3579</v>
      </c>
      <c r="BM206" s="76">
        <v>0</v>
      </c>
      <c r="BN206" s="76">
        <v>893</v>
      </c>
      <c r="BO206" s="76">
        <v>33495</v>
      </c>
      <c r="BP206" s="76">
        <v>37967</v>
      </c>
      <c r="BQ206" s="76">
        <v>17172</v>
      </c>
      <c r="BR206" s="76">
        <v>1020072</v>
      </c>
      <c r="BS206" s="76">
        <v>286020</v>
      </c>
      <c r="BT206" s="76">
        <v>0</v>
      </c>
      <c r="BU206" s="76">
        <v>0</v>
      </c>
      <c r="BV206" s="76">
        <v>111213</v>
      </c>
      <c r="BW206" s="76">
        <v>0</v>
      </c>
      <c r="BX206" s="76">
        <v>0</v>
      </c>
      <c r="BY206" s="76">
        <v>984</v>
      </c>
      <c r="BZ206" s="76">
        <v>398217</v>
      </c>
      <c r="CA206" s="76">
        <v>44008</v>
      </c>
      <c r="CB206" s="76">
        <v>0</v>
      </c>
      <c r="CC206" s="76">
        <v>577847</v>
      </c>
      <c r="CD206" s="76">
        <v>282905</v>
      </c>
      <c r="CE206" s="76">
        <v>294489</v>
      </c>
      <c r="CF206" s="76">
        <v>441</v>
      </c>
      <c r="CG206" s="76">
        <v>0</v>
      </c>
      <c r="CH206" s="76">
        <v>12</v>
      </c>
      <c r="CI206" s="76">
        <v>577847</v>
      </c>
      <c r="CJ206" s="76">
        <v>4537</v>
      </c>
      <c r="CK206" s="76">
        <v>4659</v>
      </c>
      <c r="CL206" s="76">
        <v>0</v>
      </c>
      <c r="CM206" s="76">
        <v>-122</v>
      </c>
      <c r="CN206" s="76">
        <v>1392</v>
      </c>
      <c r="CO206" s="76">
        <v>0</v>
      </c>
      <c r="CP206" s="76">
        <v>1411</v>
      </c>
      <c r="CQ206" s="76">
        <v>-19</v>
      </c>
      <c r="CR206" s="76">
        <v>0</v>
      </c>
      <c r="CS206" s="76">
        <v>0</v>
      </c>
      <c r="CT206" s="76">
        <v>0</v>
      </c>
      <c r="CU206" s="76">
        <v>0</v>
      </c>
      <c r="CV206" s="76">
        <v>112</v>
      </c>
      <c r="CW206" s="76">
        <v>0</v>
      </c>
      <c r="CX206" s="76">
        <v>118</v>
      </c>
      <c r="CY206" s="76">
        <v>-6</v>
      </c>
      <c r="CZ206" s="76">
        <v>6432</v>
      </c>
      <c r="DA206" s="76">
        <v>0</v>
      </c>
      <c r="DB206" s="76">
        <v>8604</v>
      </c>
      <c r="DC206" s="76">
        <v>-2172</v>
      </c>
      <c r="DD206" s="76">
        <v>12473</v>
      </c>
      <c r="DE206" s="76">
        <v>4659</v>
      </c>
      <c r="DF206" s="76">
        <v>10133</v>
      </c>
      <c r="DG206" s="76">
        <v>-2319</v>
      </c>
      <c r="DH206" s="76">
        <v>0</v>
      </c>
      <c r="DI206" s="76">
        <v>0</v>
      </c>
      <c r="DJ206" s="76">
        <v>0</v>
      </c>
      <c r="DK206" s="76">
        <v>0</v>
      </c>
      <c r="DL206" s="76">
        <v>266</v>
      </c>
      <c r="DM206" s="76">
        <v>0</v>
      </c>
      <c r="DN206" s="76">
        <v>140</v>
      </c>
      <c r="DO206" s="76">
        <v>126</v>
      </c>
      <c r="DP206" s="76">
        <v>0</v>
      </c>
      <c r="DQ206" s="76">
        <v>0</v>
      </c>
      <c r="DR206" s="76">
        <v>0</v>
      </c>
      <c r="DS206" s="76">
        <v>0</v>
      </c>
      <c r="DT206" s="76">
        <v>145</v>
      </c>
      <c r="DU206" s="76">
        <v>0</v>
      </c>
      <c r="DV206" s="76">
        <v>187</v>
      </c>
      <c r="DW206" s="76">
        <v>-42</v>
      </c>
      <c r="DX206" s="76">
        <v>0</v>
      </c>
      <c r="DY206" s="76">
        <v>0</v>
      </c>
      <c r="DZ206" s="76">
        <v>0</v>
      </c>
      <c r="EA206" s="76">
        <v>0</v>
      </c>
      <c r="EB206" s="76">
        <v>3006</v>
      </c>
      <c r="EC206" s="76">
        <v>0</v>
      </c>
      <c r="ED206" s="76">
        <v>1891</v>
      </c>
      <c r="EE206" s="76">
        <v>1115</v>
      </c>
      <c r="EF206" s="76">
        <v>3417</v>
      </c>
      <c r="EG206" s="76">
        <v>0</v>
      </c>
      <c r="EH206" s="76">
        <v>2218</v>
      </c>
      <c r="EI206" s="76">
        <v>1199</v>
      </c>
      <c r="EJ206" s="76">
        <v>15890</v>
      </c>
      <c r="EK206" s="76">
        <v>4659</v>
      </c>
      <c r="EL206" s="76">
        <v>12351</v>
      </c>
      <c r="EM206" s="76">
        <v>-1120</v>
      </c>
      <c r="EN206" s="76">
        <v>8261</v>
      </c>
      <c r="EO206" s="76">
        <v>1869</v>
      </c>
      <c r="EP206" s="76">
        <v>551</v>
      </c>
      <c r="EQ206" s="76">
        <v>1798</v>
      </c>
      <c r="ER206" s="76">
        <v>317236</v>
      </c>
      <c r="ES206" s="76">
        <v>681149</v>
      </c>
      <c r="ET206" s="76">
        <v>998385</v>
      </c>
      <c r="EU206" s="76">
        <v>45713</v>
      </c>
      <c r="EV206" s="76">
        <v>-7521</v>
      </c>
      <c r="EW206" s="76">
        <v>0</v>
      </c>
      <c r="EX206" s="76">
        <v>0</v>
      </c>
      <c r="EY206" s="76">
        <v>-1394</v>
      </c>
      <c r="EZ206" s="76">
        <v>1035183</v>
      </c>
      <c r="FA206" s="76">
        <v>66837</v>
      </c>
      <c r="FB206" s="76">
        <v>18140</v>
      </c>
      <c r="FC206" s="76">
        <v>0</v>
      </c>
      <c r="FD206" s="76">
        <v>0</v>
      </c>
      <c r="FE206" s="76">
        <v>-1473</v>
      </c>
      <c r="FF206" s="76">
        <v>0</v>
      </c>
      <c r="FG206" s="76">
        <v>0</v>
      </c>
      <c r="FH206" s="76">
        <v>83504</v>
      </c>
      <c r="FI206" s="76">
        <v>951679</v>
      </c>
      <c r="FJ206" s="76">
        <v>931548</v>
      </c>
      <c r="FK206" s="76">
        <v>1558</v>
      </c>
      <c r="FL206" s="76">
        <v>1380</v>
      </c>
      <c r="FM206" s="76">
        <v>178</v>
      </c>
      <c r="FN206" s="76">
        <v>4278</v>
      </c>
      <c r="FO206" s="76">
        <v>3273</v>
      </c>
      <c r="FP206" s="76">
        <v>1005</v>
      </c>
      <c r="FQ206" s="76">
        <v>40</v>
      </c>
      <c r="FR206" s="76">
        <v>40</v>
      </c>
      <c r="FS206" s="76">
        <v>0</v>
      </c>
      <c r="FT206" s="76">
        <v>667</v>
      </c>
      <c r="FU206" s="76">
        <v>437</v>
      </c>
      <c r="FV206" s="76">
        <v>230</v>
      </c>
      <c r="FW206" s="76">
        <v>0</v>
      </c>
      <c r="FX206" s="76">
        <v>0</v>
      </c>
      <c r="FY206" s="76">
        <v>0</v>
      </c>
      <c r="FZ206" s="76">
        <v>0</v>
      </c>
      <c r="GA206" s="76">
        <v>41</v>
      </c>
      <c r="GB206" s="76">
        <v>-41</v>
      </c>
      <c r="GC206" s="76">
        <v>6543</v>
      </c>
      <c r="GD206" s="76">
        <v>5171</v>
      </c>
      <c r="GE206" s="76">
        <v>1372</v>
      </c>
      <c r="GF206" s="76">
        <v>0</v>
      </c>
      <c r="GG206" s="76">
        <v>0</v>
      </c>
      <c r="GH206" s="76">
        <v>21</v>
      </c>
      <c r="GI206" s="76">
        <v>0</v>
      </c>
      <c r="GJ206" s="76">
        <v>0</v>
      </c>
      <c r="GK206" s="76">
        <v>9589</v>
      </c>
      <c r="GL206" s="76">
        <v>9610</v>
      </c>
      <c r="GM206" s="76">
        <v>0</v>
      </c>
      <c r="GN206" s="76">
        <v>3255</v>
      </c>
      <c r="GO206" s="76">
        <v>0</v>
      </c>
      <c r="GP206" s="76">
        <v>0</v>
      </c>
      <c r="GQ206" s="76">
        <v>0</v>
      </c>
      <c r="GR206" s="76">
        <v>9758</v>
      </c>
      <c r="GS206" s="76">
        <v>0</v>
      </c>
      <c r="GT206" s="76">
        <v>0</v>
      </c>
      <c r="GU206" s="76">
        <v>0</v>
      </c>
      <c r="GV206" s="76">
        <v>0</v>
      </c>
      <c r="GW206" s="76">
        <v>20482</v>
      </c>
      <c r="GX206" s="76">
        <v>33495</v>
      </c>
      <c r="GY206" s="76">
        <v>703</v>
      </c>
      <c r="GZ206" s="76">
        <v>863</v>
      </c>
      <c r="HA206" s="76">
        <v>0</v>
      </c>
      <c r="HB206" s="76">
        <v>-582</v>
      </c>
      <c r="HC206" s="76">
        <v>984</v>
      </c>
      <c r="HD206" s="76">
        <v>0</v>
      </c>
      <c r="HE206" s="76">
        <v>0</v>
      </c>
      <c r="HF206" s="76">
        <v>0</v>
      </c>
      <c r="HG206" s="76">
        <v>13275</v>
      </c>
      <c r="HH206" s="76">
        <v>141</v>
      </c>
      <c r="HI206" s="76">
        <v>95</v>
      </c>
      <c r="HJ206" s="76">
        <v>0</v>
      </c>
      <c r="HK206" s="76">
        <v>62</v>
      </c>
      <c r="HL206" s="76">
        <v>-1337</v>
      </c>
      <c r="HM206" s="76">
        <v>12236</v>
      </c>
      <c r="HN206" s="76">
        <v>15531</v>
      </c>
      <c r="HO206" s="76">
        <v>20757</v>
      </c>
      <c r="HP206" s="76">
        <v>0</v>
      </c>
      <c r="HQ206" s="76">
        <v>268</v>
      </c>
      <c r="HR206" s="76">
        <v>-273</v>
      </c>
      <c r="HS206" s="76">
        <v>-87</v>
      </c>
      <c r="HT206" s="76">
        <v>33442</v>
      </c>
      <c r="HU206" s="76">
        <v>0</v>
      </c>
      <c r="HV206" s="76">
        <v>0</v>
      </c>
      <c r="HW206" s="76">
        <v>9</v>
      </c>
      <c r="HX206" s="76">
        <v>163</v>
      </c>
    </row>
    <row r="207" spans="1:232" x14ac:dyDescent="0.2">
      <c r="A207" s="74" t="s">
        <v>176</v>
      </c>
      <c r="B207" s="74" t="s">
        <v>174</v>
      </c>
      <c r="C207" s="75" t="s">
        <v>200</v>
      </c>
      <c r="D207" s="75">
        <v>12</v>
      </c>
      <c r="E207" s="76">
        <v>27893</v>
      </c>
      <c r="F207" s="76">
        <v>-2585</v>
      </c>
      <c r="G207" s="76">
        <v>-17130</v>
      </c>
      <c r="H207" s="76">
        <v>8178</v>
      </c>
      <c r="I207" s="76">
        <v>134</v>
      </c>
      <c r="J207" s="76">
        <v>0</v>
      </c>
      <c r="K207" s="76">
        <v>0</v>
      </c>
      <c r="L207" s="76">
        <v>0</v>
      </c>
      <c r="M207" s="76">
        <v>221</v>
      </c>
      <c r="N207" s="76">
        <v>-4232</v>
      </c>
      <c r="O207" s="76">
        <v>0</v>
      </c>
      <c r="P207" s="76">
        <v>0</v>
      </c>
      <c r="Q207" s="76">
        <v>0</v>
      </c>
      <c r="R207" s="76">
        <v>0</v>
      </c>
      <c r="S207" s="76">
        <v>4301</v>
      </c>
      <c r="T207" s="76">
        <v>0</v>
      </c>
      <c r="U207" s="76">
        <v>4301</v>
      </c>
      <c r="V207" s="76">
        <v>0</v>
      </c>
      <c r="W207" s="76">
        <v>-488</v>
      </c>
      <c r="X207" s="76">
        <v>0</v>
      </c>
      <c r="Y207" s="76">
        <v>0</v>
      </c>
      <c r="Z207" s="76">
        <v>3813</v>
      </c>
      <c r="AA207" s="76">
        <v>22055</v>
      </c>
      <c r="AB207" s="76">
        <v>1830</v>
      </c>
      <c r="AC207" s="76">
        <v>23885</v>
      </c>
      <c r="AD207" s="76">
        <v>39</v>
      </c>
      <c r="AE207" s="76">
        <v>0</v>
      </c>
      <c r="AF207" s="76">
        <v>0</v>
      </c>
      <c r="AG207" s="76">
        <v>25</v>
      </c>
      <c r="AH207" s="76">
        <v>23949</v>
      </c>
      <c r="AI207" s="76">
        <v>6268</v>
      </c>
      <c r="AJ207" s="76">
        <v>2008</v>
      </c>
      <c r="AK207" s="76">
        <v>2655</v>
      </c>
      <c r="AL207" s="76">
        <v>1606</v>
      </c>
      <c r="AM207" s="76">
        <v>0</v>
      </c>
      <c r="AN207" s="76">
        <v>71</v>
      </c>
      <c r="AO207" s="76">
        <v>2916</v>
      </c>
      <c r="AP207" s="76">
        <v>0</v>
      </c>
      <c r="AQ207" s="76">
        <v>0</v>
      </c>
      <c r="AR207" s="76">
        <v>15524</v>
      </c>
      <c r="AS207" s="76">
        <v>8425</v>
      </c>
      <c r="AT207" s="76">
        <v>84</v>
      </c>
      <c r="AU207" s="76">
        <v>100864</v>
      </c>
      <c r="AV207" s="76">
        <v>0</v>
      </c>
      <c r="AW207" s="76">
        <v>23917</v>
      </c>
      <c r="AX207" s="76">
        <v>1040</v>
      </c>
      <c r="AY207" s="76">
        <v>0</v>
      </c>
      <c r="AZ207" s="76">
        <v>0</v>
      </c>
      <c r="BA207" s="76">
        <v>0</v>
      </c>
      <c r="BB207" s="76">
        <v>0</v>
      </c>
      <c r="BC207" s="76">
        <v>0</v>
      </c>
      <c r="BD207" s="76">
        <v>0</v>
      </c>
      <c r="BE207" s="76">
        <v>125821</v>
      </c>
      <c r="BF207" s="76">
        <v>458</v>
      </c>
      <c r="BG207" s="76">
        <v>1264</v>
      </c>
      <c r="BH207" s="76">
        <v>41010</v>
      </c>
      <c r="BI207" s="76">
        <v>0</v>
      </c>
      <c r="BJ207" s="76">
        <v>4924</v>
      </c>
      <c r="BK207" s="76">
        <v>47656</v>
      </c>
      <c r="BL207" s="76">
        <v>0</v>
      </c>
      <c r="BM207" s="76">
        <v>0</v>
      </c>
      <c r="BN207" s="76">
        <v>39</v>
      </c>
      <c r="BO207" s="76">
        <v>10574</v>
      </c>
      <c r="BP207" s="76">
        <v>10613</v>
      </c>
      <c r="BQ207" s="76">
        <v>37043</v>
      </c>
      <c r="BR207" s="76">
        <v>162864</v>
      </c>
      <c r="BS207" s="76">
        <v>102518</v>
      </c>
      <c r="BT207" s="76">
        <v>0</v>
      </c>
      <c r="BU207" s="76">
        <v>0</v>
      </c>
      <c r="BV207" s="76">
        <v>3372</v>
      </c>
      <c r="BW207" s="76">
        <v>0</v>
      </c>
      <c r="BX207" s="76">
        <v>0</v>
      </c>
      <c r="BY207" s="76">
        <v>507</v>
      </c>
      <c r="BZ207" s="76">
        <v>106397</v>
      </c>
      <c r="CA207" s="76">
        <v>982</v>
      </c>
      <c r="CB207" s="76">
        <v>23628</v>
      </c>
      <c r="CC207" s="76">
        <v>31857</v>
      </c>
      <c r="CD207" s="76">
        <v>31857</v>
      </c>
      <c r="CE207" s="76">
        <v>0</v>
      </c>
      <c r="CF207" s="76">
        <v>0</v>
      </c>
      <c r="CG207" s="76">
        <v>0</v>
      </c>
      <c r="CH207" s="76">
        <v>0</v>
      </c>
      <c r="CI207" s="76">
        <v>31857</v>
      </c>
      <c r="CJ207" s="76">
        <v>3889</v>
      </c>
      <c r="CK207" s="76">
        <v>2585</v>
      </c>
      <c r="CL207" s="76">
        <v>0</v>
      </c>
      <c r="CM207" s="76">
        <v>1304</v>
      </c>
      <c r="CN207" s="76">
        <v>55</v>
      </c>
      <c r="CO207" s="76">
        <v>0</v>
      </c>
      <c r="CP207" s="76">
        <v>286</v>
      </c>
      <c r="CQ207" s="76">
        <v>-231</v>
      </c>
      <c r="CR207" s="76">
        <v>0</v>
      </c>
      <c r="CS207" s="76">
        <v>0</v>
      </c>
      <c r="CT207" s="76">
        <v>302</v>
      </c>
      <c r="CU207" s="76">
        <v>-302</v>
      </c>
      <c r="CV207" s="76">
        <v>0</v>
      </c>
      <c r="CW207" s="76">
        <v>0</v>
      </c>
      <c r="CX207" s="76">
        <v>0</v>
      </c>
      <c r="CY207" s="76">
        <v>0</v>
      </c>
      <c r="CZ207" s="76">
        <v>0</v>
      </c>
      <c r="DA207" s="76">
        <v>0</v>
      </c>
      <c r="DB207" s="76">
        <v>1018</v>
      </c>
      <c r="DC207" s="76">
        <v>-1018</v>
      </c>
      <c r="DD207" s="76">
        <v>3944</v>
      </c>
      <c r="DE207" s="76">
        <v>2585</v>
      </c>
      <c r="DF207" s="76">
        <v>1606</v>
      </c>
      <c r="DG207" s="76">
        <v>-247</v>
      </c>
      <c r="DH207" s="76">
        <v>0</v>
      </c>
      <c r="DI207" s="76">
        <v>0</v>
      </c>
      <c r="DJ207" s="76">
        <v>0</v>
      </c>
      <c r="DK207" s="76">
        <v>0</v>
      </c>
      <c r="DL207" s="76">
        <v>0</v>
      </c>
      <c r="DM207" s="76">
        <v>0</v>
      </c>
      <c r="DN207" s="76">
        <v>0</v>
      </c>
      <c r="DO207" s="76">
        <v>0</v>
      </c>
      <c r="DP207" s="76">
        <v>0</v>
      </c>
      <c r="DQ207" s="76">
        <v>0</v>
      </c>
      <c r="DR207" s="76">
        <v>0</v>
      </c>
      <c r="DS207" s="76">
        <v>0</v>
      </c>
      <c r="DT207" s="76">
        <v>0</v>
      </c>
      <c r="DU207" s="76">
        <v>0</v>
      </c>
      <c r="DV207" s="76">
        <v>0</v>
      </c>
      <c r="DW207" s="76">
        <v>0</v>
      </c>
      <c r="DX207" s="76">
        <v>0</v>
      </c>
      <c r="DY207" s="76">
        <v>0</v>
      </c>
      <c r="DZ207" s="76">
        <v>0</v>
      </c>
      <c r="EA207" s="76">
        <v>0</v>
      </c>
      <c r="EB207" s="76">
        <v>0</v>
      </c>
      <c r="EC207" s="76">
        <v>0</v>
      </c>
      <c r="ED207" s="76">
        <v>0</v>
      </c>
      <c r="EE207" s="76">
        <v>0</v>
      </c>
      <c r="EF207" s="76">
        <v>0</v>
      </c>
      <c r="EG207" s="76">
        <v>0</v>
      </c>
      <c r="EH207" s="76">
        <v>0</v>
      </c>
      <c r="EI207" s="76">
        <v>0</v>
      </c>
      <c r="EJ207" s="76">
        <v>3944</v>
      </c>
      <c r="EK207" s="76">
        <v>2585</v>
      </c>
      <c r="EL207" s="76">
        <v>1606</v>
      </c>
      <c r="EM207" s="76">
        <v>-247</v>
      </c>
      <c r="EN207" s="76">
        <v>862</v>
      </c>
      <c r="EO207" s="76">
        <v>71</v>
      </c>
      <c r="EP207" s="76">
        <v>239</v>
      </c>
      <c r="EQ207" s="76">
        <v>71</v>
      </c>
      <c r="ER207" s="76">
        <v>100629</v>
      </c>
      <c r="ES207" s="76">
        <v>0</v>
      </c>
      <c r="ET207" s="76">
        <v>100629</v>
      </c>
      <c r="EU207" s="76">
        <v>19214</v>
      </c>
      <c r="EV207" s="76">
        <v>-2607</v>
      </c>
      <c r="EW207" s="76">
        <v>0</v>
      </c>
      <c r="EX207" s="76">
        <v>0</v>
      </c>
      <c r="EY207" s="76">
        <v>1174</v>
      </c>
      <c r="EZ207" s="76">
        <v>118410</v>
      </c>
      <c r="FA207" s="76">
        <v>14846</v>
      </c>
      <c r="FB207" s="76">
        <v>2916</v>
      </c>
      <c r="FC207" s="76">
        <v>0</v>
      </c>
      <c r="FD207" s="76">
        <v>0</v>
      </c>
      <c r="FE207" s="76">
        <v>-29</v>
      </c>
      <c r="FF207" s="76">
        <v>0</v>
      </c>
      <c r="FG207" s="76">
        <v>-187</v>
      </c>
      <c r="FH207" s="76">
        <v>17546</v>
      </c>
      <c r="FI207" s="76">
        <v>100864</v>
      </c>
      <c r="FJ207" s="76">
        <v>85783</v>
      </c>
      <c r="FK207" s="76">
        <v>0</v>
      </c>
      <c r="FL207" s="76">
        <v>0</v>
      </c>
      <c r="FM207" s="76">
        <v>0</v>
      </c>
      <c r="FN207" s="76">
        <v>190</v>
      </c>
      <c r="FO207" s="76">
        <v>100</v>
      </c>
      <c r="FP207" s="76">
        <v>90</v>
      </c>
      <c r="FQ207" s="76">
        <v>591</v>
      </c>
      <c r="FR207" s="76">
        <v>547</v>
      </c>
      <c r="FS207" s="76">
        <v>44</v>
      </c>
      <c r="FT207" s="76">
        <v>0</v>
      </c>
      <c r="FU207" s="76">
        <v>0</v>
      </c>
      <c r="FV207" s="76">
        <v>0</v>
      </c>
      <c r="FW207" s="76">
        <v>0</v>
      </c>
      <c r="FX207" s="76">
        <v>0</v>
      </c>
      <c r="FY207" s="76">
        <v>0</v>
      </c>
      <c r="FZ207" s="76">
        <v>0</v>
      </c>
      <c r="GA207" s="76">
        <v>0</v>
      </c>
      <c r="GB207" s="76">
        <v>0</v>
      </c>
      <c r="GC207" s="76">
        <v>781</v>
      </c>
      <c r="GD207" s="76">
        <v>647</v>
      </c>
      <c r="GE207" s="76">
        <v>134</v>
      </c>
      <c r="GF207" s="76">
        <v>0</v>
      </c>
      <c r="GG207" s="76">
        <v>0</v>
      </c>
      <c r="GH207" s="76">
        <v>0</v>
      </c>
      <c r="GI207" s="76">
        <v>4292</v>
      </c>
      <c r="GJ207" s="76">
        <v>0</v>
      </c>
      <c r="GK207" s="76">
        <v>632</v>
      </c>
      <c r="GL207" s="76">
        <v>4924</v>
      </c>
      <c r="GM207" s="76">
        <v>600</v>
      </c>
      <c r="GN207" s="76">
        <v>430</v>
      </c>
      <c r="GO207" s="76">
        <v>0</v>
      </c>
      <c r="GP207" s="76">
        <v>0</v>
      </c>
      <c r="GQ207" s="76">
        <v>0</v>
      </c>
      <c r="GR207" s="76">
        <v>3634</v>
      </c>
      <c r="GS207" s="76">
        <v>0</v>
      </c>
      <c r="GT207" s="76">
        <v>4292</v>
      </c>
      <c r="GU207" s="76">
        <v>0</v>
      </c>
      <c r="GV207" s="76">
        <v>0</v>
      </c>
      <c r="GW207" s="76">
        <v>1618</v>
      </c>
      <c r="GX207" s="76">
        <v>10574</v>
      </c>
      <c r="GY207" s="76">
        <v>0</v>
      </c>
      <c r="GZ207" s="76">
        <v>507</v>
      </c>
      <c r="HA207" s="76">
        <v>0</v>
      </c>
      <c r="HB207" s="76">
        <v>0</v>
      </c>
      <c r="HC207" s="76">
        <v>507</v>
      </c>
      <c r="HD207" s="76">
        <v>23628</v>
      </c>
      <c r="HE207" s="76">
        <v>0</v>
      </c>
      <c r="HF207" s="76">
        <v>23628</v>
      </c>
      <c r="HG207" s="76">
        <v>4586</v>
      </c>
      <c r="HH207" s="76">
        <v>41</v>
      </c>
      <c r="HI207" s="76">
        <v>15</v>
      </c>
      <c r="HJ207" s="76">
        <v>0</v>
      </c>
      <c r="HK207" s="76">
        <v>0</v>
      </c>
      <c r="HL207" s="76">
        <v>-410</v>
      </c>
      <c r="HM207" s="76">
        <v>4232</v>
      </c>
      <c r="HN207" s="76">
        <v>4002</v>
      </c>
      <c r="HO207" s="76">
        <v>3294</v>
      </c>
      <c r="HP207" s="76">
        <v>0</v>
      </c>
      <c r="HQ207" s="76">
        <v>147</v>
      </c>
      <c r="HR207" s="76">
        <v>-10</v>
      </c>
      <c r="HS207" s="76">
        <v>2</v>
      </c>
      <c r="HT207" s="76">
        <v>4431</v>
      </c>
      <c r="HU207" s="76">
        <v>0</v>
      </c>
      <c r="HV207" s="76">
        <v>0</v>
      </c>
      <c r="HW207" s="76">
        <v>0</v>
      </c>
      <c r="HX207" s="76">
        <v>1</v>
      </c>
    </row>
    <row r="208" spans="1:232" x14ac:dyDescent="0.2">
      <c r="A208" s="74" t="s">
        <v>773</v>
      </c>
      <c r="B208" s="74" t="s">
        <v>774</v>
      </c>
      <c r="C208" s="75" t="s">
        <v>200</v>
      </c>
      <c r="D208" s="75">
        <v>12</v>
      </c>
      <c r="E208" s="76">
        <v>204393</v>
      </c>
      <c r="F208" s="76">
        <v>-22674</v>
      </c>
      <c r="G208" s="76">
        <v>-120953</v>
      </c>
      <c r="H208" s="76">
        <v>60766</v>
      </c>
      <c r="I208" s="76">
        <v>1341</v>
      </c>
      <c r="J208" s="76">
        <v>0</v>
      </c>
      <c r="K208" s="76">
        <v>66</v>
      </c>
      <c r="L208" s="76">
        <v>-203</v>
      </c>
      <c r="M208" s="76">
        <v>588</v>
      </c>
      <c r="N208" s="76">
        <v>-32633</v>
      </c>
      <c r="O208" s="76">
        <v>-2108</v>
      </c>
      <c r="P208" s="76">
        <v>0</v>
      </c>
      <c r="Q208" s="76">
        <v>0</v>
      </c>
      <c r="R208" s="76">
        <v>0</v>
      </c>
      <c r="S208" s="76">
        <v>27817</v>
      </c>
      <c r="T208" s="76">
        <v>150</v>
      </c>
      <c r="U208" s="76">
        <v>27967</v>
      </c>
      <c r="V208" s="76">
        <v>0</v>
      </c>
      <c r="W208" s="76">
        <v>-12540</v>
      </c>
      <c r="X208" s="76">
        <v>-446</v>
      </c>
      <c r="Y208" s="76">
        <v>267</v>
      </c>
      <c r="Z208" s="76">
        <v>15248</v>
      </c>
      <c r="AA208" s="76">
        <v>144244</v>
      </c>
      <c r="AB208" s="76">
        <v>10641</v>
      </c>
      <c r="AC208" s="76">
        <v>154885</v>
      </c>
      <c r="AD208" s="76">
        <v>5718</v>
      </c>
      <c r="AE208" s="76">
        <v>0</v>
      </c>
      <c r="AF208" s="76">
        <v>18</v>
      </c>
      <c r="AG208" s="76">
        <v>4542</v>
      </c>
      <c r="AH208" s="76">
        <v>165163</v>
      </c>
      <c r="AI208" s="76">
        <v>30590</v>
      </c>
      <c r="AJ208" s="76">
        <v>9241</v>
      </c>
      <c r="AK208" s="76">
        <v>28730</v>
      </c>
      <c r="AL208" s="76">
        <v>0</v>
      </c>
      <c r="AM208" s="76">
        <v>5859</v>
      </c>
      <c r="AN208" s="76">
        <v>1137</v>
      </c>
      <c r="AO208" s="76">
        <v>31163</v>
      </c>
      <c r="AP208" s="76">
        <v>1128</v>
      </c>
      <c r="AQ208" s="76">
        <v>6205</v>
      </c>
      <c r="AR208" s="76">
        <v>114053</v>
      </c>
      <c r="AS208" s="76">
        <v>51110</v>
      </c>
      <c r="AT208" s="76">
        <v>3704</v>
      </c>
      <c r="AU208" s="76">
        <v>946603</v>
      </c>
      <c r="AV208" s="76">
        <v>0</v>
      </c>
      <c r="AW208" s="76">
        <v>17025</v>
      </c>
      <c r="AX208" s="76">
        <v>1699</v>
      </c>
      <c r="AY208" s="76">
        <v>0</v>
      </c>
      <c r="AZ208" s="76">
        <v>7572</v>
      </c>
      <c r="BA208" s="76">
        <v>0</v>
      </c>
      <c r="BB208" s="76">
        <v>4424</v>
      </c>
      <c r="BC208" s="76">
        <v>0</v>
      </c>
      <c r="BD208" s="76">
        <v>0</v>
      </c>
      <c r="BE208" s="76">
        <v>977323</v>
      </c>
      <c r="BF208" s="76">
        <v>4001</v>
      </c>
      <c r="BG208" s="76">
        <v>102562</v>
      </c>
      <c r="BH208" s="76">
        <v>91246</v>
      </c>
      <c r="BI208" s="76">
        <v>6400</v>
      </c>
      <c r="BJ208" s="76">
        <v>393</v>
      </c>
      <c r="BK208" s="76">
        <v>204602</v>
      </c>
      <c r="BL208" s="76">
        <v>0</v>
      </c>
      <c r="BM208" s="76">
        <v>0</v>
      </c>
      <c r="BN208" s="76">
        <v>4991</v>
      </c>
      <c r="BO208" s="76">
        <v>32727</v>
      </c>
      <c r="BP208" s="76">
        <v>37718</v>
      </c>
      <c r="BQ208" s="76">
        <v>166884</v>
      </c>
      <c r="BR208" s="76">
        <v>1144207</v>
      </c>
      <c r="BS208" s="76">
        <v>632608</v>
      </c>
      <c r="BT208" s="76">
        <v>0</v>
      </c>
      <c r="BU208" s="76">
        <v>616</v>
      </c>
      <c r="BV208" s="76">
        <v>302313</v>
      </c>
      <c r="BW208" s="76">
        <v>0</v>
      </c>
      <c r="BX208" s="76">
        <v>1023</v>
      </c>
      <c r="BY208" s="76">
        <v>14547</v>
      </c>
      <c r="BZ208" s="76">
        <v>951107</v>
      </c>
      <c r="CA208" s="76">
        <v>52599</v>
      </c>
      <c r="CB208" s="76">
        <v>1029</v>
      </c>
      <c r="CC208" s="76">
        <v>139472</v>
      </c>
      <c r="CD208" s="76">
        <v>137948</v>
      </c>
      <c r="CE208" s="76">
        <v>0</v>
      </c>
      <c r="CF208" s="76">
        <v>2547</v>
      </c>
      <c r="CG208" s="76">
        <v>-1023</v>
      </c>
      <c r="CH208" s="76">
        <v>0</v>
      </c>
      <c r="CI208" s="76">
        <v>139472</v>
      </c>
      <c r="CJ208" s="76">
        <v>2454</v>
      </c>
      <c r="CK208" s="76">
        <v>1609</v>
      </c>
      <c r="CL208" s="76">
        <v>0</v>
      </c>
      <c r="CM208" s="76">
        <v>845</v>
      </c>
      <c r="CN208" s="76">
        <v>1041</v>
      </c>
      <c r="CO208" s="76">
        <v>0</v>
      </c>
      <c r="CP208" s="76">
        <v>604</v>
      </c>
      <c r="CQ208" s="76">
        <v>437</v>
      </c>
      <c r="CR208" s="76">
        <v>1710</v>
      </c>
      <c r="CS208" s="76">
        <v>0</v>
      </c>
      <c r="CT208" s="76">
        <v>1708</v>
      </c>
      <c r="CU208" s="76">
        <v>2</v>
      </c>
      <c r="CV208" s="76">
        <v>2048</v>
      </c>
      <c r="CW208" s="76">
        <v>1348</v>
      </c>
      <c r="CX208" s="76">
        <v>-12</v>
      </c>
      <c r="CY208" s="76">
        <v>712</v>
      </c>
      <c r="CZ208" s="76">
        <v>23020</v>
      </c>
      <c r="DA208" s="76">
        <v>14020</v>
      </c>
      <c r="DB208" s="76">
        <v>2479</v>
      </c>
      <c r="DC208" s="76">
        <v>6521</v>
      </c>
      <c r="DD208" s="76">
        <v>30273</v>
      </c>
      <c r="DE208" s="76">
        <v>16977</v>
      </c>
      <c r="DF208" s="76">
        <v>4779</v>
      </c>
      <c r="DG208" s="76">
        <v>8517</v>
      </c>
      <c r="DH208" s="76">
        <v>6032</v>
      </c>
      <c r="DI208" s="76">
        <v>4627</v>
      </c>
      <c r="DJ208" s="76">
        <v>372</v>
      </c>
      <c r="DK208" s="76">
        <v>1033</v>
      </c>
      <c r="DL208" s="76">
        <v>0</v>
      </c>
      <c r="DM208" s="76">
        <v>0</v>
      </c>
      <c r="DN208" s="76">
        <v>0</v>
      </c>
      <c r="DO208" s="76">
        <v>0</v>
      </c>
      <c r="DP208" s="76">
        <v>0</v>
      </c>
      <c r="DQ208" s="76">
        <v>0</v>
      </c>
      <c r="DR208" s="76">
        <v>0</v>
      </c>
      <c r="DS208" s="76">
        <v>0</v>
      </c>
      <c r="DT208" s="76">
        <v>372</v>
      </c>
      <c r="DU208" s="76">
        <v>0</v>
      </c>
      <c r="DV208" s="76">
        <v>116</v>
      </c>
      <c r="DW208" s="76">
        <v>256</v>
      </c>
      <c r="DX208" s="76">
        <v>0</v>
      </c>
      <c r="DY208" s="76">
        <v>0</v>
      </c>
      <c r="DZ208" s="76">
        <v>0</v>
      </c>
      <c r="EA208" s="76">
        <v>0</v>
      </c>
      <c r="EB208" s="76">
        <v>2553</v>
      </c>
      <c r="EC208" s="76">
        <v>1070</v>
      </c>
      <c r="ED208" s="76">
        <v>1633</v>
      </c>
      <c r="EE208" s="76">
        <v>-150</v>
      </c>
      <c r="EF208" s="76">
        <v>8957</v>
      </c>
      <c r="EG208" s="76">
        <v>5697</v>
      </c>
      <c r="EH208" s="76">
        <v>2121</v>
      </c>
      <c r="EI208" s="76">
        <v>1139</v>
      </c>
      <c r="EJ208" s="76">
        <v>39230</v>
      </c>
      <c r="EK208" s="76">
        <v>22674</v>
      </c>
      <c r="EL208" s="76">
        <v>6900</v>
      </c>
      <c r="EM208" s="76">
        <v>9656</v>
      </c>
      <c r="EN208" s="76">
        <v>5510</v>
      </c>
      <c r="EO208" s="76">
        <v>4247</v>
      </c>
      <c r="EP208" s="76">
        <v>3219</v>
      </c>
      <c r="EQ208" s="76">
        <v>4247</v>
      </c>
      <c r="ER208" s="76">
        <v>1249934</v>
      </c>
      <c r="ES208" s="76">
        <v>0</v>
      </c>
      <c r="ET208" s="76">
        <v>1249934</v>
      </c>
      <c r="EU208" s="76">
        <v>37678</v>
      </c>
      <c r="EV208" s="76">
        <v>-9864</v>
      </c>
      <c r="EW208" s="76">
        <v>0</v>
      </c>
      <c r="EX208" s="76">
        <v>0</v>
      </c>
      <c r="EY208" s="76">
        <v>1374</v>
      </c>
      <c r="EZ208" s="76">
        <v>1279122</v>
      </c>
      <c r="FA208" s="76">
        <v>301993</v>
      </c>
      <c r="FB208" s="76">
        <v>31163</v>
      </c>
      <c r="FC208" s="76">
        <v>1128</v>
      </c>
      <c r="FD208" s="76">
        <v>0</v>
      </c>
      <c r="FE208" s="76">
        <v>-1765</v>
      </c>
      <c r="FF208" s="76">
        <v>0</v>
      </c>
      <c r="FG208" s="76">
        <v>0</v>
      </c>
      <c r="FH208" s="76">
        <v>332519</v>
      </c>
      <c r="FI208" s="76">
        <v>946603</v>
      </c>
      <c r="FJ208" s="76">
        <v>947941</v>
      </c>
      <c r="FK208" s="76">
        <v>784</v>
      </c>
      <c r="FL208" s="76">
        <v>924</v>
      </c>
      <c r="FM208" s="76">
        <v>-140</v>
      </c>
      <c r="FN208" s="76">
        <v>3395</v>
      </c>
      <c r="FO208" s="76">
        <v>1279</v>
      </c>
      <c r="FP208" s="76">
        <v>2116</v>
      </c>
      <c r="FQ208" s="76">
        <v>3465</v>
      </c>
      <c r="FR208" s="76">
        <v>4624</v>
      </c>
      <c r="FS208" s="76">
        <v>-1159</v>
      </c>
      <c r="FT208" s="76">
        <v>847</v>
      </c>
      <c r="FU208" s="76">
        <v>347</v>
      </c>
      <c r="FV208" s="76">
        <v>500</v>
      </c>
      <c r="FW208" s="76">
        <v>0</v>
      </c>
      <c r="FX208" s="76">
        <v>0</v>
      </c>
      <c r="FY208" s="76">
        <v>0</v>
      </c>
      <c r="FZ208" s="76">
        <v>32</v>
      </c>
      <c r="GA208" s="76">
        <v>8</v>
      </c>
      <c r="GB208" s="76">
        <v>24</v>
      </c>
      <c r="GC208" s="76">
        <v>8523</v>
      </c>
      <c r="GD208" s="76">
        <v>7182</v>
      </c>
      <c r="GE208" s="76">
        <v>1341</v>
      </c>
      <c r="GF208" s="76">
        <v>0</v>
      </c>
      <c r="GG208" s="76">
        <v>0</v>
      </c>
      <c r="GH208" s="76">
        <v>0</v>
      </c>
      <c r="GI208" s="76">
        <v>0</v>
      </c>
      <c r="GJ208" s="76">
        <v>0</v>
      </c>
      <c r="GK208" s="76">
        <v>393</v>
      </c>
      <c r="GL208" s="76">
        <v>393</v>
      </c>
      <c r="GM208" s="76">
        <v>7085</v>
      </c>
      <c r="GN208" s="76">
        <v>1976</v>
      </c>
      <c r="GO208" s="76">
        <v>0</v>
      </c>
      <c r="GP208" s="76">
        <v>0</v>
      </c>
      <c r="GQ208" s="76">
        <v>1568</v>
      </c>
      <c r="GR208" s="76">
        <v>9476</v>
      </c>
      <c r="GS208" s="76">
        <v>208</v>
      </c>
      <c r="GT208" s="76">
        <v>0</v>
      </c>
      <c r="GU208" s="76">
        <v>0</v>
      </c>
      <c r="GV208" s="76">
        <v>0</v>
      </c>
      <c r="GW208" s="76">
        <v>12414</v>
      </c>
      <c r="GX208" s="76">
        <v>32727</v>
      </c>
      <c r="GY208" s="76">
        <v>1615</v>
      </c>
      <c r="GZ208" s="76">
        <v>5236</v>
      </c>
      <c r="HA208" s="76">
        <v>0</v>
      </c>
      <c r="HB208" s="76">
        <v>7696</v>
      </c>
      <c r="HC208" s="76">
        <v>14547</v>
      </c>
      <c r="HD208" s="76">
        <v>0</v>
      </c>
      <c r="HE208" s="76">
        <v>1029</v>
      </c>
      <c r="HF208" s="76">
        <v>1029</v>
      </c>
      <c r="HG208" s="76">
        <v>30717</v>
      </c>
      <c r="HH208" s="76">
        <v>627</v>
      </c>
      <c r="HI208" s="76">
        <v>1253</v>
      </c>
      <c r="HJ208" s="76">
        <v>0</v>
      </c>
      <c r="HK208" s="76">
        <v>36</v>
      </c>
      <c r="HL208" s="76">
        <v>0</v>
      </c>
      <c r="HM208" s="76">
        <v>32633</v>
      </c>
      <c r="HN208" s="76">
        <v>13969</v>
      </c>
      <c r="HO208" s="76">
        <v>32249</v>
      </c>
      <c r="HP208" s="76">
        <v>1128</v>
      </c>
      <c r="HQ208" s="76">
        <v>120</v>
      </c>
      <c r="HR208" s="76">
        <v>-269</v>
      </c>
      <c r="HS208" s="76">
        <v>-463</v>
      </c>
      <c r="HT208" s="76">
        <v>36030</v>
      </c>
      <c r="HU208" s="76">
        <v>0</v>
      </c>
      <c r="HV208" s="76">
        <v>-460</v>
      </c>
      <c r="HW208" s="76">
        <v>288</v>
      </c>
      <c r="HX208" s="76">
        <v>811</v>
      </c>
    </row>
    <row r="209" spans="1:232" x14ac:dyDescent="0.2">
      <c r="A209" s="74" t="s">
        <v>775</v>
      </c>
      <c r="B209" s="74" t="s">
        <v>776</v>
      </c>
      <c r="C209" s="75" t="s">
        <v>200</v>
      </c>
      <c r="D209" s="75">
        <v>12</v>
      </c>
      <c r="E209" s="76">
        <v>109013</v>
      </c>
      <c r="F209" s="76">
        <v>-2919</v>
      </c>
      <c r="G209" s="76">
        <v>-65730</v>
      </c>
      <c r="H209" s="76">
        <v>40364</v>
      </c>
      <c r="I209" s="76">
        <v>2213</v>
      </c>
      <c r="J209" s="76">
        <v>0</v>
      </c>
      <c r="K209" s="76">
        <v>-445</v>
      </c>
      <c r="L209" s="76">
        <v>40</v>
      </c>
      <c r="M209" s="76">
        <v>99</v>
      </c>
      <c r="N209" s="76">
        <v>-8790</v>
      </c>
      <c r="O209" s="76">
        <v>0</v>
      </c>
      <c r="P209" s="76">
        <v>-3</v>
      </c>
      <c r="Q209" s="76">
        <v>0</v>
      </c>
      <c r="R209" s="76">
        <v>0</v>
      </c>
      <c r="S209" s="76">
        <v>33478</v>
      </c>
      <c r="T209" s="76">
        <v>-20</v>
      </c>
      <c r="U209" s="76">
        <v>33458</v>
      </c>
      <c r="V209" s="76">
        <v>0</v>
      </c>
      <c r="W209" s="76">
        <v>-18254</v>
      </c>
      <c r="X209" s="76">
        <v>0</v>
      </c>
      <c r="Y209" s="76">
        <v>0</v>
      </c>
      <c r="Z209" s="76">
        <v>15204</v>
      </c>
      <c r="AA209" s="76">
        <v>96131</v>
      </c>
      <c r="AB209" s="76">
        <v>1876</v>
      </c>
      <c r="AC209" s="76">
        <v>98007</v>
      </c>
      <c r="AD209" s="76">
        <v>208</v>
      </c>
      <c r="AE209" s="76">
        <v>0</v>
      </c>
      <c r="AF209" s="76">
        <v>0</v>
      </c>
      <c r="AG209" s="76">
        <v>1990</v>
      </c>
      <c r="AH209" s="76">
        <v>100205</v>
      </c>
      <c r="AI209" s="76">
        <v>20539</v>
      </c>
      <c r="AJ209" s="76">
        <v>2562</v>
      </c>
      <c r="AK209" s="76">
        <v>10767</v>
      </c>
      <c r="AL209" s="76">
        <v>7889</v>
      </c>
      <c r="AM209" s="76">
        <v>4610</v>
      </c>
      <c r="AN209" s="76">
        <v>1221</v>
      </c>
      <c r="AO209" s="76">
        <v>10375</v>
      </c>
      <c r="AP209" s="76">
        <v>0</v>
      </c>
      <c r="AQ209" s="76">
        <v>2297</v>
      </c>
      <c r="AR209" s="76">
        <v>60260</v>
      </c>
      <c r="AS209" s="76">
        <v>39945</v>
      </c>
      <c r="AT209" s="76">
        <v>1525</v>
      </c>
      <c r="AU209" s="76">
        <v>308651</v>
      </c>
      <c r="AV209" s="76">
        <v>0</v>
      </c>
      <c r="AW209" s="76">
        <v>11040</v>
      </c>
      <c r="AX209" s="76">
        <v>0</v>
      </c>
      <c r="AY209" s="76">
        <v>389</v>
      </c>
      <c r="AZ209" s="76">
        <v>1700</v>
      </c>
      <c r="BA209" s="76">
        <v>0</v>
      </c>
      <c r="BB209" s="76">
        <v>190</v>
      </c>
      <c r="BC209" s="76">
        <v>0</v>
      </c>
      <c r="BD209" s="76">
        <v>0</v>
      </c>
      <c r="BE209" s="76">
        <v>321970</v>
      </c>
      <c r="BF209" s="76">
        <v>4822</v>
      </c>
      <c r="BG209" s="76">
        <v>9108</v>
      </c>
      <c r="BH209" s="76">
        <v>49876</v>
      </c>
      <c r="BI209" s="76">
        <v>49</v>
      </c>
      <c r="BJ209" s="76">
        <v>320</v>
      </c>
      <c r="BK209" s="76">
        <v>64175</v>
      </c>
      <c r="BL209" s="76">
        <v>13401</v>
      </c>
      <c r="BM209" s="76">
        <v>0</v>
      </c>
      <c r="BN209" s="76">
        <v>207</v>
      </c>
      <c r="BO209" s="76">
        <v>15133</v>
      </c>
      <c r="BP209" s="76">
        <v>28741</v>
      </c>
      <c r="BQ209" s="76">
        <v>35434</v>
      </c>
      <c r="BR209" s="76">
        <v>357404</v>
      </c>
      <c r="BS209" s="76">
        <v>124028</v>
      </c>
      <c r="BT209" s="76">
        <v>0</v>
      </c>
      <c r="BU209" s="76">
        <v>0</v>
      </c>
      <c r="BV209" s="76">
        <v>21671</v>
      </c>
      <c r="BW209" s="76">
        <v>0</v>
      </c>
      <c r="BX209" s="76">
        <v>0</v>
      </c>
      <c r="BY209" s="76">
        <v>8090</v>
      </c>
      <c r="BZ209" s="76">
        <v>153789</v>
      </c>
      <c r="CA209" s="76">
        <v>30976</v>
      </c>
      <c r="CB209" s="76">
        <v>0</v>
      </c>
      <c r="CC209" s="76">
        <v>172639</v>
      </c>
      <c r="CD209" s="76">
        <v>170939</v>
      </c>
      <c r="CE209" s="76">
        <v>1700</v>
      </c>
      <c r="CF209" s="76">
        <v>0</v>
      </c>
      <c r="CG209" s="76">
        <v>0</v>
      </c>
      <c r="CH209" s="76">
        <v>0</v>
      </c>
      <c r="CI209" s="76">
        <v>172639</v>
      </c>
      <c r="CJ209" s="76">
        <v>3255</v>
      </c>
      <c r="CK209" s="76">
        <v>2919</v>
      </c>
      <c r="CL209" s="76">
        <v>0</v>
      </c>
      <c r="CM209" s="76">
        <v>336</v>
      </c>
      <c r="CN209" s="76">
        <v>448</v>
      </c>
      <c r="CO209" s="76">
        <v>0</v>
      </c>
      <c r="CP209" s="76">
        <v>570</v>
      </c>
      <c r="CQ209" s="76">
        <v>-122</v>
      </c>
      <c r="CR209" s="76">
        <v>0</v>
      </c>
      <c r="CS209" s="76">
        <v>0</v>
      </c>
      <c r="CT209" s="76">
        <v>0</v>
      </c>
      <c r="CU209" s="76">
        <v>0</v>
      </c>
      <c r="CV209" s="76">
        <v>1190</v>
      </c>
      <c r="CW209" s="76">
        <v>0</v>
      </c>
      <c r="CX209" s="76">
        <v>1457</v>
      </c>
      <c r="CY209" s="76">
        <v>-267</v>
      </c>
      <c r="CZ209" s="76">
        <v>64</v>
      </c>
      <c r="DA209" s="76">
        <v>0</v>
      </c>
      <c r="DB209" s="76">
        <v>0</v>
      </c>
      <c r="DC209" s="76">
        <v>64</v>
      </c>
      <c r="DD209" s="76">
        <v>4957</v>
      </c>
      <c r="DE209" s="76">
        <v>2919</v>
      </c>
      <c r="DF209" s="76">
        <v>2027</v>
      </c>
      <c r="DG209" s="76">
        <v>11</v>
      </c>
      <c r="DH209" s="76">
        <v>0</v>
      </c>
      <c r="DI209" s="76">
        <v>0</v>
      </c>
      <c r="DJ209" s="76">
        <v>0</v>
      </c>
      <c r="DK209" s="76">
        <v>0</v>
      </c>
      <c r="DL209" s="76">
        <v>0</v>
      </c>
      <c r="DM209" s="76">
        <v>0</v>
      </c>
      <c r="DN209" s="76">
        <v>0</v>
      </c>
      <c r="DO209" s="76">
        <v>0</v>
      </c>
      <c r="DP209" s="76">
        <v>0</v>
      </c>
      <c r="DQ209" s="76">
        <v>0</v>
      </c>
      <c r="DR209" s="76">
        <v>0</v>
      </c>
      <c r="DS209" s="76">
        <v>0</v>
      </c>
      <c r="DT209" s="76">
        <v>0</v>
      </c>
      <c r="DU209" s="76">
        <v>0</v>
      </c>
      <c r="DV209" s="76">
        <v>0</v>
      </c>
      <c r="DW209" s="76">
        <v>0</v>
      </c>
      <c r="DX209" s="76">
        <v>0</v>
      </c>
      <c r="DY209" s="76">
        <v>0</v>
      </c>
      <c r="DZ209" s="76">
        <v>0</v>
      </c>
      <c r="EA209" s="76">
        <v>0</v>
      </c>
      <c r="EB209" s="76">
        <v>3851</v>
      </c>
      <c r="EC209" s="76">
        <v>0</v>
      </c>
      <c r="ED209" s="76">
        <v>3443</v>
      </c>
      <c r="EE209" s="76">
        <v>408</v>
      </c>
      <c r="EF209" s="76">
        <v>3851</v>
      </c>
      <c r="EG209" s="76">
        <v>0</v>
      </c>
      <c r="EH209" s="76">
        <v>3443</v>
      </c>
      <c r="EI209" s="76">
        <v>408</v>
      </c>
      <c r="EJ209" s="76">
        <v>8808</v>
      </c>
      <c r="EK209" s="76">
        <v>2919</v>
      </c>
      <c r="EL209" s="76">
        <v>5470</v>
      </c>
      <c r="EM209" s="76">
        <v>419</v>
      </c>
      <c r="EN209" s="76">
        <v>5172</v>
      </c>
      <c r="EO209" s="76">
        <v>1961</v>
      </c>
      <c r="EP209" s="76">
        <v>3401</v>
      </c>
      <c r="EQ209" s="76">
        <v>1961</v>
      </c>
      <c r="ER209" s="76">
        <v>364717</v>
      </c>
      <c r="ES209" s="76">
        <v>0</v>
      </c>
      <c r="ET209" s="76">
        <v>364717</v>
      </c>
      <c r="EU209" s="76">
        <v>20914</v>
      </c>
      <c r="EV209" s="76">
        <v>-3676</v>
      </c>
      <c r="EW209" s="76">
        <v>0</v>
      </c>
      <c r="EX209" s="76">
        <v>0</v>
      </c>
      <c r="EY209" s="76">
        <v>-554</v>
      </c>
      <c r="EZ209" s="76">
        <v>381401</v>
      </c>
      <c r="FA209" s="76">
        <v>63612</v>
      </c>
      <c r="FB209" s="76">
        <v>10375</v>
      </c>
      <c r="FC209" s="76">
        <v>0</v>
      </c>
      <c r="FD209" s="76">
        <v>0</v>
      </c>
      <c r="FE209" s="76">
        <v>-1237</v>
      </c>
      <c r="FF209" s="76">
        <v>0</v>
      </c>
      <c r="FG209" s="76">
        <v>0</v>
      </c>
      <c r="FH209" s="76">
        <v>72750</v>
      </c>
      <c r="FI209" s="76">
        <v>308651</v>
      </c>
      <c r="FJ209" s="76">
        <v>301105</v>
      </c>
      <c r="FK209" s="76">
        <v>260</v>
      </c>
      <c r="FL209" s="76">
        <v>270</v>
      </c>
      <c r="FM209" s="76">
        <v>-10</v>
      </c>
      <c r="FN209" s="76">
        <v>2132</v>
      </c>
      <c r="FO209" s="76">
        <v>1197</v>
      </c>
      <c r="FP209" s="76">
        <v>935</v>
      </c>
      <c r="FQ209" s="76">
        <v>1020</v>
      </c>
      <c r="FR209" s="76">
        <v>1062</v>
      </c>
      <c r="FS209" s="76">
        <v>-42</v>
      </c>
      <c r="FT209" s="76">
        <v>2601</v>
      </c>
      <c r="FU209" s="76">
        <v>1271</v>
      </c>
      <c r="FV209" s="76">
        <v>1330</v>
      </c>
      <c r="FW209" s="76">
        <v>0</v>
      </c>
      <c r="FX209" s="76">
        <v>0</v>
      </c>
      <c r="FY209" s="76">
        <v>0</v>
      </c>
      <c r="FZ209" s="76">
        <v>0</v>
      </c>
      <c r="GA209" s="76">
        <v>0</v>
      </c>
      <c r="GB209" s="76">
        <v>0</v>
      </c>
      <c r="GC209" s="76">
        <v>6013</v>
      </c>
      <c r="GD209" s="76">
        <v>3800</v>
      </c>
      <c r="GE209" s="76">
        <v>2213</v>
      </c>
      <c r="GF209" s="76">
        <v>0</v>
      </c>
      <c r="GG209" s="76">
        <v>0</v>
      </c>
      <c r="GH209" s="76">
        <v>0</v>
      </c>
      <c r="GI209" s="76">
        <v>0</v>
      </c>
      <c r="GJ209" s="76">
        <v>0</v>
      </c>
      <c r="GK209" s="76">
        <v>320</v>
      </c>
      <c r="GL209" s="76">
        <v>320</v>
      </c>
      <c r="GM209" s="76">
        <v>2632</v>
      </c>
      <c r="GN209" s="76">
        <v>1550</v>
      </c>
      <c r="GO209" s="76">
        <v>0</v>
      </c>
      <c r="GP209" s="76">
        <v>0</v>
      </c>
      <c r="GQ209" s="76">
        <v>0</v>
      </c>
      <c r="GR209" s="76">
        <v>10951</v>
      </c>
      <c r="GS209" s="76">
        <v>0</v>
      </c>
      <c r="GT209" s="76">
        <v>0</v>
      </c>
      <c r="GU209" s="76">
        <v>0</v>
      </c>
      <c r="GV209" s="76">
        <v>0</v>
      </c>
      <c r="GW209" s="76">
        <v>0</v>
      </c>
      <c r="GX209" s="76">
        <v>15133</v>
      </c>
      <c r="GY209" s="76">
        <v>5910</v>
      </c>
      <c r="GZ209" s="76">
        <v>1770</v>
      </c>
      <c r="HA209" s="76">
        <v>0</v>
      </c>
      <c r="HB209" s="76">
        <v>410</v>
      </c>
      <c r="HC209" s="76">
        <v>8090</v>
      </c>
      <c r="HD209" s="76">
        <v>0</v>
      </c>
      <c r="HE209" s="76">
        <v>0</v>
      </c>
      <c r="HF209" s="76">
        <v>0</v>
      </c>
      <c r="HG209" s="76">
        <v>8143</v>
      </c>
      <c r="HH209" s="76">
        <v>39</v>
      </c>
      <c r="HI209" s="76">
        <v>0</v>
      </c>
      <c r="HJ209" s="76">
        <v>4</v>
      </c>
      <c r="HK209" s="76">
        <v>604</v>
      </c>
      <c r="HL209" s="76">
        <v>0</v>
      </c>
      <c r="HM209" s="76">
        <v>8790</v>
      </c>
      <c r="HN209" s="76">
        <v>6828</v>
      </c>
      <c r="HO209" s="76">
        <v>11533</v>
      </c>
      <c r="HP209" s="76">
        <v>0</v>
      </c>
      <c r="HQ209" s="76">
        <v>97</v>
      </c>
      <c r="HR209" s="76">
        <v>-215</v>
      </c>
      <c r="HS209" s="76">
        <v>0</v>
      </c>
      <c r="HT209" s="76">
        <v>21589</v>
      </c>
      <c r="HU209" s="76">
        <v>0</v>
      </c>
      <c r="HV209" s="76">
        <v>0</v>
      </c>
      <c r="HW209" s="76">
        <v>0</v>
      </c>
      <c r="HX209" s="76">
        <v>0</v>
      </c>
    </row>
    <row r="210" spans="1:232" x14ac:dyDescent="0.2">
      <c r="A210" s="74" t="s">
        <v>779</v>
      </c>
      <c r="B210" s="74" t="s">
        <v>778</v>
      </c>
      <c r="C210" s="75" t="s">
        <v>200</v>
      </c>
      <c r="D210" s="75">
        <v>12</v>
      </c>
      <c r="E210" s="76">
        <v>26658</v>
      </c>
      <c r="F210" s="76">
        <v>-6065</v>
      </c>
      <c r="G210" s="76">
        <v>-14354</v>
      </c>
      <c r="H210" s="76">
        <v>6239</v>
      </c>
      <c r="I210" s="76">
        <v>1334</v>
      </c>
      <c r="J210" s="76">
        <v>0</v>
      </c>
      <c r="K210" s="76">
        <v>0</v>
      </c>
      <c r="L210" s="76">
        <v>0</v>
      </c>
      <c r="M210" s="76">
        <v>6</v>
      </c>
      <c r="N210" s="76">
        <v>-3244</v>
      </c>
      <c r="O210" s="76">
        <v>2031</v>
      </c>
      <c r="P210" s="76">
        <v>0</v>
      </c>
      <c r="Q210" s="76">
        <v>0</v>
      </c>
      <c r="R210" s="76">
        <v>0</v>
      </c>
      <c r="S210" s="76">
        <v>6366</v>
      </c>
      <c r="T210" s="76">
        <v>3</v>
      </c>
      <c r="U210" s="76">
        <v>6369</v>
      </c>
      <c r="V210" s="76">
        <v>0</v>
      </c>
      <c r="W210" s="76">
        <v>406</v>
      </c>
      <c r="X210" s="76">
        <v>0</v>
      </c>
      <c r="Y210" s="76">
        <v>0</v>
      </c>
      <c r="Z210" s="76">
        <v>6775</v>
      </c>
      <c r="AA210" s="76">
        <v>13544</v>
      </c>
      <c r="AB210" s="76">
        <v>3390</v>
      </c>
      <c r="AC210" s="76">
        <v>16934</v>
      </c>
      <c r="AD210" s="76">
        <v>60</v>
      </c>
      <c r="AE210" s="76">
        <v>0</v>
      </c>
      <c r="AF210" s="76">
        <v>0</v>
      </c>
      <c r="AG210" s="76">
        <v>204</v>
      </c>
      <c r="AH210" s="76">
        <v>17198</v>
      </c>
      <c r="AI210" s="76">
        <v>2556</v>
      </c>
      <c r="AJ210" s="76">
        <v>3504</v>
      </c>
      <c r="AK210" s="76">
        <v>2484</v>
      </c>
      <c r="AL210" s="76">
        <v>2436</v>
      </c>
      <c r="AM210" s="76">
        <v>0</v>
      </c>
      <c r="AN210" s="76">
        <v>130</v>
      </c>
      <c r="AO210" s="76">
        <v>2076</v>
      </c>
      <c r="AP210" s="76">
        <v>0</v>
      </c>
      <c r="AQ210" s="76">
        <v>0</v>
      </c>
      <c r="AR210" s="76">
        <v>13186</v>
      </c>
      <c r="AS210" s="76">
        <v>4012</v>
      </c>
      <c r="AT210" s="76">
        <v>39</v>
      </c>
      <c r="AU210" s="76">
        <v>154245</v>
      </c>
      <c r="AV210" s="76">
        <v>0</v>
      </c>
      <c r="AW210" s="76">
        <v>4177</v>
      </c>
      <c r="AX210" s="76">
        <v>282</v>
      </c>
      <c r="AY210" s="76">
        <v>0</v>
      </c>
      <c r="AZ210" s="76">
        <v>7135</v>
      </c>
      <c r="BA210" s="76">
        <v>0</v>
      </c>
      <c r="BB210" s="76">
        <v>0</v>
      </c>
      <c r="BC210" s="76">
        <v>0</v>
      </c>
      <c r="BD210" s="76">
        <v>0</v>
      </c>
      <c r="BE210" s="76">
        <v>165839</v>
      </c>
      <c r="BF210" s="76">
        <v>1855</v>
      </c>
      <c r="BG210" s="76">
        <v>1207</v>
      </c>
      <c r="BH210" s="76">
        <v>10886</v>
      </c>
      <c r="BI210" s="76">
        <v>0</v>
      </c>
      <c r="BJ210" s="76">
        <v>1325</v>
      </c>
      <c r="BK210" s="76">
        <v>15273</v>
      </c>
      <c r="BL210" s="76">
        <v>0</v>
      </c>
      <c r="BM210" s="76">
        <v>0</v>
      </c>
      <c r="BN210" s="76">
        <v>1080</v>
      </c>
      <c r="BO210" s="76">
        <v>5431</v>
      </c>
      <c r="BP210" s="76">
        <v>6511</v>
      </c>
      <c r="BQ210" s="76">
        <v>8762</v>
      </c>
      <c r="BR210" s="76">
        <v>174601</v>
      </c>
      <c r="BS210" s="76">
        <v>56614</v>
      </c>
      <c r="BT210" s="76">
        <v>0</v>
      </c>
      <c r="BU210" s="76">
        <v>0</v>
      </c>
      <c r="BV210" s="76">
        <v>6552</v>
      </c>
      <c r="BW210" s="76">
        <v>0</v>
      </c>
      <c r="BX210" s="76">
        <v>0</v>
      </c>
      <c r="BY210" s="76">
        <v>2217</v>
      </c>
      <c r="BZ210" s="76">
        <v>65383</v>
      </c>
      <c r="CA210" s="76">
        <v>2461</v>
      </c>
      <c r="CB210" s="76">
        <v>0</v>
      </c>
      <c r="CC210" s="76">
        <v>106757</v>
      </c>
      <c r="CD210" s="76">
        <v>91289</v>
      </c>
      <c r="CE210" s="76">
        <v>15379</v>
      </c>
      <c r="CF210" s="76">
        <v>89</v>
      </c>
      <c r="CG210" s="76">
        <v>0</v>
      </c>
      <c r="CH210" s="76">
        <v>0</v>
      </c>
      <c r="CI210" s="76">
        <v>106757</v>
      </c>
      <c r="CJ210" s="76">
        <v>544</v>
      </c>
      <c r="CK210" s="76">
        <v>484</v>
      </c>
      <c r="CL210" s="76">
        <v>0</v>
      </c>
      <c r="CM210" s="76">
        <v>60</v>
      </c>
      <c r="CN210" s="76">
        <v>0</v>
      </c>
      <c r="CO210" s="76">
        <v>0</v>
      </c>
      <c r="CP210" s="76">
        <v>0</v>
      </c>
      <c r="CQ210" s="76">
        <v>0</v>
      </c>
      <c r="CR210" s="76">
        <v>0</v>
      </c>
      <c r="CS210" s="76">
        <v>0</v>
      </c>
      <c r="CT210" s="76">
        <v>320</v>
      </c>
      <c r="CU210" s="76">
        <v>-320</v>
      </c>
      <c r="CV210" s="76">
        <v>35</v>
      </c>
      <c r="CW210" s="76">
        <v>0</v>
      </c>
      <c r="CX210" s="76">
        <v>423</v>
      </c>
      <c r="CY210" s="76">
        <v>-388</v>
      </c>
      <c r="CZ210" s="76">
        <v>0</v>
      </c>
      <c r="DA210" s="76">
        <v>0</v>
      </c>
      <c r="DB210" s="76">
        <v>0</v>
      </c>
      <c r="DC210" s="76">
        <v>0</v>
      </c>
      <c r="DD210" s="76">
        <v>579</v>
      </c>
      <c r="DE210" s="76">
        <v>484</v>
      </c>
      <c r="DF210" s="76">
        <v>743</v>
      </c>
      <c r="DG210" s="76">
        <v>-648</v>
      </c>
      <c r="DH210" s="76">
        <v>7741</v>
      </c>
      <c r="DI210" s="76">
        <v>4926</v>
      </c>
      <c r="DJ210" s="76">
        <v>0</v>
      </c>
      <c r="DK210" s="76">
        <v>2815</v>
      </c>
      <c r="DL210" s="76">
        <v>0</v>
      </c>
      <c r="DM210" s="76">
        <v>0</v>
      </c>
      <c r="DN210" s="76">
        <v>0</v>
      </c>
      <c r="DO210" s="76">
        <v>0</v>
      </c>
      <c r="DP210" s="76">
        <v>0</v>
      </c>
      <c r="DQ210" s="76">
        <v>0</v>
      </c>
      <c r="DR210" s="76">
        <v>0</v>
      </c>
      <c r="DS210" s="76">
        <v>0</v>
      </c>
      <c r="DT210" s="76">
        <v>0</v>
      </c>
      <c r="DU210" s="76">
        <v>0</v>
      </c>
      <c r="DV210" s="76">
        <v>0</v>
      </c>
      <c r="DW210" s="76">
        <v>0</v>
      </c>
      <c r="DX210" s="76">
        <v>0</v>
      </c>
      <c r="DY210" s="76">
        <v>0</v>
      </c>
      <c r="DZ210" s="76">
        <v>0</v>
      </c>
      <c r="EA210" s="76">
        <v>0</v>
      </c>
      <c r="EB210" s="76">
        <v>1140</v>
      </c>
      <c r="EC210" s="76">
        <v>655</v>
      </c>
      <c r="ED210" s="76">
        <v>425</v>
      </c>
      <c r="EE210" s="76">
        <v>60</v>
      </c>
      <c r="EF210" s="76">
        <v>8881</v>
      </c>
      <c r="EG210" s="76">
        <v>5581</v>
      </c>
      <c r="EH210" s="76">
        <v>425</v>
      </c>
      <c r="EI210" s="76">
        <v>2875</v>
      </c>
      <c r="EJ210" s="76">
        <v>9460</v>
      </c>
      <c r="EK210" s="76">
        <v>6065</v>
      </c>
      <c r="EL210" s="76">
        <v>1168</v>
      </c>
      <c r="EM210" s="76">
        <v>2227</v>
      </c>
      <c r="EN210" s="76">
        <v>847</v>
      </c>
      <c r="EO210" s="76">
        <v>233</v>
      </c>
      <c r="EP210" s="76">
        <v>509</v>
      </c>
      <c r="EQ210" s="76">
        <v>222</v>
      </c>
      <c r="ER210" s="76">
        <v>157945</v>
      </c>
      <c r="ES210" s="76">
        <v>0</v>
      </c>
      <c r="ET210" s="76">
        <v>157945</v>
      </c>
      <c r="EU210" s="76">
        <v>1687</v>
      </c>
      <c r="EV210" s="76">
        <v>-802</v>
      </c>
      <c r="EW210" s="76">
        <v>0</v>
      </c>
      <c r="EX210" s="76">
        <v>1335</v>
      </c>
      <c r="EY210" s="76">
        <v>464</v>
      </c>
      <c r="EZ210" s="76">
        <v>160629</v>
      </c>
      <c r="FA210" s="76">
        <v>4354</v>
      </c>
      <c r="FB210" s="76">
        <v>2064</v>
      </c>
      <c r="FC210" s="76">
        <v>0</v>
      </c>
      <c r="FD210" s="76">
        <v>0</v>
      </c>
      <c r="FE210" s="76">
        <v>-34</v>
      </c>
      <c r="FF210" s="76">
        <v>0</v>
      </c>
      <c r="FG210" s="76">
        <v>0</v>
      </c>
      <c r="FH210" s="76">
        <v>6384</v>
      </c>
      <c r="FI210" s="76">
        <v>154245</v>
      </c>
      <c r="FJ210" s="76">
        <v>153591</v>
      </c>
      <c r="FK210" s="76">
        <v>911</v>
      </c>
      <c r="FL210" s="76">
        <v>320</v>
      </c>
      <c r="FM210" s="76">
        <v>591</v>
      </c>
      <c r="FN210" s="76">
        <v>1558</v>
      </c>
      <c r="FO210" s="76">
        <v>850</v>
      </c>
      <c r="FP210" s="76">
        <v>708</v>
      </c>
      <c r="FQ210" s="76">
        <v>0</v>
      </c>
      <c r="FR210" s="76">
        <v>0</v>
      </c>
      <c r="FS210" s="76">
        <v>0</v>
      </c>
      <c r="FT210" s="76">
        <v>35</v>
      </c>
      <c r="FU210" s="76">
        <v>0</v>
      </c>
      <c r="FV210" s="76">
        <v>35</v>
      </c>
      <c r="FW210" s="76">
        <v>0</v>
      </c>
      <c r="FX210" s="76">
        <v>0</v>
      </c>
      <c r="FY210" s="76">
        <v>0</v>
      </c>
      <c r="FZ210" s="76">
        <v>0</v>
      </c>
      <c r="GA210" s="76">
        <v>0</v>
      </c>
      <c r="GB210" s="76">
        <v>0</v>
      </c>
      <c r="GC210" s="76">
        <v>2504</v>
      </c>
      <c r="GD210" s="76">
        <v>1170</v>
      </c>
      <c r="GE210" s="76">
        <v>1334</v>
      </c>
      <c r="GF210" s="76">
        <v>0</v>
      </c>
      <c r="GG210" s="76">
        <v>13</v>
      </c>
      <c r="GH210" s="76">
        <v>0</v>
      </c>
      <c r="GI210" s="76">
        <v>0</v>
      </c>
      <c r="GJ210" s="76">
        <v>0</v>
      </c>
      <c r="GK210" s="76">
        <v>1312</v>
      </c>
      <c r="GL210" s="76">
        <v>1325</v>
      </c>
      <c r="GM210" s="76">
        <v>196</v>
      </c>
      <c r="GN210" s="76">
        <v>0</v>
      </c>
      <c r="GO210" s="76">
        <v>0</v>
      </c>
      <c r="GP210" s="76">
        <v>184</v>
      </c>
      <c r="GQ210" s="76">
        <v>927</v>
      </c>
      <c r="GR210" s="76">
        <v>3193</v>
      </c>
      <c r="GS210" s="76">
        <v>0</v>
      </c>
      <c r="GT210" s="76">
        <v>0</v>
      </c>
      <c r="GU210" s="76">
        <v>0</v>
      </c>
      <c r="GV210" s="76">
        <v>0</v>
      </c>
      <c r="GW210" s="76">
        <v>931</v>
      </c>
      <c r="GX210" s="76">
        <v>5431</v>
      </c>
      <c r="GY210" s="76">
        <v>933</v>
      </c>
      <c r="GZ210" s="76">
        <v>1284</v>
      </c>
      <c r="HA210" s="76">
        <v>0</v>
      </c>
      <c r="HB210" s="76">
        <v>0</v>
      </c>
      <c r="HC210" s="76">
        <v>2217</v>
      </c>
      <c r="HD210" s="76">
        <v>0</v>
      </c>
      <c r="HE210" s="76">
        <v>0</v>
      </c>
      <c r="HF210" s="76">
        <v>0</v>
      </c>
      <c r="HG210" s="76">
        <v>3283</v>
      </c>
      <c r="HH210" s="76">
        <v>0</v>
      </c>
      <c r="HI210" s="76">
        <v>70</v>
      </c>
      <c r="HJ210" s="76">
        <v>7</v>
      </c>
      <c r="HK210" s="76">
        <v>0</v>
      </c>
      <c r="HL210" s="76">
        <v>-116</v>
      </c>
      <c r="HM210" s="76">
        <v>3244</v>
      </c>
      <c r="HN210" s="76">
        <v>706</v>
      </c>
      <c r="HO210" s="76">
        <v>2374</v>
      </c>
      <c r="HP210" s="76">
        <v>0</v>
      </c>
      <c r="HQ210" s="76">
        <v>27</v>
      </c>
      <c r="HR210" s="76">
        <v>-10</v>
      </c>
      <c r="HS210" s="76">
        <v>10</v>
      </c>
      <c r="HT210" s="76">
        <v>3193</v>
      </c>
      <c r="HU210" s="76">
        <v>0</v>
      </c>
      <c r="HV210" s="76">
        <v>0</v>
      </c>
      <c r="HW210" s="76">
        <v>0</v>
      </c>
      <c r="HX210" s="76">
        <v>0</v>
      </c>
    </row>
    <row r="211" spans="1:232" x14ac:dyDescent="0.2">
      <c r="A211" s="74" t="s">
        <v>179</v>
      </c>
      <c r="B211" s="74" t="s">
        <v>177</v>
      </c>
      <c r="C211" s="75" t="s">
        <v>200</v>
      </c>
      <c r="D211" s="75">
        <v>12</v>
      </c>
      <c r="E211" s="76">
        <v>66077</v>
      </c>
      <c r="F211" s="76">
        <v>0</v>
      </c>
      <c r="G211" s="76">
        <v>-35536</v>
      </c>
      <c r="H211" s="76">
        <v>30541</v>
      </c>
      <c r="I211" s="76">
        <v>4855</v>
      </c>
      <c r="J211" s="76">
        <v>0</v>
      </c>
      <c r="K211" s="76">
        <v>-198</v>
      </c>
      <c r="L211" s="76">
        <v>0</v>
      </c>
      <c r="M211" s="76">
        <v>145</v>
      </c>
      <c r="N211" s="76">
        <v>-9768</v>
      </c>
      <c r="O211" s="76">
        <v>2715</v>
      </c>
      <c r="P211" s="76">
        <v>0</v>
      </c>
      <c r="Q211" s="76">
        <v>0</v>
      </c>
      <c r="R211" s="76">
        <v>0</v>
      </c>
      <c r="S211" s="76">
        <v>28290</v>
      </c>
      <c r="T211" s="76">
        <v>-156</v>
      </c>
      <c r="U211" s="76">
        <v>28134</v>
      </c>
      <c r="V211" s="76">
        <v>0</v>
      </c>
      <c r="W211" s="76">
        <v>-1035</v>
      </c>
      <c r="X211" s="76">
        <v>0</v>
      </c>
      <c r="Y211" s="76">
        <v>152</v>
      </c>
      <c r="Z211" s="76">
        <v>27251</v>
      </c>
      <c r="AA211" s="76">
        <v>50823</v>
      </c>
      <c r="AB211" s="76">
        <v>2534</v>
      </c>
      <c r="AC211" s="76">
        <v>53357</v>
      </c>
      <c r="AD211" s="76">
        <v>85</v>
      </c>
      <c r="AE211" s="76">
        <v>0</v>
      </c>
      <c r="AF211" s="76">
        <v>0</v>
      </c>
      <c r="AG211" s="76">
        <v>0</v>
      </c>
      <c r="AH211" s="76">
        <v>53442</v>
      </c>
      <c r="AI211" s="76">
        <v>9038</v>
      </c>
      <c r="AJ211" s="76">
        <v>2659</v>
      </c>
      <c r="AK211" s="76">
        <v>4496</v>
      </c>
      <c r="AL211" s="76">
        <v>4145</v>
      </c>
      <c r="AM211" s="76">
        <v>1041</v>
      </c>
      <c r="AN211" s="76">
        <v>343</v>
      </c>
      <c r="AO211" s="76">
        <v>6070</v>
      </c>
      <c r="AP211" s="76">
        <v>0</v>
      </c>
      <c r="AQ211" s="76">
        <v>0</v>
      </c>
      <c r="AR211" s="76">
        <v>27792</v>
      </c>
      <c r="AS211" s="76">
        <v>25650</v>
      </c>
      <c r="AT211" s="76">
        <v>710</v>
      </c>
      <c r="AU211" s="76">
        <v>750725</v>
      </c>
      <c r="AV211" s="76">
        <v>0</v>
      </c>
      <c r="AW211" s="76">
        <v>2029</v>
      </c>
      <c r="AX211" s="76">
        <v>304</v>
      </c>
      <c r="AY211" s="76">
        <v>0</v>
      </c>
      <c r="AZ211" s="76">
        <v>22360</v>
      </c>
      <c r="BA211" s="76">
        <v>0</v>
      </c>
      <c r="BB211" s="76">
        <v>0</v>
      </c>
      <c r="BC211" s="76">
        <v>0</v>
      </c>
      <c r="BD211" s="76">
        <v>0</v>
      </c>
      <c r="BE211" s="76">
        <v>775418</v>
      </c>
      <c r="BF211" s="76">
        <v>3258</v>
      </c>
      <c r="BG211" s="76">
        <v>1334</v>
      </c>
      <c r="BH211" s="76">
        <v>22525</v>
      </c>
      <c r="BI211" s="76">
        <v>0</v>
      </c>
      <c r="BJ211" s="76">
        <v>3095</v>
      </c>
      <c r="BK211" s="76">
        <v>30212</v>
      </c>
      <c r="BL211" s="76">
        <v>0</v>
      </c>
      <c r="BM211" s="76">
        <v>0</v>
      </c>
      <c r="BN211" s="76">
        <v>0</v>
      </c>
      <c r="BO211" s="76">
        <v>11280</v>
      </c>
      <c r="BP211" s="76">
        <v>11280</v>
      </c>
      <c r="BQ211" s="76">
        <v>18932</v>
      </c>
      <c r="BR211" s="76">
        <v>794350</v>
      </c>
      <c r="BS211" s="76">
        <v>394935</v>
      </c>
      <c r="BT211" s="76">
        <v>0</v>
      </c>
      <c r="BU211" s="76">
        <v>0</v>
      </c>
      <c r="BV211" s="76">
        <v>12665</v>
      </c>
      <c r="BW211" s="76">
        <v>0</v>
      </c>
      <c r="BX211" s="76">
        <v>0</v>
      </c>
      <c r="BY211" s="76">
        <v>1443</v>
      </c>
      <c r="BZ211" s="76">
        <v>409043</v>
      </c>
      <c r="CA211" s="76">
        <v>6344</v>
      </c>
      <c r="CB211" s="76">
        <v>0</v>
      </c>
      <c r="CC211" s="76">
        <v>378963</v>
      </c>
      <c r="CD211" s="76">
        <v>173038</v>
      </c>
      <c r="CE211" s="76">
        <v>203355</v>
      </c>
      <c r="CF211" s="76">
        <v>2200</v>
      </c>
      <c r="CG211" s="76">
        <v>0</v>
      </c>
      <c r="CH211" s="76">
        <v>370</v>
      </c>
      <c r="CI211" s="76">
        <v>378963</v>
      </c>
      <c r="CJ211" s="76">
        <v>6547</v>
      </c>
      <c r="CK211" s="76">
        <v>0</v>
      </c>
      <c r="CL211" s="76">
        <v>4279</v>
      </c>
      <c r="CM211" s="76">
        <v>2268</v>
      </c>
      <c r="CN211" s="76">
        <v>0</v>
      </c>
      <c r="CO211" s="76">
        <v>0</v>
      </c>
      <c r="CP211" s="76">
        <v>0</v>
      </c>
      <c r="CQ211" s="76">
        <v>0</v>
      </c>
      <c r="CR211" s="76">
        <v>0</v>
      </c>
      <c r="CS211" s="76">
        <v>0</v>
      </c>
      <c r="CT211" s="76">
        <v>0</v>
      </c>
      <c r="CU211" s="76">
        <v>0</v>
      </c>
      <c r="CV211" s="76">
        <v>0</v>
      </c>
      <c r="CW211" s="76">
        <v>0</v>
      </c>
      <c r="CX211" s="76">
        <v>0</v>
      </c>
      <c r="CY211" s="76">
        <v>0</v>
      </c>
      <c r="CZ211" s="76">
        <v>0</v>
      </c>
      <c r="DA211" s="76">
        <v>0</v>
      </c>
      <c r="DB211" s="76">
        <v>0</v>
      </c>
      <c r="DC211" s="76">
        <v>0</v>
      </c>
      <c r="DD211" s="76">
        <v>6547</v>
      </c>
      <c r="DE211" s="76">
        <v>0</v>
      </c>
      <c r="DF211" s="76">
        <v>4279</v>
      </c>
      <c r="DG211" s="76">
        <v>2268</v>
      </c>
      <c r="DH211" s="76">
        <v>4371</v>
      </c>
      <c r="DI211" s="76">
        <v>0</v>
      </c>
      <c r="DJ211" s="76">
        <v>2776</v>
      </c>
      <c r="DK211" s="76">
        <v>1595</v>
      </c>
      <c r="DL211" s="76">
        <v>0</v>
      </c>
      <c r="DM211" s="76">
        <v>0</v>
      </c>
      <c r="DN211" s="76">
        <v>0</v>
      </c>
      <c r="DO211" s="76">
        <v>0</v>
      </c>
      <c r="DP211" s="76">
        <v>0</v>
      </c>
      <c r="DQ211" s="76">
        <v>0</v>
      </c>
      <c r="DR211" s="76">
        <v>0</v>
      </c>
      <c r="DS211" s="76">
        <v>0</v>
      </c>
      <c r="DT211" s="76">
        <v>1336</v>
      </c>
      <c r="DU211" s="76">
        <v>0</v>
      </c>
      <c r="DV211" s="76">
        <v>486</v>
      </c>
      <c r="DW211" s="76">
        <v>850</v>
      </c>
      <c r="DX211" s="76">
        <v>0</v>
      </c>
      <c r="DY211" s="76">
        <v>0</v>
      </c>
      <c r="DZ211" s="76">
        <v>0</v>
      </c>
      <c r="EA211" s="76">
        <v>0</v>
      </c>
      <c r="EB211" s="76">
        <v>381</v>
      </c>
      <c r="EC211" s="76">
        <v>0</v>
      </c>
      <c r="ED211" s="76">
        <v>203</v>
      </c>
      <c r="EE211" s="76">
        <v>178</v>
      </c>
      <c r="EF211" s="76">
        <v>6088</v>
      </c>
      <c r="EG211" s="76">
        <v>0</v>
      </c>
      <c r="EH211" s="76">
        <v>3465</v>
      </c>
      <c r="EI211" s="76">
        <v>2623</v>
      </c>
      <c r="EJ211" s="76">
        <v>12635</v>
      </c>
      <c r="EK211" s="76">
        <v>0</v>
      </c>
      <c r="EL211" s="76">
        <v>7744</v>
      </c>
      <c r="EM211" s="76">
        <v>4891</v>
      </c>
      <c r="EN211" s="76">
        <v>1387</v>
      </c>
      <c r="EO211" s="76">
        <v>1009</v>
      </c>
      <c r="EP211" s="76">
        <v>53</v>
      </c>
      <c r="EQ211" s="76">
        <v>1009</v>
      </c>
      <c r="ER211" s="76">
        <v>799660</v>
      </c>
      <c r="ES211" s="76">
        <v>0</v>
      </c>
      <c r="ET211" s="76">
        <v>799660</v>
      </c>
      <c r="EU211" s="76">
        <v>8982</v>
      </c>
      <c r="EV211" s="76">
        <v>-40509</v>
      </c>
      <c r="EW211" s="76">
        <v>0</v>
      </c>
      <c r="EX211" s="76">
        <v>-3276</v>
      </c>
      <c r="EY211" s="76">
        <v>303</v>
      </c>
      <c r="EZ211" s="76">
        <v>765160</v>
      </c>
      <c r="FA211" s="76">
        <v>13922</v>
      </c>
      <c r="FB211" s="76">
        <v>5941</v>
      </c>
      <c r="FC211" s="76">
        <v>0</v>
      </c>
      <c r="FD211" s="76">
        <v>0</v>
      </c>
      <c r="FE211" s="76">
        <v>-5807</v>
      </c>
      <c r="FF211" s="76">
        <v>-94</v>
      </c>
      <c r="FG211" s="76">
        <v>473</v>
      </c>
      <c r="FH211" s="76">
        <v>14435</v>
      </c>
      <c r="FI211" s="76">
        <v>750725</v>
      </c>
      <c r="FJ211" s="76">
        <v>785738</v>
      </c>
      <c r="FK211" s="76">
        <v>1807</v>
      </c>
      <c r="FL211" s="76">
        <v>1319</v>
      </c>
      <c r="FM211" s="76">
        <v>488</v>
      </c>
      <c r="FN211" s="76">
        <v>0</v>
      </c>
      <c r="FO211" s="76">
        <v>0</v>
      </c>
      <c r="FP211" s="76">
        <v>0</v>
      </c>
      <c r="FQ211" s="76">
        <v>0</v>
      </c>
      <c r="FR211" s="76">
        <v>0</v>
      </c>
      <c r="FS211" s="76">
        <v>0</v>
      </c>
      <c r="FT211" s="76">
        <v>2806</v>
      </c>
      <c r="FU211" s="76">
        <v>1605</v>
      </c>
      <c r="FV211" s="76">
        <v>1201</v>
      </c>
      <c r="FW211" s="76">
        <v>36041</v>
      </c>
      <c r="FX211" s="76">
        <v>34201</v>
      </c>
      <c r="FY211" s="76">
        <v>1840</v>
      </c>
      <c r="FZ211" s="76">
        <v>1555</v>
      </c>
      <c r="GA211" s="76">
        <v>229</v>
      </c>
      <c r="GB211" s="76">
        <v>1326</v>
      </c>
      <c r="GC211" s="76">
        <v>42209</v>
      </c>
      <c r="GD211" s="76">
        <v>37354</v>
      </c>
      <c r="GE211" s="76">
        <v>4855</v>
      </c>
      <c r="GF211" s="76">
        <v>0</v>
      </c>
      <c r="GG211" s="76">
        <v>0</v>
      </c>
      <c r="GH211" s="76">
        <v>0</v>
      </c>
      <c r="GI211" s="76">
        <v>0</v>
      </c>
      <c r="GJ211" s="76">
        <v>0</v>
      </c>
      <c r="GK211" s="76">
        <v>3095</v>
      </c>
      <c r="GL211" s="76">
        <v>3095</v>
      </c>
      <c r="GM211" s="76">
        <v>1408</v>
      </c>
      <c r="GN211" s="76">
        <v>1742</v>
      </c>
      <c r="GO211" s="76">
        <v>0</v>
      </c>
      <c r="GP211" s="76">
        <v>476</v>
      </c>
      <c r="GQ211" s="76">
        <v>225</v>
      </c>
      <c r="GR211" s="76">
        <v>5099</v>
      </c>
      <c r="GS211" s="76">
        <v>0</v>
      </c>
      <c r="GT211" s="76">
        <v>0</v>
      </c>
      <c r="GU211" s="76">
        <v>0</v>
      </c>
      <c r="GV211" s="76">
        <v>0</v>
      </c>
      <c r="GW211" s="76">
        <v>2330</v>
      </c>
      <c r="GX211" s="76">
        <v>11280</v>
      </c>
      <c r="GY211" s="76">
        <v>939</v>
      </c>
      <c r="GZ211" s="76">
        <v>0</v>
      </c>
      <c r="HA211" s="76">
        <v>0</v>
      </c>
      <c r="HB211" s="76">
        <v>504</v>
      </c>
      <c r="HC211" s="76">
        <v>1443</v>
      </c>
      <c r="HD211" s="76">
        <v>0</v>
      </c>
      <c r="HE211" s="76">
        <v>0</v>
      </c>
      <c r="HF211" s="76">
        <v>0</v>
      </c>
      <c r="HG211" s="76">
        <v>17316</v>
      </c>
      <c r="HH211" s="76">
        <v>0</v>
      </c>
      <c r="HI211" s="76">
        <v>186</v>
      </c>
      <c r="HJ211" s="76">
        <v>0</v>
      </c>
      <c r="HK211" s="76">
        <v>-7497</v>
      </c>
      <c r="HL211" s="76">
        <v>-237</v>
      </c>
      <c r="HM211" s="76">
        <v>9768</v>
      </c>
      <c r="HN211" s="76">
        <v>3336</v>
      </c>
      <c r="HO211" s="76">
        <v>6204</v>
      </c>
      <c r="HP211" s="76">
        <v>0</v>
      </c>
      <c r="HQ211" s="76">
        <v>49</v>
      </c>
      <c r="HR211" s="76">
        <v>-15</v>
      </c>
      <c r="HS211" s="76">
        <v>-272</v>
      </c>
      <c r="HT211" s="76">
        <v>8755</v>
      </c>
      <c r="HU211" s="76">
        <v>0</v>
      </c>
      <c r="HV211" s="76">
        <v>0</v>
      </c>
      <c r="HW211" s="76">
        <v>0</v>
      </c>
      <c r="HX211" s="76">
        <v>151</v>
      </c>
    </row>
    <row r="212" spans="1:232" x14ac:dyDescent="0.2">
      <c r="A212" s="74" t="s">
        <v>780</v>
      </c>
      <c r="B212" s="74" t="s">
        <v>781</v>
      </c>
      <c r="C212" s="75" t="s">
        <v>200</v>
      </c>
      <c r="D212" s="75">
        <v>12</v>
      </c>
      <c r="E212" s="76">
        <v>53504</v>
      </c>
      <c r="F212" s="76">
        <v>-3795</v>
      </c>
      <c r="G212" s="76">
        <v>-40338</v>
      </c>
      <c r="H212" s="76">
        <v>9371</v>
      </c>
      <c r="I212" s="76">
        <v>3596</v>
      </c>
      <c r="J212" s="76">
        <v>0</v>
      </c>
      <c r="K212" s="76">
        <v>-28589</v>
      </c>
      <c r="L212" s="76">
        <v>0</v>
      </c>
      <c r="M212" s="76">
        <v>98</v>
      </c>
      <c r="N212" s="76">
        <v>-6379</v>
      </c>
      <c r="O212" s="76">
        <v>0</v>
      </c>
      <c r="P212" s="76">
        <v>0</v>
      </c>
      <c r="Q212" s="76">
        <v>0</v>
      </c>
      <c r="R212" s="76">
        <v>0</v>
      </c>
      <c r="S212" s="76">
        <v>-21903</v>
      </c>
      <c r="T212" s="76">
        <v>24</v>
      </c>
      <c r="U212" s="76">
        <v>-21879</v>
      </c>
      <c r="V212" s="76">
        <v>0</v>
      </c>
      <c r="W212" s="76">
        <v>-2352</v>
      </c>
      <c r="X212" s="76">
        <v>0</v>
      </c>
      <c r="Y212" s="76">
        <v>0</v>
      </c>
      <c r="Z212" s="76">
        <v>-24231</v>
      </c>
      <c r="AA212" s="76">
        <v>42514</v>
      </c>
      <c r="AB212" s="76">
        <v>3186</v>
      </c>
      <c r="AC212" s="76">
        <v>45700</v>
      </c>
      <c r="AD212" s="76">
        <v>225</v>
      </c>
      <c r="AE212" s="76">
        <v>0</v>
      </c>
      <c r="AF212" s="76">
        <v>0</v>
      </c>
      <c r="AG212" s="76">
        <v>0</v>
      </c>
      <c r="AH212" s="76">
        <v>45925</v>
      </c>
      <c r="AI212" s="76">
        <v>11655</v>
      </c>
      <c r="AJ212" s="76">
        <v>3785</v>
      </c>
      <c r="AK212" s="76">
        <v>4142</v>
      </c>
      <c r="AL212" s="76">
        <v>3672</v>
      </c>
      <c r="AM212" s="76">
        <v>417</v>
      </c>
      <c r="AN212" s="76">
        <v>410</v>
      </c>
      <c r="AO212" s="76">
        <v>9579</v>
      </c>
      <c r="AP212" s="76">
        <v>0</v>
      </c>
      <c r="AQ212" s="76">
        <v>806</v>
      </c>
      <c r="AR212" s="76">
        <v>34466</v>
      </c>
      <c r="AS212" s="76">
        <v>11459</v>
      </c>
      <c r="AT212" s="76">
        <v>380</v>
      </c>
      <c r="AU212" s="76">
        <v>190086</v>
      </c>
      <c r="AV212" s="76">
        <v>0</v>
      </c>
      <c r="AW212" s="76">
        <v>7917</v>
      </c>
      <c r="AX212" s="76">
        <v>0</v>
      </c>
      <c r="AY212" s="76">
        <v>0</v>
      </c>
      <c r="AZ212" s="76">
        <v>2264</v>
      </c>
      <c r="BA212" s="76">
        <v>0</v>
      </c>
      <c r="BB212" s="76">
        <v>0</v>
      </c>
      <c r="BC212" s="76">
        <v>0</v>
      </c>
      <c r="BD212" s="76">
        <v>0</v>
      </c>
      <c r="BE212" s="76">
        <v>200267</v>
      </c>
      <c r="BF212" s="76">
        <v>21793</v>
      </c>
      <c r="BG212" s="76">
        <v>10068</v>
      </c>
      <c r="BH212" s="76">
        <v>1470</v>
      </c>
      <c r="BI212" s="76">
        <v>0</v>
      </c>
      <c r="BJ212" s="76">
        <v>743</v>
      </c>
      <c r="BK212" s="76">
        <v>34074</v>
      </c>
      <c r="BL212" s="76">
        <v>12500</v>
      </c>
      <c r="BM212" s="76">
        <v>0</v>
      </c>
      <c r="BN212" s="76">
        <v>239</v>
      </c>
      <c r="BO212" s="76">
        <v>12072</v>
      </c>
      <c r="BP212" s="76">
        <v>24811</v>
      </c>
      <c r="BQ212" s="76">
        <v>9263</v>
      </c>
      <c r="BR212" s="76">
        <v>209530</v>
      </c>
      <c r="BS212" s="76">
        <v>148864</v>
      </c>
      <c r="BT212" s="76">
        <v>0</v>
      </c>
      <c r="BU212" s="76">
        <v>0</v>
      </c>
      <c r="BV212" s="76">
        <v>13575</v>
      </c>
      <c r="BW212" s="76">
        <v>0</v>
      </c>
      <c r="BX212" s="76">
        <v>0</v>
      </c>
      <c r="BY212" s="76">
        <v>1201</v>
      </c>
      <c r="BZ212" s="76">
        <v>163640</v>
      </c>
      <c r="CA212" s="76">
        <v>13903</v>
      </c>
      <c r="CB212" s="76">
        <v>1089</v>
      </c>
      <c r="CC212" s="76">
        <v>30898</v>
      </c>
      <c r="CD212" s="76">
        <v>29623</v>
      </c>
      <c r="CE212" s="76">
        <v>1275</v>
      </c>
      <c r="CF212" s="76">
        <v>0</v>
      </c>
      <c r="CG212" s="76">
        <v>0</v>
      </c>
      <c r="CH212" s="76">
        <v>0</v>
      </c>
      <c r="CI212" s="76">
        <v>30898</v>
      </c>
      <c r="CJ212" s="76">
        <v>1305</v>
      </c>
      <c r="CK212" s="76">
        <v>1246</v>
      </c>
      <c r="CL212" s="76">
        <v>88</v>
      </c>
      <c r="CM212" s="76">
        <v>-29</v>
      </c>
      <c r="CN212" s="76">
        <v>1341</v>
      </c>
      <c r="CO212" s="76">
        <v>0</v>
      </c>
      <c r="CP212" s="76">
        <v>2038</v>
      </c>
      <c r="CQ212" s="76">
        <v>-697</v>
      </c>
      <c r="CR212" s="76">
        <v>0</v>
      </c>
      <c r="CS212" s="76">
        <v>0</v>
      </c>
      <c r="CT212" s="76">
        <v>0</v>
      </c>
      <c r="CU212" s="76">
        <v>0</v>
      </c>
      <c r="CV212" s="76">
        <v>0</v>
      </c>
      <c r="CW212" s="76">
        <v>0</v>
      </c>
      <c r="CX212" s="76">
        <v>1591</v>
      </c>
      <c r="CY212" s="76">
        <v>-1591</v>
      </c>
      <c r="CZ212" s="76">
        <v>424</v>
      </c>
      <c r="DA212" s="76">
        <v>0</v>
      </c>
      <c r="DB212" s="76">
        <v>996</v>
      </c>
      <c r="DC212" s="76">
        <v>-572</v>
      </c>
      <c r="DD212" s="76">
        <v>3070</v>
      </c>
      <c r="DE212" s="76">
        <v>1246</v>
      </c>
      <c r="DF212" s="76">
        <v>4713</v>
      </c>
      <c r="DG212" s="76">
        <v>-2889</v>
      </c>
      <c r="DH212" s="76">
        <v>3732</v>
      </c>
      <c r="DI212" s="76">
        <v>2549</v>
      </c>
      <c r="DJ212" s="76">
        <v>397</v>
      </c>
      <c r="DK212" s="76">
        <v>786</v>
      </c>
      <c r="DL212" s="76">
        <v>0</v>
      </c>
      <c r="DM212" s="76">
        <v>0</v>
      </c>
      <c r="DN212" s="76">
        <v>0</v>
      </c>
      <c r="DO212" s="76">
        <v>0</v>
      </c>
      <c r="DP212" s="76">
        <v>0</v>
      </c>
      <c r="DQ212" s="76">
        <v>0</v>
      </c>
      <c r="DR212" s="76">
        <v>0</v>
      </c>
      <c r="DS212" s="76">
        <v>0</v>
      </c>
      <c r="DT212" s="76">
        <v>0</v>
      </c>
      <c r="DU212" s="76">
        <v>0</v>
      </c>
      <c r="DV212" s="76">
        <v>0</v>
      </c>
      <c r="DW212" s="76">
        <v>0</v>
      </c>
      <c r="DX212" s="76">
        <v>0</v>
      </c>
      <c r="DY212" s="76">
        <v>0</v>
      </c>
      <c r="DZ212" s="76">
        <v>0</v>
      </c>
      <c r="EA212" s="76">
        <v>0</v>
      </c>
      <c r="EB212" s="76">
        <v>777</v>
      </c>
      <c r="EC212" s="76">
        <v>0</v>
      </c>
      <c r="ED212" s="76">
        <v>763</v>
      </c>
      <c r="EE212" s="76">
        <v>14</v>
      </c>
      <c r="EF212" s="76">
        <v>4509</v>
      </c>
      <c r="EG212" s="76">
        <v>2549</v>
      </c>
      <c r="EH212" s="76">
        <v>1160</v>
      </c>
      <c r="EI212" s="76">
        <v>800</v>
      </c>
      <c r="EJ212" s="76">
        <v>7579</v>
      </c>
      <c r="EK212" s="76">
        <v>3795</v>
      </c>
      <c r="EL212" s="76">
        <v>5873</v>
      </c>
      <c r="EM212" s="76">
        <v>-2089</v>
      </c>
      <c r="EN212" s="76">
        <v>2152</v>
      </c>
      <c r="EO212" s="76">
        <v>838</v>
      </c>
      <c r="EP212" s="76">
        <v>308</v>
      </c>
      <c r="EQ212" s="76">
        <v>838</v>
      </c>
      <c r="ER212" s="76">
        <v>243839</v>
      </c>
      <c r="ES212" s="76">
        <v>0</v>
      </c>
      <c r="ET212" s="76">
        <v>243839</v>
      </c>
      <c r="EU212" s="76">
        <v>11860</v>
      </c>
      <c r="EV212" s="76">
        <v>-1328</v>
      </c>
      <c r="EW212" s="76">
        <v>0</v>
      </c>
      <c r="EX212" s="76">
        <v>0</v>
      </c>
      <c r="EY212" s="76">
        <v>0</v>
      </c>
      <c r="EZ212" s="76">
        <v>254371</v>
      </c>
      <c r="FA212" s="76">
        <v>55106</v>
      </c>
      <c r="FB212" s="76">
        <v>9577</v>
      </c>
      <c r="FC212" s="76">
        <v>0</v>
      </c>
      <c r="FD212" s="76">
        <v>0</v>
      </c>
      <c r="FE212" s="76">
        <v>-398</v>
      </c>
      <c r="FF212" s="76">
        <v>0</v>
      </c>
      <c r="FG212" s="76">
        <v>0</v>
      </c>
      <c r="FH212" s="76">
        <v>64285</v>
      </c>
      <c r="FI212" s="76">
        <v>190086</v>
      </c>
      <c r="FJ212" s="76">
        <v>188733</v>
      </c>
      <c r="FK212" s="76">
        <v>268</v>
      </c>
      <c r="FL212" s="76">
        <v>124</v>
      </c>
      <c r="FM212" s="76">
        <v>144</v>
      </c>
      <c r="FN212" s="76">
        <v>3512</v>
      </c>
      <c r="FO212" s="76">
        <v>676</v>
      </c>
      <c r="FP212" s="76">
        <v>2836</v>
      </c>
      <c r="FQ212" s="76">
        <v>0</v>
      </c>
      <c r="FR212" s="76">
        <v>0</v>
      </c>
      <c r="FS212" s="76">
        <v>0</v>
      </c>
      <c r="FT212" s="76">
        <v>777</v>
      </c>
      <c r="FU212" s="76">
        <v>161</v>
      </c>
      <c r="FV212" s="76">
        <v>616</v>
      </c>
      <c r="FW212" s="76">
        <v>0</v>
      </c>
      <c r="FX212" s="76">
        <v>0</v>
      </c>
      <c r="FY212" s="76">
        <v>0</v>
      </c>
      <c r="FZ212" s="76">
        <v>0</v>
      </c>
      <c r="GA212" s="76">
        <v>0</v>
      </c>
      <c r="GB212" s="76">
        <v>0</v>
      </c>
      <c r="GC212" s="76">
        <v>4557</v>
      </c>
      <c r="GD212" s="76">
        <v>961</v>
      </c>
      <c r="GE212" s="76">
        <v>3596</v>
      </c>
      <c r="GF212" s="76">
        <v>0</v>
      </c>
      <c r="GG212" s="76">
        <v>0</v>
      </c>
      <c r="GH212" s="76">
        <v>0</v>
      </c>
      <c r="GI212" s="76">
        <v>743</v>
      </c>
      <c r="GJ212" s="76">
        <v>0</v>
      </c>
      <c r="GK212" s="76">
        <v>0</v>
      </c>
      <c r="GL212" s="76">
        <v>743</v>
      </c>
      <c r="GM212" s="76">
        <v>2250</v>
      </c>
      <c r="GN212" s="76">
        <v>1240</v>
      </c>
      <c r="GO212" s="76">
        <v>0</v>
      </c>
      <c r="GP212" s="76">
        <v>40</v>
      </c>
      <c r="GQ212" s="76">
        <v>0</v>
      </c>
      <c r="GR212" s="76">
        <v>7565</v>
      </c>
      <c r="GS212" s="76">
        <v>0</v>
      </c>
      <c r="GT212" s="76">
        <v>0</v>
      </c>
      <c r="GU212" s="76">
        <v>0</v>
      </c>
      <c r="GV212" s="76">
        <v>0</v>
      </c>
      <c r="GW212" s="76">
        <v>977</v>
      </c>
      <c r="GX212" s="76">
        <v>12072</v>
      </c>
      <c r="GY212" s="76">
        <v>100</v>
      </c>
      <c r="GZ212" s="76">
        <v>0</v>
      </c>
      <c r="HA212" s="76">
        <v>1101</v>
      </c>
      <c r="HB212" s="76">
        <v>0</v>
      </c>
      <c r="HC212" s="76">
        <v>1201</v>
      </c>
      <c r="HD212" s="76">
        <v>1089</v>
      </c>
      <c r="HE212" s="76">
        <v>0</v>
      </c>
      <c r="HF212" s="76">
        <v>1089</v>
      </c>
      <c r="HG212" s="76">
        <v>6096</v>
      </c>
      <c r="HH212" s="76">
        <v>0</v>
      </c>
      <c r="HI212" s="76">
        <v>413</v>
      </c>
      <c r="HJ212" s="76">
        <v>0</v>
      </c>
      <c r="HK212" s="76">
        <v>42</v>
      </c>
      <c r="HL212" s="76">
        <v>-172</v>
      </c>
      <c r="HM212" s="76">
        <v>6379</v>
      </c>
      <c r="HN212" s="76">
        <v>3084</v>
      </c>
      <c r="HO212" s="76">
        <v>10304</v>
      </c>
      <c r="HP212" s="76">
        <v>0</v>
      </c>
      <c r="HQ212" s="76">
        <v>77</v>
      </c>
      <c r="HR212" s="76">
        <v>-59</v>
      </c>
      <c r="HS212" s="76">
        <v>-9</v>
      </c>
      <c r="HT212" s="76">
        <v>8897</v>
      </c>
      <c r="HU212" s="76">
        <v>0</v>
      </c>
      <c r="HV212" s="76">
        <v>0</v>
      </c>
      <c r="HW212" s="76">
        <v>0</v>
      </c>
      <c r="HX212" s="76">
        <v>0</v>
      </c>
    </row>
    <row r="213" spans="1:232" x14ac:dyDescent="0.2">
      <c r="A213" s="74" t="s">
        <v>783</v>
      </c>
      <c r="B213" s="74" t="s">
        <v>784</v>
      </c>
      <c r="C213" s="75" t="s">
        <v>200</v>
      </c>
      <c r="D213" s="75">
        <v>12</v>
      </c>
      <c r="E213" s="76">
        <v>27949</v>
      </c>
      <c r="F213" s="76">
        <v>-231</v>
      </c>
      <c r="G213" s="76">
        <v>-19065</v>
      </c>
      <c r="H213" s="76">
        <v>8653</v>
      </c>
      <c r="I213" s="76">
        <v>912</v>
      </c>
      <c r="J213" s="76">
        <v>0</v>
      </c>
      <c r="K213" s="76">
        <v>419</v>
      </c>
      <c r="L213" s="76">
        <v>0</v>
      </c>
      <c r="M213" s="76">
        <v>10</v>
      </c>
      <c r="N213" s="76">
        <v>-3966</v>
      </c>
      <c r="O213" s="76">
        <v>82</v>
      </c>
      <c r="P213" s="76">
        <v>0</v>
      </c>
      <c r="Q213" s="76">
        <v>0</v>
      </c>
      <c r="R213" s="76">
        <v>0</v>
      </c>
      <c r="S213" s="76">
        <v>6110</v>
      </c>
      <c r="T213" s="76">
        <v>-7</v>
      </c>
      <c r="U213" s="76">
        <v>6103</v>
      </c>
      <c r="V213" s="76">
        <v>0</v>
      </c>
      <c r="W213" s="76">
        <v>2779</v>
      </c>
      <c r="X213" s="76">
        <v>0</v>
      </c>
      <c r="Y213" s="76">
        <v>0</v>
      </c>
      <c r="Z213" s="76">
        <v>8882</v>
      </c>
      <c r="AA213" s="76">
        <v>24737</v>
      </c>
      <c r="AB213" s="76">
        <v>1566</v>
      </c>
      <c r="AC213" s="76">
        <v>26303</v>
      </c>
      <c r="AD213" s="76">
        <v>287</v>
      </c>
      <c r="AE213" s="76">
        <v>0</v>
      </c>
      <c r="AF213" s="76">
        <v>17</v>
      </c>
      <c r="AG213" s="76">
        <v>0</v>
      </c>
      <c r="AH213" s="76">
        <v>26607</v>
      </c>
      <c r="AI213" s="76">
        <v>4945</v>
      </c>
      <c r="AJ213" s="76">
        <v>1375</v>
      </c>
      <c r="AK213" s="76">
        <v>2106</v>
      </c>
      <c r="AL213" s="76">
        <v>3749</v>
      </c>
      <c r="AM213" s="76">
        <v>648</v>
      </c>
      <c r="AN213" s="76">
        <v>62</v>
      </c>
      <c r="AO213" s="76">
        <v>4348</v>
      </c>
      <c r="AP213" s="76">
        <v>0</v>
      </c>
      <c r="AQ213" s="76">
        <v>219</v>
      </c>
      <c r="AR213" s="76">
        <v>17452</v>
      </c>
      <c r="AS213" s="76">
        <v>9155</v>
      </c>
      <c r="AT213" s="76">
        <v>225</v>
      </c>
      <c r="AU213" s="76">
        <v>136506</v>
      </c>
      <c r="AV213" s="76">
        <v>0</v>
      </c>
      <c r="AW213" s="76">
        <v>1765</v>
      </c>
      <c r="AX213" s="76">
        <v>175</v>
      </c>
      <c r="AY213" s="76">
        <v>0</v>
      </c>
      <c r="AZ213" s="76">
        <v>924</v>
      </c>
      <c r="BA213" s="76">
        <v>0</v>
      </c>
      <c r="BB213" s="76">
        <v>0</v>
      </c>
      <c r="BC213" s="76">
        <v>0</v>
      </c>
      <c r="BD213" s="76">
        <v>0</v>
      </c>
      <c r="BE213" s="76">
        <v>139370</v>
      </c>
      <c r="BF213" s="76">
        <v>214</v>
      </c>
      <c r="BG213" s="76">
        <v>1748</v>
      </c>
      <c r="BH213" s="76">
        <v>1607</v>
      </c>
      <c r="BI213" s="76">
        <v>1120</v>
      </c>
      <c r="BJ213" s="76">
        <v>58</v>
      </c>
      <c r="BK213" s="76">
        <v>4747</v>
      </c>
      <c r="BL213" s="76">
        <v>0</v>
      </c>
      <c r="BM213" s="76">
        <v>0</v>
      </c>
      <c r="BN213" s="76">
        <v>302</v>
      </c>
      <c r="BO213" s="76">
        <v>5202</v>
      </c>
      <c r="BP213" s="76">
        <v>5504</v>
      </c>
      <c r="BQ213" s="76">
        <v>-757</v>
      </c>
      <c r="BR213" s="76">
        <v>138613</v>
      </c>
      <c r="BS213" s="76">
        <v>85785</v>
      </c>
      <c r="BT213" s="76">
        <v>0</v>
      </c>
      <c r="BU213" s="76">
        <v>0</v>
      </c>
      <c r="BV213" s="76">
        <v>19641</v>
      </c>
      <c r="BW213" s="76">
        <v>0</v>
      </c>
      <c r="BX213" s="76">
        <v>0</v>
      </c>
      <c r="BY213" s="76">
        <v>1908</v>
      </c>
      <c r="BZ213" s="76">
        <v>107334</v>
      </c>
      <c r="CA213" s="76">
        <v>3646</v>
      </c>
      <c r="CB213" s="76">
        <v>110</v>
      </c>
      <c r="CC213" s="76">
        <v>27523</v>
      </c>
      <c r="CD213" s="76">
        <v>27523</v>
      </c>
      <c r="CE213" s="76">
        <v>0</v>
      </c>
      <c r="CF213" s="76">
        <v>0</v>
      </c>
      <c r="CG213" s="76">
        <v>0</v>
      </c>
      <c r="CH213" s="76">
        <v>0</v>
      </c>
      <c r="CI213" s="76">
        <v>27523</v>
      </c>
      <c r="CJ213" s="76">
        <v>458</v>
      </c>
      <c r="CK213" s="76">
        <v>231</v>
      </c>
      <c r="CL213" s="76">
        <v>0</v>
      </c>
      <c r="CM213" s="76">
        <v>227</v>
      </c>
      <c r="CN213" s="76">
        <v>324</v>
      </c>
      <c r="CO213" s="76">
        <v>0</v>
      </c>
      <c r="CP213" s="76">
        <v>472</v>
      </c>
      <c r="CQ213" s="76">
        <v>-148</v>
      </c>
      <c r="CR213" s="76">
        <v>0</v>
      </c>
      <c r="CS213" s="76">
        <v>0</v>
      </c>
      <c r="CT213" s="76">
        <v>727</v>
      </c>
      <c r="CU213" s="76">
        <v>-727</v>
      </c>
      <c r="CV213" s="76">
        <v>0</v>
      </c>
      <c r="CW213" s="76">
        <v>0</v>
      </c>
      <c r="CX213" s="76">
        <v>0</v>
      </c>
      <c r="CY213" s="76">
        <v>0</v>
      </c>
      <c r="CZ213" s="76">
        <v>0</v>
      </c>
      <c r="DA213" s="76">
        <v>0</v>
      </c>
      <c r="DB213" s="76">
        <v>0</v>
      </c>
      <c r="DC213" s="76">
        <v>0</v>
      </c>
      <c r="DD213" s="76">
        <v>782</v>
      </c>
      <c r="DE213" s="76">
        <v>231</v>
      </c>
      <c r="DF213" s="76">
        <v>1199</v>
      </c>
      <c r="DG213" s="76">
        <v>-648</v>
      </c>
      <c r="DH213" s="76">
        <v>0</v>
      </c>
      <c r="DI213" s="76">
        <v>0</v>
      </c>
      <c r="DJ213" s="76">
        <v>0</v>
      </c>
      <c r="DK213" s="76">
        <v>0</v>
      </c>
      <c r="DL213" s="76">
        <v>0</v>
      </c>
      <c r="DM213" s="76">
        <v>0</v>
      </c>
      <c r="DN213" s="76">
        <v>0</v>
      </c>
      <c r="DO213" s="76">
        <v>0</v>
      </c>
      <c r="DP213" s="76">
        <v>0</v>
      </c>
      <c r="DQ213" s="76">
        <v>0</v>
      </c>
      <c r="DR213" s="76">
        <v>0</v>
      </c>
      <c r="DS213" s="76">
        <v>0</v>
      </c>
      <c r="DT213" s="76">
        <v>0</v>
      </c>
      <c r="DU213" s="76">
        <v>0</v>
      </c>
      <c r="DV213" s="76">
        <v>0</v>
      </c>
      <c r="DW213" s="76">
        <v>0</v>
      </c>
      <c r="DX213" s="76">
        <v>0</v>
      </c>
      <c r="DY213" s="76">
        <v>0</v>
      </c>
      <c r="DZ213" s="76">
        <v>0</v>
      </c>
      <c r="EA213" s="76">
        <v>0</v>
      </c>
      <c r="EB213" s="76">
        <v>560</v>
      </c>
      <c r="EC213" s="76">
        <v>0</v>
      </c>
      <c r="ED213" s="76">
        <v>414</v>
      </c>
      <c r="EE213" s="76">
        <v>146</v>
      </c>
      <c r="EF213" s="76">
        <v>560</v>
      </c>
      <c r="EG213" s="76">
        <v>0</v>
      </c>
      <c r="EH213" s="76">
        <v>414</v>
      </c>
      <c r="EI213" s="76">
        <v>146</v>
      </c>
      <c r="EJ213" s="76">
        <v>1342</v>
      </c>
      <c r="EK213" s="76">
        <v>231</v>
      </c>
      <c r="EL213" s="76">
        <v>1613</v>
      </c>
      <c r="EM213" s="76">
        <v>-502</v>
      </c>
      <c r="EN213" s="76">
        <v>652</v>
      </c>
      <c r="EO213" s="76">
        <v>231</v>
      </c>
      <c r="EP213" s="76">
        <v>327</v>
      </c>
      <c r="EQ213" s="76">
        <v>231</v>
      </c>
      <c r="ER213" s="76">
        <v>160353</v>
      </c>
      <c r="ES213" s="76">
        <v>0</v>
      </c>
      <c r="ET213" s="76">
        <v>160353</v>
      </c>
      <c r="EU213" s="76">
        <v>13933</v>
      </c>
      <c r="EV213" s="76">
        <v>-1220</v>
      </c>
      <c r="EW213" s="76">
        <v>0</v>
      </c>
      <c r="EX213" s="76">
        <v>0</v>
      </c>
      <c r="EY213" s="76">
        <v>0</v>
      </c>
      <c r="EZ213" s="76">
        <v>173066</v>
      </c>
      <c r="FA213" s="76">
        <v>32923</v>
      </c>
      <c r="FB213" s="76">
        <v>4348</v>
      </c>
      <c r="FC213" s="76">
        <v>0</v>
      </c>
      <c r="FD213" s="76">
        <v>0</v>
      </c>
      <c r="FE213" s="76">
        <v>-711</v>
      </c>
      <c r="FF213" s="76">
        <v>0</v>
      </c>
      <c r="FG213" s="76">
        <v>0</v>
      </c>
      <c r="FH213" s="76">
        <v>36560</v>
      </c>
      <c r="FI213" s="76">
        <v>136506</v>
      </c>
      <c r="FJ213" s="76">
        <v>127430</v>
      </c>
      <c r="FK213" s="76">
        <v>139</v>
      </c>
      <c r="FL213" s="76">
        <v>98</v>
      </c>
      <c r="FM213" s="76">
        <v>41</v>
      </c>
      <c r="FN213" s="76">
        <v>991</v>
      </c>
      <c r="FO213" s="76">
        <v>205</v>
      </c>
      <c r="FP213" s="76">
        <v>786</v>
      </c>
      <c r="FQ213" s="76">
        <v>1164</v>
      </c>
      <c r="FR213" s="76">
        <v>1134</v>
      </c>
      <c r="FS213" s="76">
        <v>30</v>
      </c>
      <c r="FT213" s="76">
        <v>0</v>
      </c>
      <c r="FU213" s="76">
        <v>0</v>
      </c>
      <c r="FV213" s="76">
        <v>0</v>
      </c>
      <c r="FW213" s="76">
        <v>0</v>
      </c>
      <c r="FX213" s="76">
        <v>0</v>
      </c>
      <c r="FY213" s="76">
        <v>0</v>
      </c>
      <c r="FZ213" s="76">
        <v>66</v>
      </c>
      <c r="GA213" s="76">
        <v>11</v>
      </c>
      <c r="GB213" s="76">
        <v>55</v>
      </c>
      <c r="GC213" s="76">
        <v>2360</v>
      </c>
      <c r="GD213" s="76">
        <v>1448</v>
      </c>
      <c r="GE213" s="76">
        <v>912</v>
      </c>
      <c r="GF213" s="76">
        <v>0</v>
      </c>
      <c r="GG213" s="76">
        <v>0</v>
      </c>
      <c r="GH213" s="76">
        <v>0</v>
      </c>
      <c r="GI213" s="76">
        <v>0</v>
      </c>
      <c r="GJ213" s="76">
        <v>0</v>
      </c>
      <c r="GK213" s="76">
        <v>58</v>
      </c>
      <c r="GL213" s="76">
        <v>58</v>
      </c>
      <c r="GM213" s="76">
        <v>154</v>
      </c>
      <c r="GN213" s="76">
        <v>473</v>
      </c>
      <c r="GO213" s="76">
        <v>0</v>
      </c>
      <c r="GP213" s="76">
        <v>0</v>
      </c>
      <c r="GQ213" s="76">
        <v>0</v>
      </c>
      <c r="GR213" s="76">
        <v>4286</v>
      </c>
      <c r="GS213" s="76">
        <v>0</v>
      </c>
      <c r="GT213" s="76">
        <v>0</v>
      </c>
      <c r="GU213" s="76">
        <v>19</v>
      </c>
      <c r="GV213" s="76">
        <v>0</v>
      </c>
      <c r="GW213" s="76">
        <v>270</v>
      </c>
      <c r="GX213" s="76">
        <v>5202</v>
      </c>
      <c r="GY213" s="76">
        <v>0</v>
      </c>
      <c r="GZ213" s="76">
        <v>1776</v>
      </c>
      <c r="HA213" s="76">
        <v>132</v>
      </c>
      <c r="HB213" s="76">
        <v>0</v>
      </c>
      <c r="HC213" s="76">
        <v>1908</v>
      </c>
      <c r="HD213" s="76">
        <v>0</v>
      </c>
      <c r="HE213" s="76">
        <v>110</v>
      </c>
      <c r="HF213" s="76">
        <v>110</v>
      </c>
      <c r="HG213" s="76">
        <v>0</v>
      </c>
      <c r="HH213" s="76">
        <v>3736</v>
      </c>
      <c r="HI213" s="76">
        <v>230</v>
      </c>
      <c r="HJ213" s="76">
        <v>0</v>
      </c>
      <c r="HK213" s="76">
        <v>0</v>
      </c>
      <c r="HL213" s="76">
        <v>0</v>
      </c>
      <c r="HM213" s="76">
        <v>3966</v>
      </c>
      <c r="HN213" s="76">
        <v>2185</v>
      </c>
      <c r="HO213" s="76">
        <v>4469</v>
      </c>
      <c r="HP213" s="76">
        <v>0</v>
      </c>
      <c r="HQ213" s="76">
        <v>156</v>
      </c>
      <c r="HR213" s="76">
        <v>-38</v>
      </c>
      <c r="HS213" s="76">
        <v>-3</v>
      </c>
      <c r="HT213" s="76">
        <v>5828</v>
      </c>
      <c r="HU213" s="76">
        <v>0</v>
      </c>
      <c r="HV213" s="76">
        <v>0</v>
      </c>
      <c r="HW213" s="76">
        <v>6</v>
      </c>
      <c r="HX213" s="76">
        <v>279</v>
      </c>
    </row>
    <row r="214" spans="1:232" x14ac:dyDescent="0.2">
      <c r="A214" s="74" t="s">
        <v>203</v>
      </c>
      <c r="B214" s="74" t="s">
        <v>180</v>
      </c>
      <c r="C214" s="75" t="s">
        <v>200</v>
      </c>
      <c r="D214" s="75">
        <v>12</v>
      </c>
      <c r="E214" s="76">
        <v>32532</v>
      </c>
      <c r="F214" s="76">
        <v>0</v>
      </c>
      <c r="G214" s="76">
        <v>-27247</v>
      </c>
      <c r="H214" s="76">
        <v>5285</v>
      </c>
      <c r="I214" s="76">
        <v>3</v>
      </c>
      <c r="J214" s="76">
        <v>0</v>
      </c>
      <c r="K214" s="76">
        <v>124</v>
      </c>
      <c r="L214" s="76">
        <v>0</v>
      </c>
      <c r="M214" s="76">
        <v>12</v>
      </c>
      <c r="N214" s="76">
        <v>-3247</v>
      </c>
      <c r="O214" s="76">
        <v>90</v>
      </c>
      <c r="P214" s="76">
        <v>0</v>
      </c>
      <c r="Q214" s="76">
        <v>0</v>
      </c>
      <c r="R214" s="76">
        <v>0</v>
      </c>
      <c r="S214" s="76">
        <v>2267</v>
      </c>
      <c r="T214" s="76">
        <v>0</v>
      </c>
      <c r="U214" s="76">
        <v>2267</v>
      </c>
      <c r="V214" s="76">
        <v>0</v>
      </c>
      <c r="W214" s="76">
        <v>0</v>
      </c>
      <c r="X214" s="76">
        <v>0</v>
      </c>
      <c r="Y214" s="76">
        <v>0</v>
      </c>
      <c r="Z214" s="76">
        <v>2267</v>
      </c>
      <c r="AA214" s="76">
        <v>13922</v>
      </c>
      <c r="AB214" s="76">
        <v>3199</v>
      </c>
      <c r="AC214" s="76">
        <v>17121</v>
      </c>
      <c r="AD214" s="76">
        <v>874</v>
      </c>
      <c r="AE214" s="76">
        <v>0</v>
      </c>
      <c r="AF214" s="76">
        <v>0</v>
      </c>
      <c r="AG214" s="76">
        <v>0</v>
      </c>
      <c r="AH214" s="76">
        <v>17995</v>
      </c>
      <c r="AI214" s="76">
        <v>2173</v>
      </c>
      <c r="AJ214" s="76">
        <v>3973</v>
      </c>
      <c r="AK214" s="76">
        <v>2190</v>
      </c>
      <c r="AL214" s="76">
        <v>826</v>
      </c>
      <c r="AM214" s="76">
        <v>0</v>
      </c>
      <c r="AN214" s="76">
        <v>643</v>
      </c>
      <c r="AO214" s="76">
        <v>2540</v>
      </c>
      <c r="AP214" s="76">
        <v>0</v>
      </c>
      <c r="AQ214" s="76">
        <v>0</v>
      </c>
      <c r="AR214" s="76">
        <v>12345</v>
      </c>
      <c r="AS214" s="76">
        <v>5650</v>
      </c>
      <c r="AT214" s="76">
        <v>649</v>
      </c>
      <c r="AU214" s="76">
        <v>149250</v>
      </c>
      <c r="AV214" s="76">
        <v>0</v>
      </c>
      <c r="AW214" s="76">
        <v>3383</v>
      </c>
      <c r="AX214" s="76">
        <v>0</v>
      </c>
      <c r="AY214" s="76">
        <v>0</v>
      </c>
      <c r="AZ214" s="76">
        <v>1320</v>
      </c>
      <c r="BA214" s="76">
        <v>0</v>
      </c>
      <c r="BB214" s="76">
        <v>0</v>
      </c>
      <c r="BC214" s="76">
        <v>0</v>
      </c>
      <c r="BD214" s="76">
        <v>0</v>
      </c>
      <c r="BE214" s="76">
        <v>153953</v>
      </c>
      <c r="BF214" s="76">
        <v>0</v>
      </c>
      <c r="BG214" s="76">
        <v>2595</v>
      </c>
      <c r="BH214" s="76">
        <v>7192</v>
      </c>
      <c r="BI214" s="76">
        <v>0</v>
      </c>
      <c r="BJ214" s="76">
        <v>49</v>
      </c>
      <c r="BK214" s="76">
        <v>9836</v>
      </c>
      <c r="BL214" s="76">
        <v>3101</v>
      </c>
      <c r="BM214" s="76">
        <v>0</v>
      </c>
      <c r="BN214" s="76">
        <v>866</v>
      </c>
      <c r="BO214" s="76">
        <v>3698</v>
      </c>
      <c r="BP214" s="76">
        <v>7665</v>
      </c>
      <c r="BQ214" s="76">
        <v>2171</v>
      </c>
      <c r="BR214" s="76">
        <v>156124</v>
      </c>
      <c r="BS214" s="76">
        <v>77289</v>
      </c>
      <c r="BT214" s="76">
        <v>0</v>
      </c>
      <c r="BU214" s="76">
        <v>0</v>
      </c>
      <c r="BV214" s="76">
        <v>58711</v>
      </c>
      <c r="BW214" s="76">
        <v>0</v>
      </c>
      <c r="BX214" s="76">
        <v>0</v>
      </c>
      <c r="BY214" s="76">
        <v>1398</v>
      </c>
      <c r="BZ214" s="76">
        <v>137398</v>
      </c>
      <c r="CA214" s="76">
        <v>0</v>
      </c>
      <c r="CB214" s="76">
        <v>0</v>
      </c>
      <c r="CC214" s="76">
        <v>18726</v>
      </c>
      <c r="CD214" s="76">
        <v>17446</v>
      </c>
      <c r="CE214" s="76">
        <v>1114</v>
      </c>
      <c r="CF214" s="76">
        <v>166</v>
      </c>
      <c r="CG214" s="76">
        <v>0</v>
      </c>
      <c r="CH214" s="76">
        <v>0</v>
      </c>
      <c r="CI214" s="76">
        <v>18726</v>
      </c>
      <c r="CJ214" s="76">
        <v>0</v>
      </c>
      <c r="CK214" s="76">
        <v>0</v>
      </c>
      <c r="CL214" s="76">
        <v>0</v>
      </c>
      <c r="CM214" s="76">
        <v>0</v>
      </c>
      <c r="CN214" s="76">
        <v>0</v>
      </c>
      <c r="CO214" s="76">
        <v>0</v>
      </c>
      <c r="CP214" s="76">
        <v>0</v>
      </c>
      <c r="CQ214" s="76">
        <v>0</v>
      </c>
      <c r="CR214" s="76">
        <v>0</v>
      </c>
      <c r="CS214" s="76">
        <v>0</v>
      </c>
      <c r="CT214" s="76">
        <v>0</v>
      </c>
      <c r="CU214" s="76">
        <v>0</v>
      </c>
      <c r="CV214" s="76">
        <v>0</v>
      </c>
      <c r="CW214" s="76">
        <v>0</v>
      </c>
      <c r="CX214" s="76">
        <v>0</v>
      </c>
      <c r="CY214" s="76">
        <v>0</v>
      </c>
      <c r="CZ214" s="76">
        <v>13168</v>
      </c>
      <c r="DA214" s="76">
        <v>0</v>
      </c>
      <c r="DB214" s="76">
        <v>13330</v>
      </c>
      <c r="DC214" s="76">
        <v>-162</v>
      </c>
      <c r="DD214" s="76">
        <v>13168</v>
      </c>
      <c r="DE214" s="76">
        <v>0</v>
      </c>
      <c r="DF214" s="76">
        <v>13330</v>
      </c>
      <c r="DG214" s="76">
        <v>-162</v>
      </c>
      <c r="DH214" s="76">
        <v>0</v>
      </c>
      <c r="DI214" s="76">
        <v>0</v>
      </c>
      <c r="DJ214" s="76">
        <v>0</v>
      </c>
      <c r="DK214" s="76">
        <v>0</v>
      </c>
      <c r="DL214" s="76">
        <v>0</v>
      </c>
      <c r="DM214" s="76">
        <v>0</v>
      </c>
      <c r="DN214" s="76">
        <v>0</v>
      </c>
      <c r="DO214" s="76">
        <v>0</v>
      </c>
      <c r="DP214" s="76">
        <v>0</v>
      </c>
      <c r="DQ214" s="76">
        <v>0</v>
      </c>
      <c r="DR214" s="76">
        <v>0</v>
      </c>
      <c r="DS214" s="76">
        <v>0</v>
      </c>
      <c r="DT214" s="76">
        <v>1126</v>
      </c>
      <c r="DU214" s="76">
        <v>0</v>
      </c>
      <c r="DV214" s="76">
        <v>1357</v>
      </c>
      <c r="DW214" s="76">
        <v>-231</v>
      </c>
      <c r="DX214" s="76">
        <v>0</v>
      </c>
      <c r="DY214" s="76">
        <v>0</v>
      </c>
      <c r="DZ214" s="76">
        <v>0</v>
      </c>
      <c r="EA214" s="76">
        <v>0</v>
      </c>
      <c r="EB214" s="76">
        <v>243</v>
      </c>
      <c r="EC214" s="76">
        <v>0</v>
      </c>
      <c r="ED214" s="76">
        <v>215</v>
      </c>
      <c r="EE214" s="76">
        <v>28</v>
      </c>
      <c r="EF214" s="76">
        <v>1369</v>
      </c>
      <c r="EG214" s="76">
        <v>0</v>
      </c>
      <c r="EH214" s="76">
        <v>1572</v>
      </c>
      <c r="EI214" s="76">
        <v>-203</v>
      </c>
      <c r="EJ214" s="76">
        <v>14537</v>
      </c>
      <c r="EK214" s="76">
        <v>0</v>
      </c>
      <c r="EL214" s="76">
        <v>14902</v>
      </c>
      <c r="EM214" s="76">
        <v>-365</v>
      </c>
      <c r="EN214" s="76">
        <v>1318</v>
      </c>
      <c r="EO214" s="76">
        <v>1630</v>
      </c>
      <c r="EP214" s="76">
        <v>471</v>
      </c>
      <c r="EQ214" s="76">
        <v>1630</v>
      </c>
      <c r="ER214" s="76">
        <v>176648</v>
      </c>
      <c r="ES214" s="76">
        <v>0</v>
      </c>
      <c r="ET214" s="76">
        <v>176648</v>
      </c>
      <c r="EU214" s="76">
        <v>1529</v>
      </c>
      <c r="EV214" s="76">
        <v>-2791</v>
      </c>
      <c r="EW214" s="76">
        <v>0</v>
      </c>
      <c r="EX214" s="76">
        <v>0</v>
      </c>
      <c r="EY214" s="76">
        <v>679</v>
      </c>
      <c r="EZ214" s="76">
        <v>176065</v>
      </c>
      <c r="FA214" s="76">
        <v>25207</v>
      </c>
      <c r="FB214" s="76">
        <v>2542</v>
      </c>
      <c r="FC214" s="76">
        <v>0</v>
      </c>
      <c r="FD214" s="76">
        <v>0</v>
      </c>
      <c r="FE214" s="76">
        <v>-934</v>
      </c>
      <c r="FF214" s="76">
        <v>0</v>
      </c>
      <c r="FG214" s="76">
        <v>0</v>
      </c>
      <c r="FH214" s="76">
        <v>26815</v>
      </c>
      <c r="FI214" s="76">
        <v>149250</v>
      </c>
      <c r="FJ214" s="76">
        <v>151441</v>
      </c>
      <c r="FK214" s="76">
        <v>149</v>
      </c>
      <c r="FL214" s="76">
        <v>156</v>
      </c>
      <c r="FM214" s="76">
        <v>-7</v>
      </c>
      <c r="FN214" s="76">
        <v>0</v>
      </c>
      <c r="FO214" s="76">
        <v>0</v>
      </c>
      <c r="FP214" s="76">
        <v>0</v>
      </c>
      <c r="FQ214" s="76">
        <v>0</v>
      </c>
      <c r="FR214" s="76">
        <v>0</v>
      </c>
      <c r="FS214" s="76">
        <v>0</v>
      </c>
      <c r="FT214" s="76">
        <v>2394</v>
      </c>
      <c r="FU214" s="76">
        <v>2384</v>
      </c>
      <c r="FV214" s="76">
        <v>10</v>
      </c>
      <c r="FW214" s="76">
        <v>0</v>
      </c>
      <c r="FX214" s="76">
        <v>0</v>
      </c>
      <c r="FY214" s="76">
        <v>0</v>
      </c>
      <c r="FZ214" s="76">
        <v>0</v>
      </c>
      <c r="GA214" s="76">
        <v>0</v>
      </c>
      <c r="GB214" s="76">
        <v>0</v>
      </c>
      <c r="GC214" s="76">
        <v>2543</v>
      </c>
      <c r="GD214" s="76">
        <v>2540</v>
      </c>
      <c r="GE214" s="76">
        <v>3</v>
      </c>
      <c r="GF214" s="76">
        <v>0</v>
      </c>
      <c r="GG214" s="76">
        <v>0</v>
      </c>
      <c r="GH214" s="76">
        <v>0</v>
      </c>
      <c r="GI214" s="76">
        <v>0</v>
      </c>
      <c r="GJ214" s="76">
        <v>0</v>
      </c>
      <c r="GK214" s="76">
        <v>49</v>
      </c>
      <c r="GL214" s="76">
        <v>49</v>
      </c>
      <c r="GM214" s="76">
        <v>897</v>
      </c>
      <c r="GN214" s="76">
        <v>853</v>
      </c>
      <c r="GO214" s="76">
        <v>0</v>
      </c>
      <c r="GP214" s="76">
        <v>16</v>
      </c>
      <c r="GQ214" s="76">
        <v>0</v>
      </c>
      <c r="GR214" s="76">
        <v>1644</v>
      </c>
      <c r="GS214" s="76">
        <v>0</v>
      </c>
      <c r="GT214" s="76">
        <v>0</v>
      </c>
      <c r="GU214" s="76">
        <v>0</v>
      </c>
      <c r="GV214" s="76">
        <v>0</v>
      </c>
      <c r="GW214" s="76">
        <v>288</v>
      </c>
      <c r="GX214" s="76">
        <v>3698</v>
      </c>
      <c r="GY214" s="76">
        <v>1398</v>
      </c>
      <c r="GZ214" s="76">
        <v>0</v>
      </c>
      <c r="HA214" s="76">
        <v>0</v>
      </c>
      <c r="HB214" s="76">
        <v>0</v>
      </c>
      <c r="HC214" s="76">
        <v>1398</v>
      </c>
      <c r="HD214" s="76">
        <v>0</v>
      </c>
      <c r="HE214" s="76">
        <v>0</v>
      </c>
      <c r="HF214" s="76">
        <v>0</v>
      </c>
      <c r="HG214" s="76">
        <v>3138</v>
      </c>
      <c r="HH214" s="76">
        <v>109</v>
      </c>
      <c r="HI214" s="76">
        <v>0</v>
      </c>
      <c r="HJ214" s="76">
        <v>0</v>
      </c>
      <c r="HK214" s="76">
        <v>0</v>
      </c>
      <c r="HL214" s="76">
        <v>0</v>
      </c>
      <c r="HM214" s="76">
        <v>3247</v>
      </c>
      <c r="HN214" s="76">
        <v>1244</v>
      </c>
      <c r="HO214" s="76">
        <v>3339</v>
      </c>
      <c r="HP214" s="76">
        <v>0</v>
      </c>
      <c r="HQ214" s="76">
        <v>4</v>
      </c>
      <c r="HR214" s="76">
        <v>-8</v>
      </c>
      <c r="HS214" s="76">
        <v>1</v>
      </c>
      <c r="HT214" s="76">
        <v>3169</v>
      </c>
      <c r="HU214" s="76">
        <v>0</v>
      </c>
      <c r="HV214" s="76">
        <v>0</v>
      </c>
      <c r="HW214" s="76">
        <v>-2</v>
      </c>
      <c r="HX214" s="76">
        <v>180</v>
      </c>
    </row>
    <row r="215" spans="1:232" x14ac:dyDescent="0.2">
      <c r="A215" s="74" t="s">
        <v>788</v>
      </c>
      <c r="B215" s="74" t="s">
        <v>789</v>
      </c>
      <c r="C215" s="75" t="s">
        <v>200</v>
      </c>
      <c r="D215" s="75">
        <v>12</v>
      </c>
      <c r="E215" s="76">
        <v>8510</v>
      </c>
      <c r="F215" s="76">
        <v>-881</v>
      </c>
      <c r="G215" s="76">
        <v>-4827</v>
      </c>
      <c r="H215" s="76">
        <v>2802</v>
      </c>
      <c r="I215" s="76">
        <v>0</v>
      </c>
      <c r="J215" s="76">
        <v>0</v>
      </c>
      <c r="K215" s="76">
        <v>0</v>
      </c>
      <c r="L215" s="76">
        <v>0</v>
      </c>
      <c r="M215" s="76">
        <v>1</v>
      </c>
      <c r="N215" s="76">
        <v>-1950</v>
      </c>
      <c r="O215" s="76">
        <v>0</v>
      </c>
      <c r="P215" s="76">
        <v>0</v>
      </c>
      <c r="Q215" s="76">
        <v>0</v>
      </c>
      <c r="R215" s="76">
        <v>0</v>
      </c>
      <c r="S215" s="76">
        <v>853</v>
      </c>
      <c r="T215" s="76">
        <v>0</v>
      </c>
      <c r="U215" s="76">
        <v>853</v>
      </c>
      <c r="V215" s="76">
        <v>0</v>
      </c>
      <c r="W215" s="76">
        <v>0</v>
      </c>
      <c r="X215" s="76">
        <v>0</v>
      </c>
      <c r="Y215" s="76">
        <v>0</v>
      </c>
      <c r="Z215" s="76">
        <v>853</v>
      </c>
      <c r="AA215" s="76">
        <v>6312</v>
      </c>
      <c r="AB215" s="76">
        <v>967</v>
      </c>
      <c r="AC215" s="76">
        <v>7279</v>
      </c>
      <c r="AD215" s="76">
        <v>348</v>
      </c>
      <c r="AE215" s="76">
        <v>0</v>
      </c>
      <c r="AF215" s="76">
        <v>5</v>
      </c>
      <c r="AG215" s="76">
        <v>16</v>
      </c>
      <c r="AH215" s="76">
        <v>7648</v>
      </c>
      <c r="AI215" s="76">
        <v>1497</v>
      </c>
      <c r="AJ215" s="76">
        <v>755</v>
      </c>
      <c r="AK215" s="76">
        <v>986</v>
      </c>
      <c r="AL215" s="76">
        <v>125</v>
      </c>
      <c r="AM215" s="76">
        <v>0</v>
      </c>
      <c r="AN215" s="76">
        <v>64</v>
      </c>
      <c r="AO215" s="76">
        <v>1296</v>
      </c>
      <c r="AP215" s="76">
        <v>0</v>
      </c>
      <c r="AQ215" s="76">
        <v>104</v>
      </c>
      <c r="AR215" s="76">
        <v>4827</v>
      </c>
      <c r="AS215" s="76">
        <v>2821</v>
      </c>
      <c r="AT215" s="76">
        <v>136</v>
      </c>
      <c r="AU215" s="76">
        <v>75873</v>
      </c>
      <c r="AV215" s="76">
        <v>0</v>
      </c>
      <c r="AW215" s="76">
        <v>300</v>
      </c>
      <c r="AX215" s="76">
        <v>0</v>
      </c>
      <c r="AY215" s="76">
        <v>0</v>
      </c>
      <c r="AZ215" s="76">
        <v>0</v>
      </c>
      <c r="BA215" s="76">
        <v>0</v>
      </c>
      <c r="BB215" s="76">
        <v>0</v>
      </c>
      <c r="BC215" s="76">
        <v>0</v>
      </c>
      <c r="BD215" s="76">
        <v>0</v>
      </c>
      <c r="BE215" s="76">
        <v>76173</v>
      </c>
      <c r="BF215" s="76">
        <v>58</v>
      </c>
      <c r="BG215" s="76">
        <v>356</v>
      </c>
      <c r="BH215" s="76">
        <v>1812</v>
      </c>
      <c r="BI215" s="76">
        <v>0</v>
      </c>
      <c r="BJ215" s="76">
        <v>0</v>
      </c>
      <c r="BK215" s="76">
        <v>2226</v>
      </c>
      <c r="BL215" s="76">
        <v>949</v>
      </c>
      <c r="BM215" s="76">
        <v>0</v>
      </c>
      <c r="BN215" s="76">
        <v>386</v>
      </c>
      <c r="BO215" s="76">
        <v>2345</v>
      </c>
      <c r="BP215" s="76">
        <v>3680</v>
      </c>
      <c r="BQ215" s="76">
        <v>-1454</v>
      </c>
      <c r="BR215" s="76">
        <v>74719</v>
      </c>
      <c r="BS215" s="76">
        <v>38602</v>
      </c>
      <c r="BT215" s="76">
        <v>0</v>
      </c>
      <c r="BU215" s="76">
        <v>0</v>
      </c>
      <c r="BV215" s="76">
        <v>32007</v>
      </c>
      <c r="BW215" s="76">
        <v>0</v>
      </c>
      <c r="BX215" s="76">
        <v>0</v>
      </c>
      <c r="BY215" s="76">
        <v>636</v>
      </c>
      <c r="BZ215" s="76">
        <v>71245</v>
      </c>
      <c r="CA215" s="76">
        <v>0</v>
      </c>
      <c r="CB215" s="76">
        <v>0</v>
      </c>
      <c r="CC215" s="76">
        <v>3474</v>
      </c>
      <c r="CD215" s="76">
        <v>3474</v>
      </c>
      <c r="CE215" s="76">
        <v>0</v>
      </c>
      <c r="CF215" s="76">
        <v>0</v>
      </c>
      <c r="CG215" s="76">
        <v>0</v>
      </c>
      <c r="CH215" s="76">
        <v>0</v>
      </c>
      <c r="CI215" s="76">
        <v>3474</v>
      </c>
      <c r="CJ215" s="76">
        <v>380</v>
      </c>
      <c r="CK215" s="76">
        <v>260</v>
      </c>
      <c r="CL215" s="76">
        <v>0</v>
      </c>
      <c r="CM215" s="76">
        <v>120</v>
      </c>
      <c r="CN215" s="76">
        <v>114</v>
      </c>
      <c r="CO215" s="76">
        <v>117</v>
      </c>
      <c r="CP215" s="76">
        <v>0</v>
      </c>
      <c r="CQ215" s="76">
        <v>-3</v>
      </c>
      <c r="CR215" s="76">
        <v>0</v>
      </c>
      <c r="CS215" s="76">
        <v>0</v>
      </c>
      <c r="CT215" s="76">
        <v>0</v>
      </c>
      <c r="CU215" s="76">
        <v>0</v>
      </c>
      <c r="CV215" s="76">
        <v>0</v>
      </c>
      <c r="CW215" s="76">
        <v>0</v>
      </c>
      <c r="CX215" s="76">
        <v>0</v>
      </c>
      <c r="CY215" s="76">
        <v>0</v>
      </c>
      <c r="CZ215" s="76">
        <v>0</v>
      </c>
      <c r="DA215" s="76">
        <v>0</v>
      </c>
      <c r="DB215" s="76">
        <v>0</v>
      </c>
      <c r="DC215" s="76">
        <v>0</v>
      </c>
      <c r="DD215" s="76">
        <v>494</v>
      </c>
      <c r="DE215" s="76">
        <v>377</v>
      </c>
      <c r="DF215" s="76">
        <v>0</v>
      </c>
      <c r="DG215" s="76">
        <v>117</v>
      </c>
      <c r="DH215" s="76">
        <v>0</v>
      </c>
      <c r="DI215" s="76">
        <v>0</v>
      </c>
      <c r="DJ215" s="76">
        <v>0</v>
      </c>
      <c r="DK215" s="76">
        <v>0</v>
      </c>
      <c r="DL215" s="76">
        <v>0</v>
      </c>
      <c r="DM215" s="76">
        <v>0</v>
      </c>
      <c r="DN215" s="76">
        <v>0</v>
      </c>
      <c r="DO215" s="76">
        <v>0</v>
      </c>
      <c r="DP215" s="76">
        <v>0</v>
      </c>
      <c r="DQ215" s="76">
        <v>0</v>
      </c>
      <c r="DR215" s="76">
        <v>0</v>
      </c>
      <c r="DS215" s="76">
        <v>0</v>
      </c>
      <c r="DT215" s="76">
        <v>0</v>
      </c>
      <c r="DU215" s="76">
        <v>0</v>
      </c>
      <c r="DV215" s="76">
        <v>0</v>
      </c>
      <c r="DW215" s="76">
        <v>0</v>
      </c>
      <c r="DX215" s="76">
        <v>0</v>
      </c>
      <c r="DY215" s="76">
        <v>0</v>
      </c>
      <c r="DZ215" s="76">
        <v>0</v>
      </c>
      <c r="EA215" s="76">
        <v>0</v>
      </c>
      <c r="EB215" s="76">
        <v>368</v>
      </c>
      <c r="EC215" s="76">
        <v>504</v>
      </c>
      <c r="ED215" s="76">
        <v>0</v>
      </c>
      <c r="EE215" s="76">
        <v>-136</v>
      </c>
      <c r="EF215" s="76">
        <v>368</v>
      </c>
      <c r="EG215" s="76">
        <v>504</v>
      </c>
      <c r="EH215" s="76">
        <v>0</v>
      </c>
      <c r="EI215" s="76">
        <v>-136</v>
      </c>
      <c r="EJ215" s="76">
        <v>862</v>
      </c>
      <c r="EK215" s="76">
        <v>881</v>
      </c>
      <c r="EL215" s="76">
        <v>0</v>
      </c>
      <c r="EM215" s="76">
        <v>-19</v>
      </c>
      <c r="EN215" s="76">
        <v>252</v>
      </c>
      <c r="EO215" s="76">
        <v>54</v>
      </c>
      <c r="EP215" s="76">
        <v>151</v>
      </c>
      <c r="EQ215" s="76">
        <v>54</v>
      </c>
      <c r="ER215" s="76">
        <v>89308</v>
      </c>
      <c r="ES215" s="76">
        <v>0</v>
      </c>
      <c r="ET215" s="76">
        <v>89308</v>
      </c>
      <c r="EU215" s="76">
        <v>3026</v>
      </c>
      <c r="EV215" s="76">
        <v>-644</v>
      </c>
      <c r="EW215" s="76">
        <v>0</v>
      </c>
      <c r="EX215" s="76">
        <v>0</v>
      </c>
      <c r="EY215" s="76">
        <v>0</v>
      </c>
      <c r="EZ215" s="76">
        <v>91690</v>
      </c>
      <c r="FA215" s="76">
        <v>14845</v>
      </c>
      <c r="FB215" s="76">
        <v>1295</v>
      </c>
      <c r="FC215" s="76">
        <v>0</v>
      </c>
      <c r="FD215" s="76">
        <v>0</v>
      </c>
      <c r="FE215" s="76">
        <v>-323</v>
      </c>
      <c r="FF215" s="76">
        <v>0</v>
      </c>
      <c r="FG215" s="76">
        <v>0</v>
      </c>
      <c r="FH215" s="76">
        <v>15817</v>
      </c>
      <c r="FI215" s="76">
        <v>75873</v>
      </c>
      <c r="FJ215" s="76">
        <v>74463</v>
      </c>
      <c r="FK215" s="76">
        <v>96</v>
      </c>
      <c r="FL215" s="76">
        <v>96</v>
      </c>
      <c r="FM215" s="76">
        <v>0</v>
      </c>
      <c r="FN215" s="76">
        <v>0</v>
      </c>
      <c r="FO215" s="76">
        <v>0</v>
      </c>
      <c r="FP215" s="76">
        <v>0</v>
      </c>
      <c r="FQ215" s="76">
        <v>0</v>
      </c>
      <c r="FR215" s="76">
        <v>0</v>
      </c>
      <c r="FS215" s="76">
        <v>0</v>
      </c>
      <c r="FT215" s="76">
        <v>0</v>
      </c>
      <c r="FU215" s="76">
        <v>0</v>
      </c>
      <c r="FV215" s="76">
        <v>0</v>
      </c>
      <c r="FW215" s="76">
        <v>0</v>
      </c>
      <c r="FX215" s="76">
        <v>0</v>
      </c>
      <c r="FY215" s="76">
        <v>0</v>
      </c>
      <c r="FZ215" s="76">
        <v>0</v>
      </c>
      <c r="GA215" s="76">
        <v>0</v>
      </c>
      <c r="GB215" s="76">
        <v>0</v>
      </c>
      <c r="GC215" s="76">
        <v>96</v>
      </c>
      <c r="GD215" s="76">
        <v>96</v>
      </c>
      <c r="GE215" s="76">
        <v>0</v>
      </c>
      <c r="GF215" s="76">
        <v>0</v>
      </c>
      <c r="GG215" s="76">
        <v>0</v>
      </c>
      <c r="GH215" s="76">
        <v>0</v>
      </c>
      <c r="GI215" s="76">
        <v>0</v>
      </c>
      <c r="GJ215" s="76">
        <v>0</v>
      </c>
      <c r="GK215" s="76">
        <v>0</v>
      </c>
      <c r="GL215" s="76">
        <v>0</v>
      </c>
      <c r="GM215" s="76">
        <v>793</v>
      </c>
      <c r="GN215" s="76">
        <v>353</v>
      </c>
      <c r="GO215" s="76">
        <v>0</v>
      </c>
      <c r="GP215" s="76">
        <v>210</v>
      </c>
      <c r="GQ215" s="76">
        <v>162</v>
      </c>
      <c r="GR215" s="76">
        <v>570</v>
      </c>
      <c r="GS215" s="76">
        <v>0</v>
      </c>
      <c r="GT215" s="76">
        <v>0</v>
      </c>
      <c r="GU215" s="76">
        <v>106</v>
      </c>
      <c r="GV215" s="76">
        <v>0</v>
      </c>
      <c r="GW215" s="76">
        <v>151</v>
      </c>
      <c r="GX215" s="76">
        <v>2345</v>
      </c>
      <c r="GY215" s="76">
        <v>0</v>
      </c>
      <c r="GZ215" s="76">
        <v>0</v>
      </c>
      <c r="HA215" s="76">
        <v>636</v>
      </c>
      <c r="HB215" s="76">
        <v>0</v>
      </c>
      <c r="HC215" s="76">
        <v>636</v>
      </c>
      <c r="HD215" s="76">
        <v>0</v>
      </c>
      <c r="HE215" s="76">
        <v>0</v>
      </c>
      <c r="HF215" s="76">
        <v>0</v>
      </c>
      <c r="HG215" s="76">
        <v>1681</v>
      </c>
      <c r="HH215" s="76">
        <v>253</v>
      </c>
      <c r="HI215" s="76">
        <v>0</v>
      </c>
      <c r="HJ215" s="76">
        <v>0</v>
      </c>
      <c r="HK215" s="76">
        <v>16</v>
      </c>
      <c r="HL215" s="76">
        <v>0</v>
      </c>
      <c r="HM215" s="76">
        <v>1950</v>
      </c>
      <c r="HN215" s="76">
        <v>610</v>
      </c>
      <c r="HO215" s="76">
        <v>1348</v>
      </c>
      <c r="HP215" s="76">
        <v>0</v>
      </c>
      <c r="HQ215" s="76">
        <v>19</v>
      </c>
      <c r="HR215" s="76">
        <v>-2</v>
      </c>
      <c r="HS215" s="76">
        <v>-1</v>
      </c>
      <c r="HT215" s="76">
        <v>1334</v>
      </c>
      <c r="HU215" s="76">
        <v>0</v>
      </c>
      <c r="HV215" s="76">
        <v>0</v>
      </c>
      <c r="HW215" s="76">
        <v>0</v>
      </c>
      <c r="HX215" s="76">
        <v>0</v>
      </c>
    </row>
    <row r="216" spans="1:232" x14ac:dyDescent="0.2">
      <c r="A216" s="74" t="s">
        <v>791</v>
      </c>
      <c r="B216" s="74" t="s">
        <v>792</v>
      </c>
      <c r="C216" s="75" t="s">
        <v>200</v>
      </c>
      <c r="D216" s="75">
        <v>12</v>
      </c>
      <c r="E216" s="76">
        <v>17521</v>
      </c>
      <c r="F216" s="76">
        <v>-753</v>
      </c>
      <c r="G216" s="76">
        <v>-11962</v>
      </c>
      <c r="H216" s="76">
        <v>4806</v>
      </c>
      <c r="I216" s="76">
        <v>138</v>
      </c>
      <c r="J216" s="76">
        <v>0</v>
      </c>
      <c r="K216" s="76">
        <v>0</v>
      </c>
      <c r="L216" s="76">
        <v>0</v>
      </c>
      <c r="M216" s="76">
        <v>27</v>
      </c>
      <c r="N216" s="76">
        <v>-2243</v>
      </c>
      <c r="O216" s="76">
        <v>0</v>
      </c>
      <c r="P216" s="76">
        <v>0</v>
      </c>
      <c r="Q216" s="76">
        <v>0</v>
      </c>
      <c r="R216" s="76">
        <v>0</v>
      </c>
      <c r="S216" s="76">
        <v>2728</v>
      </c>
      <c r="T216" s="76">
        <v>-1</v>
      </c>
      <c r="U216" s="76">
        <v>2727</v>
      </c>
      <c r="V216" s="76">
        <v>0</v>
      </c>
      <c r="W216" s="76">
        <v>0</v>
      </c>
      <c r="X216" s="76">
        <v>0</v>
      </c>
      <c r="Y216" s="76">
        <v>0</v>
      </c>
      <c r="Z216" s="76">
        <v>2727</v>
      </c>
      <c r="AA216" s="76">
        <v>13662</v>
      </c>
      <c r="AB216" s="76">
        <v>1940</v>
      </c>
      <c r="AC216" s="76">
        <v>15602</v>
      </c>
      <c r="AD216" s="76">
        <v>956</v>
      </c>
      <c r="AE216" s="76">
        <v>0</v>
      </c>
      <c r="AF216" s="76">
        <v>0</v>
      </c>
      <c r="AG216" s="76">
        <v>0</v>
      </c>
      <c r="AH216" s="76">
        <v>16558</v>
      </c>
      <c r="AI216" s="76">
        <v>3595</v>
      </c>
      <c r="AJ216" s="76">
        <v>1948</v>
      </c>
      <c r="AK216" s="76">
        <v>1781</v>
      </c>
      <c r="AL216" s="76">
        <v>945</v>
      </c>
      <c r="AM216" s="76">
        <v>760</v>
      </c>
      <c r="AN216" s="76">
        <v>113</v>
      </c>
      <c r="AO216" s="76">
        <v>2777</v>
      </c>
      <c r="AP216" s="76">
        <v>4</v>
      </c>
      <c r="AQ216" s="76">
        <v>34</v>
      </c>
      <c r="AR216" s="76">
        <v>11957</v>
      </c>
      <c r="AS216" s="76">
        <v>4601</v>
      </c>
      <c r="AT216" s="76">
        <v>390</v>
      </c>
      <c r="AU216" s="76">
        <v>171428</v>
      </c>
      <c r="AV216" s="76">
        <v>0</v>
      </c>
      <c r="AW216" s="76">
        <v>1406</v>
      </c>
      <c r="AX216" s="76">
        <v>480</v>
      </c>
      <c r="AY216" s="76">
        <v>0</v>
      </c>
      <c r="AZ216" s="76">
        <v>0</v>
      </c>
      <c r="BA216" s="76">
        <v>0</v>
      </c>
      <c r="BB216" s="76">
        <v>0</v>
      </c>
      <c r="BC216" s="76">
        <v>0</v>
      </c>
      <c r="BD216" s="76">
        <v>0</v>
      </c>
      <c r="BE216" s="76">
        <v>173314</v>
      </c>
      <c r="BF216" s="76">
        <v>258</v>
      </c>
      <c r="BG216" s="76">
        <v>1774</v>
      </c>
      <c r="BH216" s="76">
        <v>2433</v>
      </c>
      <c r="BI216" s="76">
        <v>8800</v>
      </c>
      <c r="BJ216" s="76">
        <v>1059</v>
      </c>
      <c r="BK216" s="76">
        <v>14324</v>
      </c>
      <c r="BL216" s="76">
        <v>856</v>
      </c>
      <c r="BM216" s="76">
        <v>0</v>
      </c>
      <c r="BN216" s="76">
        <v>934</v>
      </c>
      <c r="BO216" s="76">
        <v>4365</v>
      </c>
      <c r="BP216" s="76">
        <v>6155</v>
      </c>
      <c r="BQ216" s="76">
        <v>8169</v>
      </c>
      <c r="BR216" s="76">
        <v>181483</v>
      </c>
      <c r="BS216" s="76">
        <v>61125</v>
      </c>
      <c r="BT216" s="76">
        <v>0</v>
      </c>
      <c r="BU216" s="76">
        <v>0</v>
      </c>
      <c r="BV216" s="76">
        <v>72989</v>
      </c>
      <c r="BW216" s="76">
        <v>0</v>
      </c>
      <c r="BX216" s="76">
        <v>0</v>
      </c>
      <c r="BY216" s="76">
        <v>436</v>
      </c>
      <c r="BZ216" s="76">
        <v>134550</v>
      </c>
      <c r="CA216" s="76">
        <v>0</v>
      </c>
      <c r="CB216" s="76">
        <v>0</v>
      </c>
      <c r="CC216" s="76">
        <v>46933</v>
      </c>
      <c r="CD216" s="76">
        <v>46933</v>
      </c>
      <c r="CE216" s="76">
        <v>0</v>
      </c>
      <c r="CF216" s="76">
        <v>0</v>
      </c>
      <c r="CG216" s="76">
        <v>0</v>
      </c>
      <c r="CH216" s="76">
        <v>0</v>
      </c>
      <c r="CI216" s="76">
        <v>46933</v>
      </c>
      <c r="CJ216" s="76">
        <v>680</v>
      </c>
      <c r="CK216" s="76">
        <v>753</v>
      </c>
      <c r="CL216" s="76">
        <v>0</v>
      </c>
      <c r="CM216" s="76">
        <v>-73</v>
      </c>
      <c r="CN216" s="76">
        <v>4</v>
      </c>
      <c r="CO216" s="76">
        <v>0</v>
      </c>
      <c r="CP216" s="76">
        <v>4</v>
      </c>
      <c r="CQ216" s="76">
        <v>0</v>
      </c>
      <c r="CR216" s="76">
        <v>0</v>
      </c>
      <c r="CS216" s="76">
        <v>0</v>
      </c>
      <c r="CT216" s="76">
        <v>0</v>
      </c>
      <c r="CU216" s="76">
        <v>0</v>
      </c>
      <c r="CV216" s="76">
        <v>0</v>
      </c>
      <c r="CW216" s="76">
        <v>0</v>
      </c>
      <c r="CX216" s="76">
        <v>0</v>
      </c>
      <c r="CY216" s="76">
        <v>0</v>
      </c>
      <c r="CZ216" s="76">
        <v>256</v>
      </c>
      <c r="DA216" s="76">
        <v>0</v>
      </c>
      <c r="DB216" s="76">
        <v>1</v>
      </c>
      <c r="DC216" s="76">
        <v>255</v>
      </c>
      <c r="DD216" s="76">
        <v>940</v>
      </c>
      <c r="DE216" s="76">
        <v>753</v>
      </c>
      <c r="DF216" s="76">
        <v>5</v>
      </c>
      <c r="DG216" s="76">
        <v>182</v>
      </c>
      <c r="DH216" s="76">
        <v>0</v>
      </c>
      <c r="DI216" s="76">
        <v>0</v>
      </c>
      <c r="DJ216" s="76">
        <v>0</v>
      </c>
      <c r="DK216" s="76">
        <v>0</v>
      </c>
      <c r="DL216" s="76">
        <v>0</v>
      </c>
      <c r="DM216" s="76">
        <v>0</v>
      </c>
      <c r="DN216" s="76">
        <v>0</v>
      </c>
      <c r="DO216" s="76">
        <v>0</v>
      </c>
      <c r="DP216" s="76">
        <v>0</v>
      </c>
      <c r="DQ216" s="76">
        <v>0</v>
      </c>
      <c r="DR216" s="76">
        <v>0</v>
      </c>
      <c r="DS216" s="76">
        <v>0</v>
      </c>
      <c r="DT216" s="76">
        <v>0</v>
      </c>
      <c r="DU216" s="76">
        <v>0</v>
      </c>
      <c r="DV216" s="76">
        <v>0</v>
      </c>
      <c r="DW216" s="76">
        <v>0</v>
      </c>
      <c r="DX216" s="76">
        <v>0</v>
      </c>
      <c r="DY216" s="76">
        <v>0</v>
      </c>
      <c r="DZ216" s="76">
        <v>0</v>
      </c>
      <c r="EA216" s="76">
        <v>0</v>
      </c>
      <c r="EB216" s="76">
        <v>23</v>
      </c>
      <c r="EC216" s="76">
        <v>0</v>
      </c>
      <c r="ED216" s="76">
        <v>0</v>
      </c>
      <c r="EE216" s="76">
        <v>23</v>
      </c>
      <c r="EF216" s="76">
        <v>23</v>
      </c>
      <c r="EG216" s="76">
        <v>0</v>
      </c>
      <c r="EH216" s="76">
        <v>0</v>
      </c>
      <c r="EI216" s="76">
        <v>23</v>
      </c>
      <c r="EJ216" s="76">
        <v>963</v>
      </c>
      <c r="EK216" s="76">
        <v>753</v>
      </c>
      <c r="EL216" s="76">
        <v>5</v>
      </c>
      <c r="EM216" s="76">
        <v>205</v>
      </c>
      <c r="EN216" s="76">
        <v>509</v>
      </c>
      <c r="EO216" s="76">
        <v>251</v>
      </c>
      <c r="EP216" s="76">
        <v>170</v>
      </c>
      <c r="EQ216" s="76">
        <v>251</v>
      </c>
      <c r="ER216" s="76">
        <v>195016</v>
      </c>
      <c r="ES216" s="76">
        <v>0</v>
      </c>
      <c r="ET216" s="76">
        <v>195016</v>
      </c>
      <c r="EU216" s="76">
        <v>7772</v>
      </c>
      <c r="EV216" s="76">
        <v>-1136</v>
      </c>
      <c r="EW216" s="76">
        <v>0</v>
      </c>
      <c r="EX216" s="76">
        <v>0</v>
      </c>
      <c r="EY216" s="76">
        <v>-71</v>
      </c>
      <c r="EZ216" s="76">
        <v>201581</v>
      </c>
      <c r="FA216" s="76">
        <v>28242</v>
      </c>
      <c r="FB216" s="76">
        <v>2874</v>
      </c>
      <c r="FC216" s="76">
        <v>4</v>
      </c>
      <c r="FD216" s="76">
        <v>0</v>
      </c>
      <c r="FE216" s="76">
        <v>-967</v>
      </c>
      <c r="FF216" s="76">
        <v>0</v>
      </c>
      <c r="FG216" s="76">
        <v>0</v>
      </c>
      <c r="FH216" s="76">
        <v>30153</v>
      </c>
      <c r="FI216" s="76">
        <v>171428</v>
      </c>
      <c r="FJ216" s="76">
        <v>166774</v>
      </c>
      <c r="FK216" s="76">
        <v>327</v>
      </c>
      <c r="FL216" s="76">
        <v>282</v>
      </c>
      <c r="FM216" s="76">
        <v>45</v>
      </c>
      <c r="FN216" s="76">
        <v>0</v>
      </c>
      <c r="FO216" s="76">
        <v>0</v>
      </c>
      <c r="FP216" s="76">
        <v>0</v>
      </c>
      <c r="FQ216" s="76">
        <v>0</v>
      </c>
      <c r="FR216" s="76">
        <v>0</v>
      </c>
      <c r="FS216" s="76">
        <v>0</v>
      </c>
      <c r="FT216" s="76">
        <v>102</v>
      </c>
      <c r="FU216" s="76">
        <v>9</v>
      </c>
      <c r="FV216" s="76">
        <v>93</v>
      </c>
      <c r="FW216" s="76">
        <v>0</v>
      </c>
      <c r="FX216" s="76">
        <v>0</v>
      </c>
      <c r="FY216" s="76">
        <v>0</v>
      </c>
      <c r="FZ216" s="76">
        <v>0</v>
      </c>
      <c r="GA216" s="76">
        <v>0</v>
      </c>
      <c r="GB216" s="76">
        <v>0</v>
      </c>
      <c r="GC216" s="76">
        <v>429</v>
      </c>
      <c r="GD216" s="76">
        <v>291</v>
      </c>
      <c r="GE216" s="76">
        <v>138</v>
      </c>
      <c r="GF216" s="76">
        <v>0</v>
      </c>
      <c r="GG216" s="76">
        <v>0</v>
      </c>
      <c r="GH216" s="76">
        <v>0</v>
      </c>
      <c r="GI216" s="76">
        <v>1059</v>
      </c>
      <c r="GJ216" s="76">
        <v>0</v>
      </c>
      <c r="GK216" s="76">
        <v>0</v>
      </c>
      <c r="GL216" s="76">
        <v>1059</v>
      </c>
      <c r="GM216" s="76">
        <v>960</v>
      </c>
      <c r="GN216" s="76">
        <v>421</v>
      </c>
      <c r="GO216" s="76">
        <v>0</v>
      </c>
      <c r="GP216" s="76">
        <v>0</v>
      </c>
      <c r="GQ216" s="76">
        <v>0</v>
      </c>
      <c r="GR216" s="76">
        <v>1442</v>
      </c>
      <c r="GS216" s="76">
        <v>0</v>
      </c>
      <c r="GT216" s="76">
        <v>0</v>
      </c>
      <c r="GU216" s="76">
        <v>0</v>
      </c>
      <c r="GV216" s="76">
        <v>0</v>
      </c>
      <c r="GW216" s="76">
        <v>1542</v>
      </c>
      <c r="GX216" s="76">
        <v>4365</v>
      </c>
      <c r="GY216" s="76">
        <v>323</v>
      </c>
      <c r="GZ216" s="76">
        <v>0</v>
      </c>
      <c r="HA216" s="76">
        <v>0</v>
      </c>
      <c r="HB216" s="76">
        <v>113</v>
      </c>
      <c r="HC216" s="76">
        <v>436</v>
      </c>
      <c r="HD216" s="76">
        <v>0</v>
      </c>
      <c r="HE216" s="76">
        <v>0</v>
      </c>
      <c r="HF216" s="76">
        <v>0</v>
      </c>
      <c r="HG216" s="76">
        <v>2200</v>
      </c>
      <c r="HH216" s="76">
        <v>77</v>
      </c>
      <c r="HI216" s="76">
        <v>0</v>
      </c>
      <c r="HJ216" s="76">
        <v>0</v>
      </c>
      <c r="HK216" s="76">
        <v>37</v>
      </c>
      <c r="HL216" s="76">
        <v>-71</v>
      </c>
      <c r="HM216" s="76">
        <v>2243</v>
      </c>
      <c r="HN216" s="76">
        <v>2095</v>
      </c>
      <c r="HO216" s="76">
        <v>3092</v>
      </c>
      <c r="HP216" s="76">
        <v>4</v>
      </c>
      <c r="HQ216" s="76">
        <v>69</v>
      </c>
      <c r="HR216" s="76">
        <v>-55</v>
      </c>
      <c r="HS216" s="76">
        <v>10</v>
      </c>
      <c r="HT216" s="76">
        <v>3735</v>
      </c>
      <c r="HU216" s="76">
        <v>0</v>
      </c>
      <c r="HV216" s="76">
        <v>0</v>
      </c>
      <c r="HW216" s="76">
        <v>0</v>
      </c>
      <c r="HX216" s="76">
        <v>0</v>
      </c>
    </row>
    <row r="217" spans="1:232" x14ac:dyDescent="0.2">
      <c r="A217" s="74" t="s">
        <v>797</v>
      </c>
      <c r="B217" s="74" t="s">
        <v>796</v>
      </c>
      <c r="C217" s="75" t="s">
        <v>200</v>
      </c>
      <c r="D217" s="75">
        <v>12</v>
      </c>
      <c r="E217" s="76">
        <v>21212</v>
      </c>
      <c r="F217" s="76">
        <v>-170</v>
      </c>
      <c r="G217" s="76">
        <v>-14461</v>
      </c>
      <c r="H217" s="76">
        <v>6581</v>
      </c>
      <c r="I217" s="76">
        <v>958</v>
      </c>
      <c r="J217" s="76">
        <v>0</v>
      </c>
      <c r="K217" s="76">
        <v>0</v>
      </c>
      <c r="L217" s="76">
        <v>0</v>
      </c>
      <c r="M217" s="76">
        <v>8</v>
      </c>
      <c r="N217" s="76">
        <v>-3259</v>
      </c>
      <c r="O217" s="76">
        <v>0</v>
      </c>
      <c r="P217" s="76">
        <v>0</v>
      </c>
      <c r="Q217" s="76">
        <v>0</v>
      </c>
      <c r="R217" s="76">
        <v>0</v>
      </c>
      <c r="S217" s="76">
        <v>4288</v>
      </c>
      <c r="T217" s="76">
        <v>0</v>
      </c>
      <c r="U217" s="76">
        <v>4288</v>
      </c>
      <c r="V217" s="76">
        <v>0</v>
      </c>
      <c r="W217" s="76">
        <v>685</v>
      </c>
      <c r="X217" s="76">
        <v>0</v>
      </c>
      <c r="Y217" s="76">
        <v>0</v>
      </c>
      <c r="Z217" s="76">
        <v>4973</v>
      </c>
      <c r="AA217" s="76">
        <v>19058</v>
      </c>
      <c r="AB217" s="76">
        <v>798</v>
      </c>
      <c r="AC217" s="76">
        <v>19856</v>
      </c>
      <c r="AD217" s="76">
        <v>339</v>
      </c>
      <c r="AE217" s="76">
        <v>0</v>
      </c>
      <c r="AF217" s="76">
        <v>37</v>
      </c>
      <c r="AG217" s="76">
        <v>0</v>
      </c>
      <c r="AH217" s="76">
        <v>20232</v>
      </c>
      <c r="AI217" s="76">
        <v>4048</v>
      </c>
      <c r="AJ217" s="76">
        <v>496</v>
      </c>
      <c r="AK217" s="76">
        <v>2284</v>
      </c>
      <c r="AL217" s="76">
        <v>2521</v>
      </c>
      <c r="AM217" s="76">
        <v>0</v>
      </c>
      <c r="AN217" s="76">
        <v>108</v>
      </c>
      <c r="AO217" s="76">
        <v>4134</v>
      </c>
      <c r="AP217" s="76">
        <v>0</v>
      </c>
      <c r="AQ217" s="76">
        <v>223</v>
      </c>
      <c r="AR217" s="76">
        <v>13814</v>
      </c>
      <c r="AS217" s="76">
        <v>6418</v>
      </c>
      <c r="AT217" s="76">
        <v>94</v>
      </c>
      <c r="AU217" s="76">
        <v>126298</v>
      </c>
      <c r="AV217" s="76">
        <v>0</v>
      </c>
      <c r="AW217" s="76">
        <v>4160</v>
      </c>
      <c r="AX217" s="76">
        <v>65</v>
      </c>
      <c r="AY217" s="76">
        <v>0</v>
      </c>
      <c r="AZ217" s="76">
        <v>0</v>
      </c>
      <c r="BA217" s="76">
        <v>0</v>
      </c>
      <c r="BB217" s="76">
        <v>0</v>
      </c>
      <c r="BC217" s="76">
        <v>0</v>
      </c>
      <c r="BD217" s="76">
        <v>0</v>
      </c>
      <c r="BE217" s="76">
        <v>130523</v>
      </c>
      <c r="BF217" s="76">
        <v>0</v>
      </c>
      <c r="BG217" s="76">
        <v>344</v>
      </c>
      <c r="BH217" s="76">
        <v>3046</v>
      </c>
      <c r="BI217" s="76">
        <v>0</v>
      </c>
      <c r="BJ217" s="76">
        <v>2908</v>
      </c>
      <c r="BK217" s="76">
        <v>6298</v>
      </c>
      <c r="BL217" s="76">
        <v>29300</v>
      </c>
      <c r="BM217" s="76">
        <v>1</v>
      </c>
      <c r="BN217" s="76">
        <v>338</v>
      </c>
      <c r="BO217" s="76">
        <v>4255</v>
      </c>
      <c r="BP217" s="76">
        <v>33894</v>
      </c>
      <c r="BQ217" s="76">
        <v>-27596</v>
      </c>
      <c r="BR217" s="76">
        <v>102927</v>
      </c>
      <c r="BS217" s="76">
        <v>47352</v>
      </c>
      <c r="BT217" s="76">
        <v>0</v>
      </c>
      <c r="BU217" s="76">
        <v>0</v>
      </c>
      <c r="BV217" s="76">
        <v>18210</v>
      </c>
      <c r="BW217" s="76">
        <v>0</v>
      </c>
      <c r="BX217" s="76">
        <v>0</v>
      </c>
      <c r="BY217" s="76">
        <v>452</v>
      </c>
      <c r="BZ217" s="76">
        <v>66014</v>
      </c>
      <c r="CA217" s="76">
        <v>663</v>
      </c>
      <c r="CB217" s="76">
        <v>0</v>
      </c>
      <c r="CC217" s="76">
        <v>36250</v>
      </c>
      <c r="CD217" s="76">
        <v>36250</v>
      </c>
      <c r="CE217" s="76">
        <v>0</v>
      </c>
      <c r="CF217" s="76">
        <v>0</v>
      </c>
      <c r="CG217" s="76">
        <v>0</v>
      </c>
      <c r="CH217" s="76">
        <v>0</v>
      </c>
      <c r="CI217" s="76">
        <v>36250</v>
      </c>
      <c r="CJ217" s="76">
        <v>432</v>
      </c>
      <c r="CK217" s="76">
        <v>170</v>
      </c>
      <c r="CL217" s="76">
        <v>0</v>
      </c>
      <c r="CM217" s="76">
        <v>262</v>
      </c>
      <c r="CN217" s="76">
        <v>0</v>
      </c>
      <c r="CO217" s="76">
        <v>0</v>
      </c>
      <c r="CP217" s="76">
        <v>0</v>
      </c>
      <c r="CQ217" s="76">
        <v>0</v>
      </c>
      <c r="CR217" s="76">
        <v>0</v>
      </c>
      <c r="CS217" s="76">
        <v>0</v>
      </c>
      <c r="CT217" s="76">
        <v>0</v>
      </c>
      <c r="CU217" s="76">
        <v>0</v>
      </c>
      <c r="CV217" s="76">
        <v>0</v>
      </c>
      <c r="CW217" s="76">
        <v>0</v>
      </c>
      <c r="CX217" s="76">
        <v>0</v>
      </c>
      <c r="CY217" s="76">
        <v>0</v>
      </c>
      <c r="CZ217" s="76">
        <v>283</v>
      </c>
      <c r="DA217" s="76">
        <v>0</v>
      </c>
      <c r="DB217" s="76">
        <v>176</v>
      </c>
      <c r="DC217" s="76">
        <v>107</v>
      </c>
      <c r="DD217" s="76">
        <v>715</v>
      </c>
      <c r="DE217" s="76">
        <v>170</v>
      </c>
      <c r="DF217" s="76">
        <v>176</v>
      </c>
      <c r="DG217" s="76">
        <v>369</v>
      </c>
      <c r="DH217" s="76">
        <v>0</v>
      </c>
      <c r="DI217" s="76">
        <v>0</v>
      </c>
      <c r="DJ217" s="76">
        <v>0</v>
      </c>
      <c r="DK217" s="76">
        <v>0</v>
      </c>
      <c r="DL217" s="76">
        <v>0</v>
      </c>
      <c r="DM217" s="76">
        <v>0</v>
      </c>
      <c r="DN217" s="76">
        <v>0</v>
      </c>
      <c r="DO217" s="76">
        <v>0</v>
      </c>
      <c r="DP217" s="76">
        <v>0</v>
      </c>
      <c r="DQ217" s="76">
        <v>0</v>
      </c>
      <c r="DR217" s="76">
        <v>0</v>
      </c>
      <c r="DS217" s="76">
        <v>0</v>
      </c>
      <c r="DT217" s="76">
        <v>0</v>
      </c>
      <c r="DU217" s="76">
        <v>0</v>
      </c>
      <c r="DV217" s="76">
        <v>0</v>
      </c>
      <c r="DW217" s="76">
        <v>0</v>
      </c>
      <c r="DX217" s="76">
        <v>0</v>
      </c>
      <c r="DY217" s="76">
        <v>0</v>
      </c>
      <c r="DZ217" s="76">
        <v>0</v>
      </c>
      <c r="EA217" s="76">
        <v>0</v>
      </c>
      <c r="EB217" s="76">
        <v>265</v>
      </c>
      <c r="EC217" s="76">
        <v>0</v>
      </c>
      <c r="ED217" s="76">
        <v>471</v>
      </c>
      <c r="EE217" s="76">
        <v>-206</v>
      </c>
      <c r="EF217" s="76">
        <v>265</v>
      </c>
      <c r="EG217" s="76">
        <v>0</v>
      </c>
      <c r="EH217" s="76">
        <v>471</v>
      </c>
      <c r="EI217" s="76">
        <v>-206</v>
      </c>
      <c r="EJ217" s="76">
        <v>980</v>
      </c>
      <c r="EK217" s="76">
        <v>170</v>
      </c>
      <c r="EL217" s="76">
        <v>647</v>
      </c>
      <c r="EM217" s="76">
        <v>163</v>
      </c>
      <c r="EN217" s="76">
        <v>331</v>
      </c>
      <c r="EO217" s="76">
        <v>244</v>
      </c>
      <c r="EP217" s="76">
        <v>112</v>
      </c>
      <c r="EQ217" s="76">
        <v>232</v>
      </c>
      <c r="ER217" s="76">
        <v>149373</v>
      </c>
      <c r="ES217" s="76">
        <v>0</v>
      </c>
      <c r="ET217" s="76">
        <v>149373</v>
      </c>
      <c r="EU217" s="76">
        <v>8934</v>
      </c>
      <c r="EV217" s="76">
        <v>-722</v>
      </c>
      <c r="EW217" s="76">
        <v>0</v>
      </c>
      <c r="EX217" s="76">
        <v>0</v>
      </c>
      <c r="EY217" s="76">
        <v>-221</v>
      </c>
      <c r="EZ217" s="76">
        <v>157364</v>
      </c>
      <c r="FA217" s="76">
        <v>27052</v>
      </c>
      <c r="FB217" s="76">
        <v>4133</v>
      </c>
      <c r="FC217" s="76">
        <v>0</v>
      </c>
      <c r="FD217" s="76">
        <v>0</v>
      </c>
      <c r="FE217" s="76">
        <v>-119</v>
      </c>
      <c r="FF217" s="76">
        <v>0</v>
      </c>
      <c r="FG217" s="76">
        <v>0</v>
      </c>
      <c r="FH217" s="76">
        <v>31066</v>
      </c>
      <c r="FI217" s="76">
        <v>126298</v>
      </c>
      <c r="FJ217" s="76">
        <v>122321</v>
      </c>
      <c r="FK217" s="76">
        <v>373</v>
      </c>
      <c r="FL217" s="76">
        <v>322</v>
      </c>
      <c r="FM217" s="76">
        <v>51</v>
      </c>
      <c r="FN217" s="76">
        <v>386</v>
      </c>
      <c r="FO217" s="76">
        <v>132</v>
      </c>
      <c r="FP217" s="76">
        <v>254</v>
      </c>
      <c r="FQ217" s="76">
        <v>140</v>
      </c>
      <c r="FR217" s="76">
        <v>6</v>
      </c>
      <c r="FS217" s="76">
        <v>134</v>
      </c>
      <c r="FT217" s="76">
        <v>686</v>
      </c>
      <c r="FU217" s="76">
        <v>176</v>
      </c>
      <c r="FV217" s="76">
        <v>510</v>
      </c>
      <c r="FW217" s="76">
        <v>0</v>
      </c>
      <c r="FX217" s="76">
        <v>0</v>
      </c>
      <c r="FY217" s="76">
        <v>0</v>
      </c>
      <c r="FZ217" s="76">
        <v>10</v>
      </c>
      <c r="GA217" s="76">
        <v>1</v>
      </c>
      <c r="GB217" s="76">
        <v>9</v>
      </c>
      <c r="GC217" s="76">
        <v>1595</v>
      </c>
      <c r="GD217" s="76">
        <v>637</v>
      </c>
      <c r="GE217" s="76">
        <v>958</v>
      </c>
      <c r="GF217" s="76">
        <v>0</v>
      </c>
      <c r="GG217" s="76">
        <v>0</v>
      </c>
      <c r="GH217" s="76">
        <v>0</v>
      </c>
      <c r="GI217" s="76">
        <v>0</v>
      </c>
      <c r="GJ217" s="76">
        <v>0</v>
      </c>
      <c r="GK217" s="76">
        <v>2908</v>
      </c>
      <c r="GL217" s="76">
        <v>2908</v>
      </c>
      <c r="GM217" s="76">
        <v>888</v>
      </c>
      <c r="GN217" s="76">
        <v>223</v>
      </c>
      <c r="GO217" s="76">
        <v>0</v>
      </c>
      <c r="GP217" s="76">
        <v>0</v>
      </c>
      <c r="GQ217" s="76">
        <v>0</v>
      </c>
      <c r="GR217" s="76">
        <v>1772</v>
      </c>
      <c r="GS217" s="76">
        <v>0</v>
      </c>
      <c r="GT217" s="76">
        <v>0</v>
      </c>
      <c r="GU217" s="76">
        <v>52</v>
      </c>
      <c r="GV217" s="76">
        <v>0</v>
      </c>
      <c r="GW217" s="76">
        <v>1320</v>
      </c>
      <c r="GX217" s="76">
        <v>4255</v>
      </c>
      <c r="GY217" s="76">
        <v>153</v>
      </c>
      <c r="GZ217" s="76">
        <v>0</v>
      </c>
      <c r="HA217" s="76">
        <v>299</v>
      </c>
      <c r="HB217" s="76">
        <v>0</v>
      </c>
      <c r="HC217" s="76">
        <v>452</v>
      </c>
      <c r="HD217" s="76">
        <v>0</v>
      </c>
      <c r="HE217" s="76">
        <v>0</v>
      </c>
      <c r="HF217" s="76">
        <v>0</v>
      </c>
      <c r="HG217" s="76">
        <v>3394</v>
      </c>
      <c r="HH217" s="76">
        <v>28</v>
      </c>
      <c r="HI217" s="76">
        <v>53</v>
      </c>
      <c r="HJ217" s="76">
        <v>0</v>
      </c>
      <c r="HK217" s="76">
        <v>0</v>
      </c>
      <c r="HL217" s="76">
        <v>-216</v>
      </c>
      <c r="HM217" s="76">
        <v>3259</v>
      </c>
      <c r="HN217" s="76">
        <v>2625</v>
      </c>
      <c r="HO217" s="76">
        <v>4345</v>
      </c>
      <c r="HP217" s="76">
        <v>0</v>
      </c>
      <c r="HQ217" s="76">
        <v>36</v>
      </c>
      <c r="HR217" s="76">
        <v>-28</v>
      </c>
      <c r="HS217" s="76">
        <v>28</v>
      </c>
      <c r="HT217" s="76">
        <v>3894</v>
      </c>
      <c r="HU217" s="76">
        <v>0</v>
      </c>
      <c r="HV217" s="76">
        <v>0</v>
      </c>
      <c r="HW217" s="76">
        <v>0</v>
      </c>
      <c r="HX217" s="76">
        <v>0</v>
      </c>
    </row>
    <row r="218" spans="1:232" x14ac:dyDescent="0.2">
      <c r="A218" s="74" t="s">
        <v>183</v>
      </c>
      <c r="B218" s="74" t="s">
        <v>182</v>
      </c>
      <c r="C218" s="75" t="s">
        <v>200</v>
      </c>
      <c r="D218" s="75">
        <v>12</v>
      </c>
      <c r="E218" s="76">
        <v>5581</v>
      </c>
      <c r="F218" s="76">
        <v>0</v>
      </c>
      <c r="G218" s="76">
        <v>-3504</v>
      </c>
      <c r="H218" s="76">
        <v>2077</v>
      </c>
      <c r="I218" s="76">
        <v>61</v>
      </c>
      <c r="J218" s="76">
        <v>0</v>
      </c>
      <c r="K218" s="76">
        <v>0</v>
      </c>
      <c r="L218" s="76">
        <v>0</v>
      </c>
      <c r="M218" s="76">
        <v>9</v>
      </c>
      <c r="N218" s="76">
        <v>-858</v>
      </c>
      <c r="O218" s="76">
        <v>0</v>
      </c>
      <c r="P218" s="76">
        <v>0</v>
      </c>
      <c r="Q218" s="76">
        <v>0</v>
      </c>
      <c r="R218" s="76">
        <v>0</v>
      </c>
      <c r="S218" s="76">
        <v>1289</v>
      </c>
      <c r="T218" s="76">
        <v>0</v>
      </c>
      <c r="U218" s="76">
        <v>1289</v>
      </c>
      <c r="V218" s="76">
        <v>0</v>
      </c>
      <c r="W218" s="76">
        <v>0</v>
      </c>
      <c r="X218" s="76">
        <v>0</v>
      </c>
      <c r="Y218" s="76">
        <v>0</v>
      </c>
      <c r="Z218" s="76">
        <v>1289</v>
      </c>
      <c r="AA218" s="76">
        <v>5195</v>
      </c>
      <c r="AB218" s="76">
        <v>345</v>
      </c>
      <c r="AC218" s="76">
        <v>5540</v>
      </c>
      <c r="AD218" s="76">
        <v>6</v>
      </c>
      <c r="AE218" s="76">
        <v>0</v>
      </c>
      <c r="AF218" s="76">
        <v>29</v>
      </c>
      <c r="AG218" s="76">
        <v>0</v>
      </c>
      <c r="AH218" s="76">
        <v>5575</v>
      </c>
      <c r="AI218" s="76">
        <v>645</v>
      </c>
      <c r="AJ218" s="76">
        <v>321</v>
      </c>
      <c r="AK218" s="76">
        <v>1059</v>
      </c>
      <c r="AL218" s="76">
        <v>427</v>
      </c>
      <c r="AM218" s="76">
        <v>0</v>
      </c>
      <c r="AN218" s="76">
        <v>13</v>
      </c>
      <c r="AO218" s="76">
        <v>730</v>
      </c>
      <c r="AP218" s="76">
        <v>0</v>
      </c>
      <c r="AQ218" s="76">
        <v>306</v>
      </c>
      <c r="AR218" s="76">
        <v>3501</v>
      </c>
      <c r="AS218" s="76">
        <v>2074</v>
      </c>
      <c r="AT218" s="76">
        <v>21</v>
      </c>
      <c r="AU218" s="76">
        <v>54170</v>
      </c>
      <c r="AV218" s="76">
        <v>0</v>
      </c>
      <c r="AW218" s="76">
        <v>214</v>
      </c>
      <c r="AX218" s="76">
        <v>0</v>
      </c>
      <c r="AY218" s="76">
        <v>0</v>
      </c>
      <c r="AZ218" s="76">
        <v>0</v>
      </c>
      <c r="BA218" s="76">
        <v>0</v>
      </c>
      <c r="BB218" s="76">
        <v>0</v>
      </c>
      <c r="BC218" s="76">
        <v>0</v>
      </c>
      <c r="BD218" s="76">
        <v>0</v>
      </c>
      <c r="BE218" s="76">
        <v>54384</v>
      </c>
      <c r="BF218" s="76">
        <v>0</v>
      </c>
      <c r="BG218" s="76">
        <v>0</v>
      </c>
      <c r="BH218" s="76">
        <v>3276</v>
      </c>
      <c r="BI218" s="76">
        <v>0</v>
      </c>
      <c r="BJ218" s="76">
        <v>294</v>
      </c>
      <c r="BK218" s="76">
        <v>3570</v>
      </c>
      <c r="BL218" s="76">
        <v>65</v>
      </c>
      <c r="BM218" s="76">
        <v>0</v>
      </c>
      <c r="BN218" s="76">
        <v>0</v>
      </c>
      <c r="BO218" s="76">
        <v>859</v>
      </c>
      <c r="BP218" s="76">
        <v>924</v>
      </c>
      <c r="BQ218" s="76">
        <v>2646</v>
      </c>
      <c r="BR218" s="76">
        <v>57030</v>
      </c>
      <c r="BS218" s="76">
        <v>20955</v>
      </c>
      <c r="BT218" s="76">
        <v>0</v>
      </c>
      <c r="BU218" s="76">
        <v>0</v>
      </c>
      <c r="BV218" s="76">
        <v>576</v>
      </c>
      <c r="BW218" s="76">
        <v>0</v>
      </c>
      <c r="BX218" s="76">
        <v>0</v>
      </c>
      <c r="BY218" s="76">
        <v>21</v>
      </c>
      <c r="BZ218" s="76">
        <v>21552</v>
      </c>
      <c r="CA218" s="76">
        <v>366</v>
      </c>
      <c r="CB218" s="76">
        <v>0</v>
      </c>
      <c r="CC218" s="76">
        <v>35112</v>
      </c>
      <c r="CD218" s="76">
        <v>32696</v>
      </c>
      <c r="CE218" s="76">
        <v>2416</v>
      </c>
      <c r="CF218" s="76">
        <v>0</v>
      </c>
      <c r="CG218" s="76">
        <v>0</v>
      </c>
      <c r="CH218" s="76">
        <v>0</v>
      </c>
      <c r="CI218" s="76">
        <v>35112</v>
      </c>
      <c r="CJ218" s="76">
        <v>0</v>
      </c>
      <c r="CK218" s="76">
        <v>0</v>
      </c>
      <c r="CL218" s="76">
        <v>0</v>
      </c>
      <c r="CM218" s="76">
        <v>0</v>
      </c>
      <c r="CN218" s="76">
        <v>0</v>
      </c>
      <c r="CO218" s="76">
        <v>0</v>
      </c>
      <c r="CP218" s="76">
        <v>0</v>
      </c>
      <c r="CQ218" s="76">
        <v>0</v>
      </c>
      <c r="CR218" s="76">
        <v>0</v>
      </c>
      <c r="CS218" s="76">
        <v>0</v>
      </c>
      <c r="CT218" s="76">
        <v>0</v>
      </c>
      <c r="CU218" s="76">
        <v>0</v>
      </c>
      <c r="CV218" s="76">
        <v>0</v>
      </c>
      <c r="CW218" s="76">
        <v>0</v>
      </c>
      <c r="CX218" s="76">
        <v>3</v>
      </c>
      <c r="CY218" s="76">
        <v>-3</v>
      </c>
      <c r="CZ218" s="76">
        <v>6</v>
      </c>
      <c r="DA218" s="76">
        <v>0</v>
      </c>
      <c r="DB218" s="76">
        <v>0</v>
      </c>
      <c r="DC218" s="76">
        <v>6</v>
      </c>
      <c r="DD218" s="76">
        <v>6</v>
      </c>
      <c r="DE218" s="76">
        <v>0</v>
      </c>
      <c r="DF218" s="76">
        <v>3</v>
      </c>
      <c r="DG218" s="76">
        <v>3</v>
      </c>
      <c r="DH218" s="76">
        <v>0</v>
      </c>
      <c r="DI218" s="76">
        <v>0</v>
      </c>
      <c r="DJ218" s="76">
        <v>0</v>
      </c>
      <c r="DK218" s="76">
        <v>0</v>
      </c>
      <c r="DL218" s="76">
        <v>0</v>
      </c>
      <c r="DM218" s="76">
        <v>0</v>
      </c>
      <c r="DN218" s="76">
        <v>0</v>
      </c>
      <c r="DO218" s="76">
        <v>0</v>
      </c>
      <c r="DP218" s="76">
        <v>0</v>
      </c>
      <c r="DQ218" s="76">
        <v>0</v>
      </c>
      <c r="DR218" s="76">
        <v>0</v>
      </c>
      <c r="DS218" s="76">
        <v>0</v>
      </c>
      <c r="DT218" s="76">
        <v>0</v>
      </c>
      <c r="DU218" s="76">
        <v>0</v>
      </c>
      <c r="DV218" s="76">
        <v>0</v>
      </c>
      <c r="DW218" s="76">
        <v>0</v>
      </c>
      <c r="DX218" s="76">
        <v>0</v>
      </c>
      <c r="DY218" s="76">
        <v>0</v>
      </c>
      <c r="DZ218" s="76">
        <v>0</v>
      </c>
      <c r="EA218" s="76">
        <v>0</v>
      </c>
      <c r="EB218" s="76">
        <v>0</v>
      </c>
      <c r="EC218" s="76">
        <v>0</v>
      </c>
      <c r="ED218" s="76">
        <v>0</v>
      </c>
      <c r="EE218" s="76">
        <v>0</v>
      </c>
      <c r="EF218" s="76">
        <v>0</v>
      </c>
      <c r="EG218" s="76">
        <v>0</v>
      </c>
      <c r="EH218" s="76">
        <v>0</v>
      </c>
      <c r="EI218" s="76">
        <v>0</v>
      </c>
      <c r="EJ218" s="76">
        <v>6</v>
      </c>
      <c r="EK218" s="76">
        <v>0</v>
      </c>
      <c r="EL218" s="76">
        <v>3</v>
      </c>
      <c r="EM218" s="76">
        <v>3</v>
      </c>
      <c r="EN218" s="76">
        <v>185</v>
      </c>
      <c r="EO218" s="76">
        <v>161</v>
      </c>
      <c r="EP218" s="76">
        <v>92</v>
      </c>
      <c r="EQ218" s="76">
        <v>156</v>
      </c>
      <c r="ER218" s="76">
        <v>59614</v>
      </c>
      <c r="ES218" s="76">
        <v>0</v>
      </c>
      <c r="ET218" s="76">
        <v>59614</v>
      </c>
      <c r="EU218" s="76">
        <v>684</v>
      </c>
      <c r="EV218" s="76">
        <v>-189</v>
      </c>
      <c r="EW218" s="76">
        <v>0</v>
      </c>
      <c r="EX218" s="76">
        <v>0</v>
      </c>
      <c r="EY218" s="76">
        <v>0</v>
      </c>
      <c r="EZ218" s="76">
        <v>60109</v>
      </c>
      <c r="FA218" s="76">
        <v>5347</v>
      </c>
      <c r="FB218" s="76">
        <v>731</v>
      </c>
      <c r="FC218" s="76">
        <v>0</v>
      </c>
      <c r="FD218" s="76">
        <v>0</v>
      </c>
      <c r="FE218" s="76">
        <v>-136</v>
      </c>
      <c r="FF218" s="76">
        <v>0</v>
      </c>
      <c r="FG218" s="76">
        <v>0</v>
      </c>
      <c r="FH218" s="76">
        <v>5942</v>
      </c>
      <c r="FI218" s="76">
        <v>54167</v>
      </c>
      <c r="FJ218" s="76">
        <v>54267</v>
      </c>
      <c r="FK218" s="76">
        <v>88</v>
      </c>
      <c r="FL218" s="76">
        <v>27</v>
      </c>
      <c r="FM218" s="76">
        <v>61</v>
      </c>
      <c r="FN218" s="76">
        <v>0</v>
      </c>
      <c r="FO218" s="76">
        <v>0</v>
      </c>
      <c r="FP218" s="76">
        <v>0</v>
      </c>
      <c r="FQ218" s="76">
        <v>0</v>
      </c>
      <c r="FR218" s="76">
        <v>0</v>
      </c>
      <c r="FS218" s="76">
        <v>0</v>
      </c>
      <c r="FT218" s="76">
        <v>0</v>
      </c>
      <c r="FU218" s="76">
        <v>0</v>
      </c>
      <c r="FV218" s="76">
        <v>0</v>
      </c>
      <c r="FW218" s="76">
        <v>0</v>
      </c>
      <c r="FX218" s="76">
        <v>0</v>
      </c>
      <c r="FY218" s="76">
        <v>0</v>
      </c>
      <c r="FZ218" s="76">
        <v>0</v>
      </c>
      <c r="GA218" s="76">
        <v>0</v>
      </c>
      <c r="GB218" s="76">
        <v>0</v>
      </c>
      <c r="GC218" s="76">
        <v>88</v>
      </c>
      <c r="GD218" s="76">
        <v>27</v>
      </c>
      <c r="GE218" s="76">
        <v>61</v>
      </c>
      <c r="GF218" s="76">
        <v>0</v>
      </c>
      <c r="GG218" s="76">
        <v>0</v>
      </c>
      <c r="GH218" s="76">
        <v>0</v>
      </c>
      <c r="GI218" s="76">
        <v>0</v>
      </c>
      <c r="GJ218" s="76">
        <v>0</v>
      </c>
      <c r="GK218" s="76">
        <v>294</v>
      </c>
      <c r="GL218" s="76">
        <v>294</v>
      </c>
      <c r="GM218" s="76">
        <v>245</v>
      </c>
      <c r="GN218" s="76">
        <v>158</v>
      </c>
      <c r="GO218" s="76">
        <v>0</v>
      </c>
      <c r="GP218" s="76">
        <v>0</v>
      </c>
      <c r="GQ218" s="76">
        <v>0</v>
      </c>
      <c r="GR218" s="76">
        <v>266</v>
      </c>
      <c r="GS218" s="76">
        <v>0</v>
      </c>
      <c r="GT218" s="76">
        <v>0</v>
      </c>
      <c r="GU218" s="76">
        <v>0</v>
      </c>
      <c r="GV218" s="76">
        <v>0</v>
      </c>
      <c r="GW218" s="76">
        <v>190</v>
      </c>
      <c r="GX218" s="76">
        <v>859</v>
      </c>
      <c r="GY218" s="76">
        <v>9</v>
      </c>
      <c r="GZ218" s="76">
        <v>11</v>
      </c>
      <c r="HA218" s="76">
        <v>0</v>
      </c>
      <c r="HB218" s="76">
        <v>0</v>
      </c>
      <c r="HC218" s="76">
        <v>20</v>
      </c>
      <c r="HD218" s="76">
        <v>0</v>
      </c>
      <c r="HE218" s="76">
        <v>0</v>
      </c>
      <c r="HF218" s="76">
        <v>0</v>
      </c>
      <c r="HG218" s="76">
        <v>803</v>
      </c>
      <c r="HH218" s="76">
        <v>0</v>
      </c>
      <c r="HI218" s="76">
        <v>8</v>
      </c>
      <c r="HJ218" s="76">
        <v>0</v>
      </c>
      <c r="HK218" s="76">
        <v>47</v>
      </c>
      <c r="HL218" s="76">
        <v>0</v>
      </c>
      <c r="HM218" s="76">
        <v>858</v>
      </c>
      <c r="HN218" s="76">
        <v>502</v>
      </c>
      <c r="HO218" s="76">
        <v>796</v>
      </c>
      <c r="HP218" s="76">
        <v>0</v>
      </c>
      <c r="HQ218" s="76">
        <v>0</v>
      </c>
      <c r="HR218" s="76">
        <v>-2</v>
      </c>
      <c r="HS218" s="76">
        <v>0</v>
      </c>
      <c r="HT218" s="76">
        <v>1004</v>
      </c>
      <c r="HU218" s="76">
        <v>0</v>
      </c>
      <c r="HV218" s="76">
        <v>0</v>
      </c>
      <c r="HW218" s="76">
        <v>0</v>
      </c>
      <c r="HX218" s="76">
        <v>0</v>
      </c>
    </row>
    <row r="219" spans="1:232" x14ac:dyDescent="0.2">
      <c r="A219" s="74" t="s">
        <v>798</v>
      </c>
      <c r="B219" s="74" t="s">
        <v>799</v>
      </c>
      <c r="C219" s="75" t="s">
        <v>200</v>
      </c>
      <c r="D219" s="75">
        <v>12</v>
      </c>
      <c r="E219" s="76">
        <v>7401</v>
      </c>
      <c r="F219" s="76">
        <v>-359</v>
      </c>
      <c r="G219" s="76">
        <v>-5135</v>
      </c>
      <c r="H219" s="76">
        <v>1907</v>
      </c>
      <c r="I219" s="76">
        <v>27</v>
      </c>
      <c r="J219" s="76">
        <v>0</v>
      </c>
      <c r="K219" s="76">
        <v>0</v>
      </c>
      <c r="L219" s="76">
        <v>0</v>
      </c>
      <c r="M219" s="76">
        <v>40</v>
      </c>
      <c r="N219" s="76">
        <v>-462</v>
      </c>
      <c r="O219" s="76">
        <v>0</v>
      </c>
      <c r="P219" s="76">
        <v>0</v>
      </c>
      <c r="Q219" s="76">
        <v>0</v>
      </c>
      <c r="R219" s="76">
        <v>0</v>
      </c>
      <c r="S219" s="76">
        <v>1512</v>
      </c>
      <c r="T219" s="76">
        <v>0</v>
      </c>
      <c r="U219" s="76">
        <v>1512</v>
      </c>
      <c r="V219" s="76">
        <v>0</v>
      </c>
      <c r="W219" s="76">
        <v>0</v>
      </c>
      <c r="X219" s="76">
        <v>0</v>
      </c>
      <c r="Y219" s="76">
        <v>0</v>
      </c>
      <c r="Z219" s="76">
        <v>1512</v>
      </c>
      <c r="AA219" s="76">
        <v>5371</v>
      </c>
      <c r="AB219" s="76">
        <v>252</v>
      </c>
      <c r="AC219" s="76">
        <v>5623</v>
      </c>
      <c r="AD219" s="76">
        <v>753</v>
      </c>
      <c r="AE219" s="76">
        <v>0</v>
      </c>
      <c r="AF219" s="76">
        <v>0</v>
      </c>
      <c r="AG219" s="76">
        <v>0</v>
      </c>
      <c r="AH219" s="76">
        <v>6376</v>
      </c>
      <c r="AI219" s="76">
        <v>1745</v>
      </c>
      <c r="AJ219" s="76">
        <v>234</v>
      </c>
      <c r="AK219" s="76">
        <v>590</v>
      </c>
      <c r="AL219" s="76">
        <v>459</v>
      </c>
      <c r="AM219" s="76">
        <v>0</v>
      </c>
      <c r="AN219" s="76">
        <v>18</v>
      </c>
      <c r="AO219" s="76">
        <v>1583</v>
      </c>
      <c r="AP219" s="76">
        <v>0</v>
      </c>
      <c r="AQ219" s="76">
        <v>53</v>
      </c>
      <c r="AR219" s="76">
        <v>4682</v>
      </c>
      <c r="AS219" s="76">
        <v>1694</v>
      </c>
      <c r="AT219" s="76">
        <v>39</v>
      </c>
      <c r="AU219" s="76">
        <v>59312</v>
      </c>
      <c r="AV219" s="76">
        <v>0</v>
      </c>
      <c r="AW219" s="76">
        <v>2963</v>
      </c>
      <c r="AX219" s="76">
        <v>0</v>
      </c>
      <c r="AY219" s="76">
        <v>0</v>
      </c>
      <c r="AZ219" s="76">
        <v>0</v>
      </c>
      <c r="BA219" s="76">
        <v>0</v>
      </c>
      <c r="BB219" s="76">
        <v>0</v>
      </c>
      <c r="BC219" s="76">
        <v>0</v>
      </c>
      <c r="BD219" s="76">
        <v>0</v>
      </c>
      <c r="BE219" s="76">
        <v>62275</v>
      </c>
      <c r="BF219" s="76">
        <v>0</v>
      </c>
      <c r="BG219" s="76">
        <v>120</v>
      </c>
      <c r="BH219" s="76">
        <v>4909</v>
      </c>
      <c r="BI219" s="76">
        <v>0</v>
      </c>
      <c r="BJ219" s="76">
        <v>185</v>
      </c>
      <c r="BK219" s="76">
        <v>5214</v>
      </c>
      <c r="BL219" s="76">
        <v>947</v>
      </c>
      <c r="BM219" s="76">
        <v>0</v>
      </c>
      <c r="BN219" s="76">
        <v>850</v>
      </c>
      <c r="BO219" s="76">
        <v>1742</v>
      </c>
      <c r="BP219" s="76">
        <v>3539</v>
      </c>
      <c r="BQ219" s="76">
        <v>1675</v>
      </c>
      <c r="BR219" s="76">
        <v>63950</v>
      </c>
      <c r="BS219" s="76">
        <v>17149</v>
      </c>
      <c r="BT219" s="76">
        <v>0</v>
      </c>
      <c r="BU219" s="76">
        <v>0</v>
      </c>
      <c r="BV219" s="76">
        <v>30651</v>
      </c>
      <c r="BW219" s="76">
        <v>0</v>
      </c>
      <c r="BX219" s="76">
        <v>0</v>
      </c>
      <c r="BY219" s="76">
        <v>294</v>
      </c>
      <c r="BZ219" s="76">
        <v>48094</v>
      </c>
      <c r="CA219" s="76">
        <v>761</v>
      </c>
      <c r="CB219" s="76">
        <v>0</v>
      </c>
      <c r="CC219" s="76">
        <v>15095</v>
      </c>
      <c r="CD219" s="76">
        <v>15095</v>
      </c>
      <c r="CE219" s="76">
        <v>0</v>
      </c>
      <c r="CF219" s="76">
        <v>0</v>
      </c>
      <c r="CG219" s="76">
        <v>0</v>
      </c>
      <c r="CH219" s="76">
        <v>0</v>
      </c>
      <c r="CI219" s="76">
        <v>15095</v>
      </c>
      <c r="CJ219" s="76">
        <v>444</v>
      </c>
      <c r="CK219" s="76">
        <v>359</v>
      </c>
      <c r="CL219" s="76">
        <v>0</v>
      </c>
      <c r="CM219" s="76">
        <v>85</v>
      </c>
      <c r="CN219" s="76">
        <v>0</v>
      </c>
      <c r="CO219" s="76">
        <v>0</v>
      </c>
      <c r="CP219" s="76">
        <v>0</v>
      </c>
      <c r="CQ219" s="76">
        <v>0</v>
      </c>
      <c r="CR219" s="76">
        <v>0</v>
      </c>
      <c r="CS219" s="76">
        <v>0</v>
      </c>
      <c r="CT219" s="76">
        <v>0</v>
      </c>
      <c r="CU219" s="76">
        <v>0</v>
      </c>
      <c r="CV219" s="76">
        <v>0</v>
      </c>
      <c r="CW219" s="76">
        <v>0</v>
      </c>
      <c r="CX219" s="76">
        <v>0</v>
      </c>
      <c r="CY219" s="76">
        <v>0</v>
      </c>
      <c r="CZ219" s="76">
        <v>21</v>
      </c>
      <c r="DA219" s="76">
        <v>0</v>
      </c>
      <c r="DB219" s="76">
        <v>15</v>
      </c>
      <c r="DC219" s="76">
        <v>6</v>
      </c>
      <c r="DD219" s="76">
        <v>465</v>
      </c>
      <c r="DE219" s="76">
        <v>359</v>
      </c>
      <c r="DF219" s="76">
        <v>15</v>
      </c>
      <c r="DG219" s="76">
        <v>91</v>
      </c>
      <c r="DH219" s="76">
        <v>0</v>
      </c>
      <c r="DI219" s="76">
        <v>0</v>
      </c>
      <c r="DJ219" s="76">
        <v>0</v>
      </c>
      <c r="DK219" s="76">
        <v>0</v>
      </c>
      <c r="DL219" s="76">
        <v>0</v>
      </c>
      <c r="DM219" s="76">
        <v>0</v>
      </c>
      <c r="DN219" s="76">
        <v>0</v>
      </c>
      <c r="DO219" s="76">
        <v>0</v>
      </c>
      <c r="DP219" s="76">
        <v>0</v>
      </c>
      <c r="DQ219" s="76">
        <v>0</v>
      </c>
      <c r="DR219" s="76">
        <v>0</v>
      </c>
      <c r="DS219" s="76">
        <v>0</v>
      </c>
      <c r="DT219" s="76">
        <v>0</v>
      </c>
      <c r="DU219" s="76">
        <v>0</v>
      </c>
      <c r="DV219" s="76">
        <v>0</v>
      </c>
      <c r="DW219" s="76">
        <v>0</v>
      </c>
      <c r="DX219" s="76">
        <v>0</v>
      </c>
      <c r="DY219" s="76">
        <v>0</v>
      </c>
      <c r="DZ219" s="76">
        <v>0</v>
      </c>
      <c r="EA219" s="76">
        <v>0</v>
      </c>
      <c r="EB219" s="76">
        <v>560</v>
      </c>
      <c r="EC219" s="76">
        <v>0</v>
      </c>
      <c r="ED219" s="76">
        <v>438</v>
      </c>
      <c r="EE219" s="76">
        <v>122</v>
      </c>
      <c r="EF219" s="76">
        <v>560</v>
      </c>
      <c r="EG219" s="76">
        <v>0</v>
      </c>
      <c r="EH219" s="76">
        <v>438</v>
      </c>
      <c r="EI219" s="76">
        <v>122</v>
      </c>
      <c r="EJ219" s="76">
        <v>1025</v>
      </c>
      <c r="EK219" s="76">
        <v>359</v>
      </c>
      <c r="EL219" s="76">
        <v>453</v>
      </c>
      <c r="EM219" s="76">
        <v>213</v>
      </c>
      <c r="EN219" s="76">
        <v>388</v>
      </c>
      <c r="EO219" s="76">
        <v>190</v>
      </c>
      <c r="EP219" s="76">
        <v>268</v>
      </c>
      <c r="EQ219" s="76">
        <v>190</v>
      </c>
      <c r="ER219" s="76">
        <v>74263</v>
      </c>
      <c r="ES219" s="76">
        <v>0</v>
      </c>
      <c r="ET219" s="76">
        <v>74263</v>
      </c>
      <c r="EU219" s="76">
        <v>5672</v>
      </c>
      <c r="EV219" s="76">
        <v>-453</v>
      </c>
      <c r="EW219" s="76">
        <v>0</v>
      </c>
      <c r="EX219" s="76">
        <v>0</v>
      </c>
      <c r="EY219" s="76">
        <v>75</v>
      </c>
      <c r="EZ219" s="76">
        <v>79557</v>
      </c>
      <c r="FA219" s="76">
        <v>18931</v>
      </c>
      <c r="FB219" s="76">
        <v>1582</v>
      </c>
      <c r="FC219" s="76">
        <v>0</v>
      </c>
      <c r="FD219" s="76">
        <v>0</v>
      </c>
      <c r="FE219" s="76">
        <v>-268</v>
      </c>
      <c r="FF219" s="76">
        <v>0</v>
      </c>
      <c r="FG219" s="76">
        <v>0</v>
      </c>
      <c r="FH219" s="76">
        <v>20245</v>
      </c>
      <c r="FI219" s="76">
        <v>59312</v>
      </c>
      <c r="FJ219" s="76">
        <v>55332</v>
      </c>
      <c r="FK219" s="76">
        <v>58</v>
      </c>
      <c r="FL219" s="76">
        <v>31</v>
      </c>
      <c r="FM219" s="76">
        <v>27</v>
      </c>
      <c r="FN219" s="76">
        <v>0</v>
      </c>
      <c r="FO219" s="76">
        <v>0</v>
      </c>
      <c r="FP219" s="76">
        <v>0</v>
      </c>
      <c r="FQ219" s="76">
        <v>0</v>
      </c>
      <c r="FR219" s="76">
        <v>0</v>
      </c>
      <c r="FS219" s="76">
        <v>0</v>
      </c>
      <c r="FT219" s="76">
        <v>0</v>
      </c>
      <c r="FU219" s="76">
        <v>0</v>
      </c>
      <c r="FV219" s="76">
        <v>0</v>
      </c>
      <c r="FW219" s="76">
        <v>0</v>
      </c>
      <c r="FX219" s="76">
        <v>0</v>
      </c>
      <c r="FY219" s="76">
        <v>0</v>
      </c>
      <c r="FZ219" s="76">
        <v>0</v>
      </c>
      <c r="GA219" s="76">
        <v>0</v>
      </c>
      <c r="GB219" s="76">
        <v>0</v>
      </c>
      <c r="GC219" s="76">
        <v>58</v>
      </c>
      <c r="GD219" s="76">
        <v>31</v>
      </c>
      <c r="GE219" s="76">
        <v>27</v>
      </c>
      <c r="GF219" s="76">
        <v>0</v>
      </c>
      <c r="GG219" s="76">
        <v>31</v>
      </c>
      <c r="GH219" s="76">
        <v>0</v>
      </c>
      <c r="GI219" s="76">
        <v>0</v>
      </c>
      <c r="GJ219" s="76">
        <v>0</v>
      </c>
      <c r="GK219" s="76">
        <v>154</v>
      </c>
      <c r="GL219" s="76">
        <v>185</v>
      </c>
      <c r="GM219" s="76">
        <v>234</v>
      </c>
      <c r="GN219" s="76">
        <v>80</v>
      </c>
      <c r="GO219" s="76">
        <v>0</v>
      </c>
      <c r="GP219" s="76">
        <v>0</v>
      </c>
      <c r="GQ219" s="76">
        <v>0</v>
      </c>
      <c r="GR219" s="76">
        <v>1113</v>
      </c>
      <c r="GS219" s="76">
        <v>0</v>
      </c>
      <c r="GT219" s="76">
        <v>0</v>
      </c>
      <c r="GU219" s="76">
        <v>111</v>
      </c>
      <c r="GV219" s="76">
        <v>0</v>
      </c>
      <c r="GW219" s="76">
        <v>204</v>
      </c>
      <c r="GX219" s="76">
        <v>1742</v>
      </c>
      <c r="GY219" s="76">
        <v>0</v>
      </c>
      <c r="GZ219" s="76">
        <v>294</v>
      </c>
      <c r="HA219" s="76">
        <v>0</v>
      </c>
      <c r="HB219" s="76">
        <v>0</v>
      </c>
      <c r="HC219" s="76">
        <v>294</v>
      </c>
      <c r="HD219" s="76">
        <v>0</v>
      </c>
      <c r="HE219" s="76">
        <v>0</v>
      </c>
      <c r="HF219" s="76">
        <v>0</v>
      </c>
      <c r="HG219" s="76">
        <v>418</v>
      </c>
      <c r="HH219" s="76">
        <v>0</v>
      </c>
      <c r="HI219" s="76">
        <v>44</v>
      </c>
      <c r="HJ219" s="76">
        <v>0</v>
      </c>
      <c r="HK219" s="76">
        <v>0</v>
      </c>
      <c r="HL219" s="76">
        <v>0</v>
      </c>
      <c r="HM219" s="76">
        <v>462</v>
      </c>
      <c r="HN219" s="76">
        <v>353</v>
      </c>
      <c r="HO219" s="76">
        <v>1707</v>
      </c>
      <c r="HP219" s="76">
        <v>0</v>
      </c>
      <c r="HQ219" s="76">
        <v>28</v>
      </c>
      <c r="HR219" s="76">
        <v>-3</v>
      </c>
      <c r="HS219" s="76">
        <v>0</v>
      </c>
      <c r="HT219" s="76">
        <v>1242</v>
      </c>
      <c r="HU219" s="76">
        <v>0</v>
      </c>
      <c r="HV219" s="76">
        <v>0</v>
      </c>
      <c r="HW219" s="76">
        <v>0</v>
      </c>
      <c r="HX219" s="76">
        <v>0</v>
      </c>
    </row>
    <row r="220" spans="1:232" x14ac:dyDescent="0.2">
      <c r="A220" s="74" t="s">
        <v>801</v>
      </c>
      <c r="B220" s="74" t="s">
        <v>802</v>
      </c>
      <c r="C220" s="75" t="s">
        <v>200</v>
      </c>
      <c r="D220" s="75">
        <v>12</v>
      </c>
      <c r="E220" s="76">
        <v>45086</v>
      </c>
      <c r="F220" s="76">
        <v>-608</v>
      </c>
      <c r="G220" s="76">
        <v>-33926</v>
      </c>
      <c r="H220" s="76">
        <v>10552</v>
      </c>
      <c r="I220" s="76">
        <v>-59</v>
      </c>
      <c r="J220" s="76">
        <v>0</v>
      </c>
      <c r="K220" s="76">
        <v>0</v>
      </c>
      <c r="L220" s="76">
        <v>0</v>
      </c>
      <c r="M220" s="76">
        <v>138</v>
      </c>
      <c r="N220" s="76">
        <v>-4838</v>
      </c>
      <c r="O220" s="76">
        <v>0</v>
      </c>
      <c r="P220" s="76">
        <v>1350</v>
      </c>
      <c r="Q220" s="76">
        <v>0</v>
      </c>
      <c r="R220" s="76">
        <v>0</v>
      </c>
      <c r="S220" s="76">
        <v>7143</v>
      </c>
      <c r="T220" s="76">
        <v>0</v>
      </c>
      <c r="U220" s="76">
        <v>7143</v>
      </c>
      <c r="V220" s="76">
        <v>0</v>
      </c>
      <c r="W220" s="76">
        <v>-2825</v>
      </c>
      <c r="X220" s="76">
        <v>0</v>
      </c>
      <c r="Y220" s="76">
        <v>0</v>
      </c>
      <c r="Z220" s="76">
        <v>4318</v>
      </c>
      <c r="AA220" s="76">
        <v>39817</v>
      </c>
      <c r="AB220" s="76">
        <v>1665</v>
      </c>
      <c r="AC220" s="76">
        <v>41482</v>
      </c>
      <c r="AD220" s="76">
        <v>112</v>
      </c>
      <c r="AE220" s="76">
        <v>0</v>
      </c>
      <c r="AF220" s="76">
        <v>291</v>
      </c>
      <c r="AG220" s="76">
        <v>202</v>
      </c>
      <c r="AH220" s="76">
        <v>42087</v>
      </c>
      <c r="AI220" s="76">
        <v>7971</v>
      </c>
      <c r="AJ220" s="76">
        <v>1653</v>
      </c>
      <c r="AK220" s="76">
        <v>7917</v>
      </c>
      <c r="AL220" s="76">
        <v>1901</v>
      </c>
      <c r="AM220" s="76">
        <v>7364</v>
      </c>
      <c r="AN220" s="76">
        <v>158</v>
      </c>
      <c r="AO220" s="76">
        <v>5540</v>
      </c>
      <c r="AP220" s="76">
        <v>0</v>
      </c>
      <c r="AQ220" s="76">
        <v>0</v>
      </c>
      <c r="AR220" s="76">
        <v>32504</v>
      </c>
      <c r="AS220" s="76">
        <v>9583</v>
      </c>
      <c r="AT220" s="76">
        <v>328</v>
      </c>
      <c r="AU220" s="76">
        <v>283643</v>
      </c>
      <c r="AV220" s="76">
        <v>0</v>
      </c>
      <c r="AW220" s="76">
        <v>5550</v>
      </c>
      <c r="AX220" s="76">
        <v>213</v>
      </c>
      <c r="AY220" s="76">
        <v>0</v>
      </c>
      <c r="AZ220" s="76">
        <v>6250</v>
      </c>
      <c r="BA220" s="76">
        <v>0</v>
      </c>
      <c r="BB220" s="76">
        <v>0</v>
      </c>
      <c r="BC220" s="76">
        <v>0</v>
      </c>
      <c r="BD220" s="76">
        <v>0</v>
      </c>
      <c r="BE220" s="76">
        <v>295656</v>
      </c>
      <c r="BF220" s="76">
        <v>1285</v>
      </c>
      <c r="BG220" s="76">
        <v>2129</v>
      </c>
      <c r="BH220" s="76">
        <v>1226</v>
      </c>
      <c r="BI220" s="76">
        <v>0</v>
      </c>
      <c r="BJ220" s="76">
        <v>0</v>
      </c>
      <c r="BK220" s="76">
        <v>4640</v>
      </c>
      <c r="BL220" s="76">
        <v>0</v>
      </c>
      <c r="BM220" s="76">
        <v>0</v>
      </c>
      <c r="BN220" s="76">
        <v>118</v>
      </c>
      <c r="BO220" s="76">
        <v>13301</v>
      </c>
      <c r="BP220" s="76">
        <v>13419</v>
      </c>
      <c r="BQ220" s="76">
        <v>-8779</v>
      </c>
      <c r="BR220" s="76">
        <v>286877</v>
      </c>
      <c r="BS220" s="76">
        <v>118644</v>
      </c>
      <c r="BT220" s="76">
        <v>0</v>
      </c>
      <c r="BU220" s="76">
        <v>0</v>
      </c>
      <c r="BV220" s="76">
        <v>13644</v>
      </c>
      <c r="BW220" s="76">
        <v>0</v>
      </c>
      <c r="BX220" s="76">
        <v>0</v>
      </c>
      <c r="BY220" s="76">
        <v>332</v>
      </c>
      <c r="BZ220" s="76">
        <v>132620</v>
      </c>
      <c r="CA220" s="76">
        <v>13011</v>
      </c>
      <c r="CB220" s="76">
        <v>0</v>
      </c>
      <c r="CC220" s="76">
        <v>141246</v>
      </c>
      <c r="CD220" s="76">
        <v>14562</v>
      </c>
      <c r="CE220" s="76">
        <v>126684</v>
      </c>
      <c r="CF220" s="76">
        <v>0</v>
      </c>
      <c r="CG220" s="76">
        <v>0</v>
      </c>
      <c r="CH220" s="76">
        <v>0</v>
      </c>
      <c r="CI220" s="76">
        <v>141246</v>
      </c>
      <c r="CJ220" s="76">
        <v>1054</v>
      </c>
      <c r="CK220" s="76">
        <v>608</v>
      </c>
      <c r="CL220" s="76">
        <v>0</v>
      </c>
      <c r="CM220" s="76">
        <v>446</v>
      </c>
      <c r="CN220" s="76">
        <v>0</v>
      </c>
      <c r="CO220" s="76">
        <v>0</v>
      </c>
      <c r="CP220" s="76">
        <v>0</v>
      </c>
      <c r="CQ220" s="76">
        <v>0</v>
      </c>
      <c r="CR220" s="76">
        <v>0</v>
      </c>
      <c r="CS220" s="76">
        <v>0</v>
      </c>
      <c r="CT220" s="76">
        <v>0</v>
      </c>
      <c r="CU220" s="76">
        <v>0</v>
      </c>
      <c r="CV220" s="76">
        <v>0</v>
      </c>
      <c r="CW220" s="76">
        <v>0</v>
      </c>
      <c r="CX220" s="76">
        <v>0</v>
      </c>
      <c r="CY220" s="76">
        <v>0</v>
      </c>
      <c r="CZ220" s="76">
        <v>0</v>
      </c>
      <c r="DA220" s="76">
        <v>0</v>
      </c>
      <c r="DB220" s="76">
        <v>0</v>
      </c>
      <c r="DC220" s="76">
        <v>0</v>
      </c>
      <c r="DD220" s="76">
        <v>1054</v>
      </c>
      <c r="DE220" s="76">
        <v>608</v>
      </c>
      <c r="DF220" s="76">
        <v>0</v>
      </c>
      <c r="DG220" s="76">
        <v>446</v>
      </c>
      <c r="DH220" s="76">
        <v>0</v>
      </c>
      <c r="DI220" s="76">
        <v>0</v>
      </c>
      <c r="DJ220" s="76">
        <v>0</v>
      </c>
      <c r="DK220" s="76">
        <v>0</v>
      </c>
      <c r="DL220" s="76">
        <v>0</v>
      </c>
      <c r="DM220" s="76">
        <v>0</v>
      </c>
      <c r="DN220" s="76">
        <v>0</v>
      </c>
      <c r="DO220" s="76">
        <v>0</v>
      </c>
      <c r="DP220" s="76">
        <v>0</v>
      </c>
      <c r="DQ220" s="76">
        <v>0</v>
      </c>
      <c r="DR220" s="76">
        <v>0</v>
      </c>
      <c r="DS220" s="76">
        <v>0</v>
      </c>
      <c r="DT220" s="76">
        <v>0</v>
      </c>
      <c r="DU220" s="76">
        <v>0</v>
      </c>
      <c r="DV220" s="76">
        <v>0</v>
      </c>
      <c r="DW220" s="76">
        <v>0</v>
      </c>
      <c r="DX220" s="76">
        <v>0</v>
      </c>
      <c r="DY220" s="76">
        <v>0</v>
      </c>
      <c r="DZ220" s="76">
        <v>0</v>
      </c>
      <c r="EA220" s="76">
        <v>0</v>
      </c>
      <c r="EB220" s="76">
        <v>1945</v>
      </c>
      <c r="EC220" s="76">
        <v>0</v>
      </c>
      <c r="ED220" s="76">
        <v>1422</v>
      </c>
      <c r="EE220" s="76">
        <v>523</v>
      </c>
      <c r="EF220" s="76">
        <v>1945</v>
      </c>
      <c r="EG220" s="76">
        <v>0</v>
      </c>
      <c r="EH220" s="76">
        <v>1422</v>
      </c>
      <c r="EI220" s="76">
        <v>523</v>
      </c>
      <c r="EJ220" s="76">
        <v>2999</v>
      </c>
      <c r="EK220" s="76">
        <v>608</v>
      </c>
      <c r="EL220" s="76">
        <v>1422</v>
      </c>
      <c r="EM220" s="76">
        <v>969</v>
      </c>
      <c r="EN220" s="76">
        <v>1137</v>
      </c>
      <c r="EO220" s="76">
        <v>411</v>
      </c>
      <c r="EP220" s="76">
        <v>116</v>
      </c>
      <c r="EQ220" s="76">
        <v>411</v>
      </c>
      <c r="ER220" s="76">
        <v>287190</v>
      </c>
      <c r="ES220" s="76">
        <v>0</v>
      </c>
      <c r="ET220" s="76">
        <v>287190</v>
      </c>
      <c r="EU220" s="76">
        <v>17952</v>
      </c>
      <c r="EV220" s="76">
        <v>-1414</v>
      </c>
      <c r="EW220" s="76">
        <v>0</v>
      </c>
      <c r="EX220" s="76">
        <v>0</v>
      </c>
      <c r="EY220" s="76">
        <v>0</v>
      </c>
      <c r="EZ220" s="76">
        <v>303728</v>
      </c>
      <c r="FA220" s="76">
        <v>15076</v>
      </c>
      <c r="FB220" s="76">
        <v>5540</v>
      </c>
      <c r="FC220" s="76">
        <v>0</v>
      </c>
      <c r="FD220" s="76">
        <v>0</v>
      </c>
      <c r="FE220" s="76">
        <v>-531</v>
      </c>
      <c r="FF220" s="76">
        <v>0</v>
      </c>
      <c r="FG220" s="76">
        <v>0</v>
      </c>
      <c r="FH220" s="76">
        <v>20085</v>
      </c>
      <c r="FI220" s="76">
        <v>283643</v>
      </c>
      <c r="FJ220" s="76">
        <v>272114</v>
      </c>
      <c r="FK220" s="76">
        <v>12</v>
      </c>
      <c r="FL220" s="76">
        <v>21</v>
      </c>
      <c r="FM220" s="76">
        <v>-9</v>
      </c>
      <c r="FN220" s="76">
        <v>1170</v>
      </c>
      <c r="FO220" s="76">
        <v>1071</v>
      </c>
      <c r="FP220" s="76">
        <v>99</v>
      </c>
      <c r="FQ220" s="76">
        <v>8</v>
      </c>
      <c r="FR220" s="76">
        <v>0</v>
      </c>
      <c r="FS220" s="76">
        <v>8</v>
      </c>
      <c r="FT220" s="76">
        <v>0</v>
      </c>
      <c r="FU220" s="76">
        <v>157</v>
      </c>
      <c r="FV220" s="76">
        <v>-157</v>
      </c>
      <c r="FW220" s="76">
        <v>0</v>
      </c>
      <c r="FX220" s="76">
        <v>0</v>
      </c>
      <c r="FY220" s="76">
        <v>0</v>
      </c>
      <c r="FZ220" s="76">
        <v>0</v>
      </c>
      <c r="GA220" s="76">
        <v>0</v>
      </c>
      <c r="GB220" s="76">
        <v>0</v>
      </c>
      <c r="GC220" s="76">
        <v>1190</v>
      </c>
      <c r="GD220" s="76">
        <v>1249</v>
      </c>
      <c r="GE220" s="76">
        <v>-59</v>
      </c>
      <c r="GF220" s="76">
        <v>0</v>
      </c>
      <c r="GG220" s="76">
        <v>0</v>
      </c>
      <c r="GH220" s="76">
        <v>0</v>
      </c>
      <c r="GI220" s="76">
        <v>0</v>
      </c>
      <c r="GJ220" s="76">
        <v>0</v>
      </c>
      <c r="GK220" s="76">
        <v>0</v>
      </c>
      <c r="GL220" s="76">
        <v>0</v>
      </c>
      <c r="GM220" s="76">
        <v>1975</v>
      </c>
      <c r="GN220" s="76">
        <v>840</v>
      </c>
      <c r="GO220" s="76">
        <v>0</v>
      </c>
      <c r="GP220" s="76">
        <v>0</v>
      </c>
      <c r="GQ220" s="76">
        <v>0</v>
      </c>
      <c r="GR220" s="76">
        <v>6951</v>
      </c>
      <c r="GS220" s="76">
        <v>0</v>
      </c>
      <c r="GT220" s="76">
        <v>0</v>
      </c>
      <c r="GU220" s="76">
        <v>0</v>
      </c>
      <c r="GV220" s="76">
        <v>0</v>
      </c>
      <c r="GW220" s="76">
        <v>3535</v>
      </c>
      <c r="GX220" s="76">
        <v>13301</v>
      </c>
      <c r="GY220" s="76">
        <v>0</v>
      </c>
      <c r="GZ220" s="76">
        <v>165</v>
      </c>
      <c r="HA220" s="76">
        <v>0</v>
      </c>
      <c r="HB220" s="76">
        <v>167</v>
      </c>
      <c r="HC220" s="76">
        <v>332</v>
      </c>
      <c r="HD220" s="76">
        <v>0</v>
      </c>
      <c r="HE220" s="76">
        <v>0</v>
      </c>
      <c r="HF220" s="76">
        <v>0</v>
      </c>
      <c r="HG220" s="76">
        <v>4946</v>
      </c>
      <c r="HH220" s="76">
        <v>165</v>
      </c>
      <c r="HI220" s="76">
        <v>359</v>
      </c>
      <c r="HJ220" s="76">
        <v>0</v>
      </c>
      <c r="HK220" s="76">
        <v>0</v>
      </c>
      <c r="HL220" s="76">
        <v>-632</v>
      </c>
      <c r="HM220" s="76">
        <v>4838</v>
      </c>
      <c r="HN220" s="76">
        <v>2701</v>
      </c>
      <c r="HO220" s="76">
        <v>6309</v>
      </c>
      <c r="HP220" s="76">
        <v>0</v>
      </c>
      <c r="HQ220" s="76">
        <v>69</v>
      </c>
      <c r="HR220" s="76">
        <v>-31</v>
      </c>
      <c r="HS220" s="76">
        <v>1</v>
      </c>
      <c r="HT220" s="76">
        <v>7481</v>
      </c>
      <c r="HU220" s="76">
        <v>5</v>
      </c>
      <c r="HV220" s="76">
        <v>0</v>
      </c>
      <c r="HW220" s="76">
        <v>0</v>
      </c>
      <c r="HX220" s="76">
        <v>642</v>
      </c>
    </row>
    <row r="221" spans="1:232" x14ac:dyDescent="0.2">
      <c r="A221" s="74" t="s">
        <v>803</v>
      </c>
      <c r="B221" s="74" t="s">
        <v>804</v>
      </c>
      <c r="C221" s="75" t="s">
        <v>200</v>
      </c>
      <c r="D221" s="75">
        <v>12</v>
      </c>
      <c r="E221" s="76">
        <v>24588</v>
      </c>
      <c r="F221" s="76">
        <v>-620</v>
      </c>
      <c r="G221" s="76">
        <v>-13863</v>
      </c>
      <c r="H221" s="76">
        <v>10105</v>
      </c>
      <c r="I221" s="76">
        <v>5284</v>
      </c>
      <c r="J221" s="76">
        <v>0</v>
      </c>
      <c r="K221" s="76">
        <v>0</v>
      </c>
      <c r="L221" s="76">
        <v>0</v>
      </c>
      <c r="M221" s="76">
        <v>23</v>
      </c>
      <c r="N221" s="76">
        <v>-2813</v>
      </c>
      <c r="O221" s="76">
        <v>0</v>
      </c>
      <c r="P221" s="76">
        <v>-5524</v>
      </c>
      <c r="Q221" s="76">
        <v>0</v>
      </c>
      <c r="R221" s="76">
        <v>0</v>
      </c>
      <c r="S221" s="76">
        <v>7075</v>
      </c>
      <c r="T221" s="76">
        <v>0</v>
      </c>
      <c r="U221" s="76">
        <v>7075</v>
      </c>
      <c r="V221" s="76">
        <v>0</v>
      </c>
      <c r="W221" s="76">
        <v>-1212</v>
      </c>
      <c r="X221" s="76">
        <v>0</v>
      </c>
      <c r="Y221" s="76">
        <v>0</v>
      </c>
      <c r="Z221" s="76">
        <v>5863</v>
      </c>
      <c r="AA221" s="76">
        <v>22709</v>
      </c>
      <c r="AB221" s="76">
        <v>784</v>
      </c>
      <c r="AC221" s="76">
        <v>23493</v>
      </c>
      <c r="AD221" s="76">
        <v>181</v>
      </c>
      <c r="AE221" s="76">
        <v>0</v>
      </c>
      <c r="AF221" s="76">
        <v>0</v>
      </c>
      <c r="AG221" s="76">
        <v>0</v>
      </c>
      <c r="AH221" s="76">
        <v>23674</v>
      </c>
      <c r="AI221" s="76">
        <v>2994</v>
      </c>
      <c r="AJ221" s="76">
        <v>1068</v>
      </c>
      <c r="AK221" s="76">
        <v>3466</v>
      </c>
      <c r="AL221" s="76">
        <v>721</v>
      </c>
      <c r="AM221" s="76">
        <v>2040</v>
      </c>
      <c r="AN221" s="76">
        <v>108</v>
      </c>
      <c r="AO221" s="76">
        <v>2975</v>
      </c>
      <c r="AP221" s="76">
        <v>0</v>
      </c>
      <c r="AQ221" s="76">
        <v>0</v>
      </c>
      <c r="AR221" s="76">
        <v>13372</v>
      </c>
      <c r="AS221" s="76">
        <v>10302</v>
      </c>
      <c r="AT221" s="76">
        <v>324</v>
      </c>
      <c r="AU221" s="76">
        <v>146549</v>
      </c>
      <c r="AV221" s="76">
        <v>0</v>
      </c>
      <c r="AW221" s="76">
        <v>599</v>
      </c>
      <c r="AX221" s="76">
        <v>710</v>
      </c>
      <c r="AY221" s="76">
        <v>0</v>
      </c>
      <c r="AZ221" s="76">
        <v>0</v>
      </c>
      <c r="BA221" s="76">
        <v>0</v>
      </c>
      <c r="BB221" s="76">
        <v>0</v>
      </c>
      <c r="BC221" s="76">
        <v>0</v>
      </c>
      <c r="BD221" s="76">
        <v>0</v>
      </c>
      <c r="BE221" s="76">
        <v>147858</v>
      </c>
      <c r="BF221" s="76">
        <v>1130</v>
      </c>
      <c r="BG221" s="76">
        <v>1060</v>
      </c>
      <c r="BH221" s="76">
        <v>11269</v>
      </c>
      <c r="BI221" s="76">
        <v>0</v>
      </c>
      <c r="BJ221" s="76">
        <v>0</v>
      </c>
      <c r="BK221" s="76">
        <v>13459</v>
      </c>
      <c r="BL221" s="76">
        <v>5000</v>
      </c>
      <c r="BM221" s="76">
        <v>0</v>
      </c>
      <c r="BN221" s="76">
        <v>181</v>
      </c>
      <c r="BO221" s="76">
        <v>5622</v>
      </c>
      <c r="BP221" s="76">
        <v>10803</v>
      </c>
      <c r="BQ221" s="76">
        <v>2656</v>
      </c>
      <c r="BR221" s="76">
        <v>150514</v>
      </c>
      <c r="BS221" s="76">
        <v>65000</v>
      </c>
      <c r="BT221" s="76">
        <v>0</v>
      </c>
      <c r="BU221" s="76">
        <v>0</v>
      </c>
      <c r="BV221" s="76">
        <v>17861</v>
      </c>
      <c r="BW221" s="76">
        <v>0</v>
      </c>
      <c r="BX221" s="76">
        <v>4700</v>
      </c>
      <c r="BY221" s="76">
        <v>125</v>
      </c>
      <c r="BZ221" s="76">
        <v>87686</v>
      </c>
      <c r="CA221" s="76">
        <v>1836</v>
      </c>
      <c r="CB221" s="76">
        <v>0</v>
      </c>
      <c r="CC221" s="76">
        <v>60992</v>
      </c>
      <c r="CD221" s="76">
        <v>60992</v>
      </c>
      <c r="CE221" s="76">
        <v>0</v>
      </c>
      <c r="CF221" s="76">
        <v>0</v>
      </c>
      <c r="CG221" s="76">
        <v>0</v>
      </c>
      <c r="CH221" s="76">
        <v>0</v>
      </c>
      <c r="CI221" s="76">
        <v>60992</v>
      </c>
      <c r="CJ221" s="76">
        <v>609</v>
      </c>
      <c r="CK221" s="76">
        <v>620</v>
      </c>
      <c r="CL221" s="76">
        <v>0</v>
      </c>
      <c r="CM221" s="76">
        <v>-11</v>
      </c>
      <c r="CN221" s="76">
        <v>0</v>
      </c>
      <c r="CO221" s="76">
        <v>0</v>
      </c>
      <c r="CP221" s="76">
        <v>0</v>
      </c>
      <c r="CQ221" s="76">
        <v>0</v>
      </c>
      <c r="CR221" s="76">
        <v>0</v>
      </c>
      <c r="CS221" s="76">
        <v>0</v>
      </c>
      <c r="CT221" s="76">
        <v>0</v>
      </c>
      <c r="CU221" s="76">
        <v>0</v>
      </c>
      <c r="CV221" s="76">
        <v>0</v>
      </c>
      <c r="CW221" s="76">
        <v>0</v>
      </c>
      <c r="CX221" s="76">
        <v>0</v>
      </c>
      <c r="CY221" s="76">
        <v>0</v>
      </c>
      <c r="CZ221" s="76">
        <v>291</v>
      </c>
      <c r="DA221" s="76">
        <v>0</v>
      </c>
      <c r="DB221" s="76">
        <v>384</v>
      </c>
      <c r="DC221" s="76">
        <v>-93</v>
      </c>
      <c r="DD221" s="76">
        <v>900</v>
      </c>
      <c r="DE221" s="76">
        <v>620</v>
      </c>
      <c r="DF221" s="76">
        <v>384</v>
      </c>
      <c r="DG221" s="76">
        <v>-104</v>
      </c>
      <c r="DH221" s="76">
        <v>0</v>
      </c>
      <c r="DI221" s="76">
        <v>0</v>
      </c>
      <c r="DJ221" s="76">
        <v>0</v>
      </c>
      <c r="DK221" s="76">
        <v>0</v>
      </c>
      <c r="DL221" s="76">
        <v>0</v>
      </c>
      <c r="DM221" s="76">
        <v>0</v>
      </c>
      <c r="DN221" s="76">
        <v>0</v>
      </c>
      <c r="DO221" s="76">
        <v>0</v>
      </c>
      <c r="DP221" s="76">
        <v>0</v>
      </c>
      <c r="DQ221" s="76">
        <v>0</v>
      </c>
      <c r="DR221" s="76">
        <v>0</v>
      </c>
      <c r="DS221" s="76">
        <v>0</v>
      </c>
      <c r="DT221" s="76">
        <v>0</v>
      </c>
      <c r="DU221" s="76">
        <v>0</v>
      </c>
      <c r="DV221" s="76">
        <v>0</v>
      </c>
      <c r="DW221" s="76">
        <v>0</v>
      </c>
      <c r="DX221" s="76">
        <v>0</v>
      </c>
      <c r="DY221" s="76">
        <v>0</v>
      </c>
      <c r="DZ221" s="76">
        <v>0</v>
      </c>
      <c r="EA221" s="76">
        <v>0</v>
      </c>
      <c r="EB221" s="76">
        <v>14</v>
      </c>
      <c r="EC221" s="76">
        <v>0</v>
      </c>
      <c r="ED221" s="76">
        <v>107</v>
      </c>
      <c r="EE221" s="76">
        <v>-93</v>
      </c>
      <c r="EF221" s="76">
        <v>14</v>
      </c>
      <c r="EG221" s="76">
        <v>0</v>
      </c>
      <c r="EH221" s="76">
        <v>107</v>
      </c>
      <c r="EI221" s="76">
        <v>-93</v>
      </c>
      <c r="EJ221" s="76">
        <v>914</v>
      </c>
      <c r="EK221" s="76">
        <v>620</v>
      </c>
      <c r="EL221" s="76">
        <v>491</v>
      </c>
      <c r="EM221" s="76">
        <v>-197</v>
      </c>
      <c r="EN221" s="76">
        <v>818</v>
      </c>
      <c r="EO221" s="76">
        <v>80</v>
      </c>
      <c r="EP221" s="76">
        <v>305</v>
      </c>
      <c r="EQ221" s="76">
        <v>80</v>
      </c>
      <c r="ER221" s="76">
        <v>150859</v>
      </c>
      <c r="ES221" s="76">
        <v>0</v>
      </c>
      <c r="ET221" s="76">
        <v>150859</v>
      </c>
      <c r="EU221" s="76">
        <v>14823</v>
      </c>
      <c r="EV221" s="76">
        <v>-1232</v>
      </c>
      <c r="EW221" s="76">
        <v>0</v>
      </c>
      <c r="EX221" s="76">
        <v>0</v>
      </c>
      <c r="EY221" s="76">
        <v>-420</v>
      </c>
      <c r="EZ221" s="76">
        <v>164030</v>
      </c>
      <c r="FA221" s="76">
        <v>14596</v>
      </c>
      <c r="FB221" s="76">
        <v>2975</v>
      </c>
      <c r="FC221" s="76">
        <v>0</v>
      </c>
      <c r="FD221" s="76">
        <v>0</v>
      </c>
      <c r="FE221" s="76">
        <v>-48</v>
      </c>
      <c r="FF221" s="76">
        <v>0</v>
      </c>
      <c r="FG221" s="76">
        <v>-42</v>
      </c>
      <c r="FH221" s="76">
        <v>17481</v>
      </c>
      <c r="FI221" s="76">
        <v>146549</v>
      </c>
      <c r="FJ221" s="76">
        <v>136263</v>
      </c>
      <c r="FK221" s="76">
        <v>0</v>
      </c>
      <c r="FL221" s="76">
        <v>0</v>
      </c>
      <c r="FM221" s="76">
        <v>0</v>
      </c>
      <c r="FN221" s="76">
        <v>1802</v>
      </c>
      <c r="FO221" s="76">
        <v>1564</v>
      </c>
      <c r="FP221" s="76">
        <v>238</v>
      </c>
      <c r="FQ221" s="76">
        <v>0</v>
      </c>
      <c r="FR221" s="76">
        <v>0</v>
      </c>
      <c r="FS221" s="76">
        <v>0</v>
      </c>
      <c r="FT221" s="76">
        <v>5909</v>
      </c>
      <c r="FU221" s="76">
        <v>1004</v>
      </c>
      <c r="FV221" s="76">
        <v>4905</v>
      </c>
      <c r="FW221" s="76">
        <v>0</v>
      </c>
      <c r="FX221" s="76">
        <v>0</v>
      </c>
      <c r="FY221" s="76">
        <v>0</v>
      </c>
      <c r="FZ221" s="76">
        <v>172</v>
      </c>
      <c r="GA221" s="76">
        <v>31</v>
      </c>
      <c r="GB221" s="76">
        <v>141</v>
      </c>
      <c r="GC221" s="76">
        <v>7883</v>
      </c>
      <c r="GD221" s="76">
        <v>2599</v>
      </c>
      <c r="GE221" s="76">
        <v>5284</v>
      </c>
      <c r="GF221" s="76">
        <v>0</v>
      </c>
      <c r="GG221" s="76">
        <v>0</v>
      </c>
      <c r="GH221" s="76">
        <v>0</v>
      </c>
      <c r="GI221" s="76">
        <v>0</v>
      </c>
      <c r="GJ221" s="76">
        <v>0</v>
      </c>
      <c r="GK221" s="76">
        <v>0</v>
      </c>
      <c r="GL221" s="76">
        <v>0</v>
      </c>
      <c r="GM221" s="76">
        <v>1687</v>
      </c>
      <c r="GN221" s="76">
        <v>364</v>
      </c>
      <c r="GO221" s="76">
        <v>0</v>
      </c>
      <c r="GP221" s="76">
        <v>0</v>
      </c>
      <c r="GQ221" s="76">
        <v>0</v>
      </c>
      <c r="GR221" s="76">
        <v>2265</v>
      </c>
      <c r="GS221" s="76">
        <v>0</v>
      </c>
      <c r="GT221" s="76">
        <v>0</v>
      </c>
      <c r="GU221" s="76">
        <v>0</v>
      </c>
      <c r="GV221" s="76">
        <v>824</v>
      </c>
      <c r="GW221" s="76">
        <v>482</v>
      </c>
      <c r="GX221" s="76">
        <v>5622</v>
      </c>
      <c r="GY221" s="76">
        <v>0</v>
      </c>
      <c r="GZ221" s="76">
        <v>125</v>
      </c>
      <c r="HA221" s="76">
        <v>0</v>
      </c>
      <c r="HB221" s="76">
        <v>0</v>
      </c>
      <c r="HC221" s="76">
        <v>125</v>
      </c>
      <c r="HD221" s="76">
        <v>0</v>
      </c>
      <c r="HE221" s="76">
        <v>0</v>
      </c>
      <c r="HF221" s="76">
        <v>0</v>
      </c>
      <c r="HG221" s="76">
        <v>2791</v>
      </c>
      <c r="HH221" s="76">
        <v>2</v>
      </c>
      <c r="HI221" s="76">
        <v>20</v>
      </c>
      <c r="HJ221" s="76">
        <v>0</v>
      </c>
      <c r="HK221" s="76">
        <v>0</v>
      </c>
      <c r="HL221" s="76">
        <v>0</v>
      </c>
      <c r="HM221" s="76">
        <v>2813</v>
      </c>
      <c r="HN221" s="76">
        <v>2875</v>
      </c>
      <c r="HO221" s="76">
        <v>3321</v>
      </c>
      <c r="HP221" s="76">
        <v>0</v>
      </c>
      <c r="HQ221" s="76">
        <v>80</v>
      </c>
      <c r="HR221" s="76">
        <v>-63</v>
      </c>
      <c r="HS221" s="76">
        <v>0</v>
      </c>
      <c r="HT221" s="76">
        <v>4986</v>
      </c>
      <c r="HU221" s="76">
        <v>0</v>
      </c>
      <c r="HV221" s="76">
        <v>0</v>
      </c>
      <c r="HW221" s="76">
        <v>0</v>
      </c>
      <c r="HX221" s="76">
        <v>0</v>
      </c>
    </row>
    <row r="222" spans="1:232" x14ac:dyDescent="0.2">
      <c r="A222" s="74" t="s">
        <v>185</v>
      </c>
      <c r="B222" s="74" t="s">
        <v>184</v>
      </c>
      <c r="C222" s="75" t="s">
        <v>200</v>
      </c>
      <c r="D222" s="75">
        <v>12</v>
      </c>
      <c r="E222" s="76">
        <v>158628</v>
      </c>
      <c r="F222" s="76">
        <v>-16957</v>
      </c>
      <c r="G222" s="76">
        <v>-96736</v>
      </c>
      <c r="H222" s="76">
        <v>44935</v>
      </c>
      <c r="I222" s="76">
        <v>6667</v>
      </c>
      <c r="J222" s="76">
        <v>0</v>
      </c>
      <c r="K222" s="76">
        <v>0</v>
      </c>
      <c r="L222" s="76">
        <v>0</v>
      </c>
      <c r="M222" s="76">
        <v>261</v>
      </c>
      <c r="N222" s="76">
        <v>-12589</v>
      </c>
      <c r="O222" s="76">
        <v>0</v>
      </c>
      <c r="P222" s="76">
        <v>320</v>
      </c>
      <c r="Q222" s="76">
        <v>0</v>
      </c>
      <c r="R222" s="76">
        <v>0</v>
      </c>
      <c r="S222" s="76">
        <v>39594</v>
      </c>
      <c r="T222" s="76">
        <v>-245</v>
      </c>
      <c r="U222" s="76">
        <v>39349</v>
      </c>
      <c r="V222" s="76">
        <v>0</v>
      </c>
      <c r="W222" s="76">
        <v>-21</v>
      </c>
      <c r="X222" s="76">
        <v>-10632</v>
      </c>
      <c r="Y222" s="76">
        <v>0</v>
      </c>
      <c r="Z222" s="76">
        <v>28696</v>
      </c>
      <c r="AA222" s="76">
        <v>89665</v>
      </c>
      <c r="AB222" s="76">
        <v>9499</v>
      </c>
      <c r="AC222" s="76">
        <v>99164</v>
      </c>
      <c r="AD222" s="76">
        <v>4632</v>
      </c>
      <c r="AE222" s="76">
        <v>0</v>
      </c>
      <c r="AF222" s="76">
        <v>2</v>
      </c>
      <c r="AG222" s="76">
        <v>2507</v>
      </c>
      <c r="AH222" s="76">
        <v>106305</v>
      </c>
      <c r="AI222" s="76">
        <v>37139</v>
      </c>
      <c r="AJ222" s="76">
        <v>9691</v>
      </c>
      <c r="AK222" s="76">
        <v>12834</v>
      </c>
      <c r="AL222" s="76">
        <v>0</v>
      </c>
      <c r="AM222" s="76">
        <v>5389</v>
      </c>
      <c r="AN222" s="76">
        <v>335</v>
      </c>
      <c r="AO222" s="76">
        <v>14932</v>
      </c>
      <c r="AP222" s="76">
        <v>-403</v>
      </c>
      <c r="AQ222" s="76">
        <v>297</v>
      </c>
      <c r="AR222" s="76">
        <v>80214</v>
      </c>
      <c r="AS222" s="76">
        <v>26091</v>
      </c>
      <c r="AT222" s="76">
        <v>1344</v>
      </c>
      <c r="AU222" s="76">
        <v>1080529</v>
      </c>
      <c r="AV222" s="76">
        <v>0</v>
      </c>
      <c r="AW222" s="76">
        <v>10625</v>
      </c>
      <c r="AX222" s="76">
        <v>0</v>
      </c>
      <c r="AY222" s="76">
        <v>0</v>
      </c>
      <c r="AZ222" s="76">
        <v>79491</v>
      </c>
      <c r="BA222" s="76">
        <v>0</v>
      </c>
      <c r="BB222" s="76">
        <v>0</v>
      </c>
      <c r="BC222" s="76">
        <v>0</v>
      </c>
      <c r="BD222" s="76">
        <v>2</v>
      </c>
      <c r="BE222" s="76">
        <v>1170647</v>
      </c>
      <c r="BF222" s="76">
        <v>15890</v>
      </c>
      <c r="BG222" s="76">
        <v>11746</v>
      </c>
      <c r="BH222" s="76">
        <v>11102</v>
      </c>
      <c r="BI222" s="76">
        <v>40990</v>
      </c>
      <c r="BJ222" s="76">
        <v>44</v>
      </c>
      <c r="BK222" s="76">
        <v>79772</v>
      </c>
      <c r="BL222" s="76">
        <v>8727</v>
      </c>
      <c r="BM222" s="76">
        <v>157</v>
      </c>
      <c r="BN222" s="76">
        <v>4764</v>
      </c>
      <c r="BO222" s="76">
        <v>33857</v>
      </c>
      <c r="BP222" s="76">
        <v>47505</v>
      </c>
      <c r="BQ222" s="76">
        <v>32267</v>
      </c>
      <c r="BR222" s="76">
        <v>1202914</v>
      </c>
      <c r="BS222" s="76">
        <v>390542</v>
      </c>
      <c r="BT222" s="76">
        <v>0</v>
      </c>
      <c r="BU222" s="76">
        <v>0</v>
      </c>
      <c r="BV222" s="76">
        <v>387545</v>
      </c>
      <c r="BW222" s="76">
        <v>0</v>
      </c>
      <c r="BX222" s="76">
        <v>64425</v>
      </c>
      <c r="BY222" s="76">
        <v>13930</v>
      </c>
      <c r="BZ222" s="76">
        <v>856442</v>
      </c>
      <c r="CA222" s="76">
        <v>10144</v>
      </c>
      <c r="CB222" s="76">
        <v>574</v>
      </c>
      <c r="CC222" s="76">
        <v>335754</v>
      </c>
      <c r="CD222" s="76">
        <v>390673</v>
      </c>
      <c r="CE222" s="76">
        <v>0</v>
      </c>
      <c r="CF222" s="76">
        <v>612</v>
      </c>
      <c r="CG222" s="76">
        <v>-55531</v>
      </c>
      <c r="CH222" s="76">
        <v>0</v>
      </c>
      <c r="CI222" s="76">
        <v>335754</v>
      </c>
      <c r="CJ222" s="76">
        <v>27121</v>
      </c>
      <c r="CK222" s="76">
        <v>10348</v>
      </c>
      <c r="CL222" s="76">
        <v>423</v>
      </c>
      <c r="CM222" s="76">
        <v>16350</v>
      </c>
      <c r="CN222" s="76">
        <v>47</v>
      </c>
      <c r="CO222" s="76">
        <v>0</v>
      </c>
      <c r="CP222" s="76">
        <v>607</v>
      </c>
      <c r="CQ222" s="76">
        <v>-560</v>
      </c>
      <c r="CR222" s="76">
        <v>140</v>
      </c>
      <c r="CS222" s="76">
        <v>0</v>
      </c>
      <c r="CT222" s="76">
        <v>2573</v>
      </c>
      <c r="CU222" s="76">
        <v>-2433</v>
      </c>
      <c r="CV222" s="76">
        <v>0</v>
      </c>
      <c r="CW222" s="76">
        <v>0</v>
      </c>
      <c r="CX222" s="76">
        <v>0</v>
      </c>
      <c r="CY222" s="76">
        <v>0</v>
      </c>
      <c r="CZ222" s="76">
        <v>968</v>
      </c>
      <c r="DA222" s="76">
        <v>0</v>
      </c>
      <c r="DB222" s="76">
        <v>0</v>
      </c>
      <c r="DC222" s="76">
        <v>968</v>
      </c>
      <c r="DD222" s="76">
        <v>28276</v>
      </c>
      <c r="DE222" s="76">
        <v>10348</v>
      </c>
      <c r="DF222" s="76">
        <v>3603</v>
      </c>
      <c r="DG222" s="76">
        <v>14325</v>
      </c>
      <c r="DH222" s="76">
        <v>9769</v>
      </c>
      <c r="DI222" s="76">
        <v>6609</v>
      </c>
      <c r="DJ222" s="76">
        <v>13</v>
      </c>
      <c r="DK222" s="76">
        <v>3147</v>
      </c>
      <c r="DL222" s="76">
        <v>14008</v>
      </c>
      <c r="DM222" s="76">
        <v>0</v>
      </c>
      <c r="DN222" s="76">
        <v>12827</v>
      </c>
      <c r="DO222" s="76">
        <v>1181</v>
      </c>
      <c r="DP222" s="76">
        <v>0</v>
      </c>
      <c r="DQ222" s="76">
        <v>0</v>
      </c>
      <c r="DR222" s="76">
        <v>0</v>
      </c>
      <c r="DS222" s="76">
        <v>0</v>
      </c>
      <c r="DT222" s="76">
        <v>270</v>
      </c>
      <c r="DU222" s="76">
        <v>0</v>
      </c>
      <c r="DV222" s="76">
        <v>79</v>
      </c>
      <c r="DW222" s="76">
        <v>191</v>
      </c>
      <c r="DX222" s="76">
        <v>0</v>
      </c>
      <c r="DY222" s="76">
        <v>0</v>
      </c>
      <c r="DZ222" s="76">
        <v>0</v>
      </c>
      <c r="EA222" s="76">
        <v>0</v>
      </c>
      <c r="EB222" s="76">
        <v>0</v>
      </c>
      <c r="EC222" s="76">
        <v>0</v>
      </c>
      <c r="ED222" s="76">
        <v>0</v>
      </c>
      <c r="EE222" s="76">
        <v>0</v>
      </c>
      <c r="EF222" s="76">
        <v>24047</v>
      </c>
      <c r="EG222" s="76">
        <v>6609</v>
      </c>
      <c r="EH222" s="76">
        <v>12919</v>
      </c>
      <c r="EI222" s="76">
        <v>4519</v>
      </c>
      <c r="EJ222" s="76">
        <v>52323</v>
      </c>
      <c r="EK222" s="76">
        <v>16957</v>
      </c>
      <c r="EL222" s="76">
        <v>16522</v>
      </c>
      <c r="EM222" s="76">
        <v>18844</v>
      </c>
      <c r="EN222" s="76">
        <v>3054</v>
      </c>
      <c r="EO222" s="76">
        <v>1034</v>
      </c>
      <c r="EP222" s="76">
        <v>94</v>
      </c>
      <c r="EQ222" s="76">
        <v>1027</v>
      </c>
      <c r="ER222" s="76">
        <v>1148221</v>
      </c>
      <c r="ES222" s="76">
        <v>0</v>
      </c>
      <c r="ET222" s="76">
        <v>1148221</v>
      </c>
      <c r="EU222" s="76">
        <v>55633</v>
      </c>
      <c r="EV222" s="76">
        <v>-8061</v>
      </c>
      <c r="EW222" s="76">
        <v>0</v>
      </c>
      <c r="EX222" s="76">
        <v>0</v>
      </c>
      <c r="EY222" s="76">
        <v>6637</v>
      </c>
      <c r="EZ222" s="76">
        <v>1202430</v>
      </c>
      <c r="FA222" s="76">
        <v>108941</v>
      </c>
      <c r="FB222" s="76">
        <v>13857</v>
      </c>
      <c r="FC222" s="76">
        <v>480</v>
      </c>
      <c r="FD222" s="76">
        <v>0</v>
      </c>
      <c r="FE222" s="76">
        <v>-1377</v>
      </c>
      <c r="FF222" s="76">
        <v>0</v>
      </c>
      <c r="FG222" s="76">
        <v>0</v>
      </c>
      <c r="FH222" s="76">
        <v>121901</v>
      </c>
      <c r="FI222" s="76">
        <v>1080529</v>
      </c>
      <c r="FJ222" s="76">
        <v>1039280</v>
      </c>
      <c r="FK222" s="76">
        <v>4965</v>
      </c>
      <c r="FL222" s="76">
        <v>2895</v>
      </c>
      <c r="FM222" s="76">
        <v>2070</v>
      </c>
      <c r="FN222" s="76">
        <v>0</v>
      </c>
      <c r="FO222" s="76">
        <v>0</v>
      </c>
      <c r="FP222" s="76">
        <v>0</v>
      </c>
      <c r="FQ222" s="76">
        <v>545</v>
      </c>
      <c r="FR222" s="76">
        <v>533</v>
      </c>
      <c r="FS222" s="76">
        <v>12</v>
      </c>
      <c r="FT222" s="76">
        <v>0</v>
      </c>
      <c r="FU222" s="76">
        <v>0</v>
      </c>
      <c r="FV222" s="76">
        <v>0</v>
      </c>
      <c r="FW222" s="76">
        <v>0</v>
      </c>
      <c r="FX222" s="76">
        <v>0</v>
      </c>
      <c r="FY222" s="76">
        <v>0</v>
      </c>
      <c r="FZ222" s="76">
        <v>7265</v>
      </c>
      <c r="GA222" s="76">
        <v>2680</v>
      </c>
      <c r="GB222" s="76">
        <v>4585</v>
      </c>
      <c r="GC222" s="76">
        <v>12775</v>
      </c>
      <c r="GD222" s="76">
        <v>6108</v>
      </c>
      <c r="GE222" s="76">
        <v>6667</v>
      </c>
      <c r="GF222" s="76">
        <v>0</v>
      </c>
      <c r="GG222" s="76">
        <v>0</v>
      </c>
      <c r="GH222" s="76">
        <v>0</v>
      </c>
      <c r="GI222" s="76">
        <v>0</v>
      </c>
      <c r="GJ222" s="76">
        <v>44</v>
      </c>
      <c r="GK222" s="76">
        <v>0</v>
      </c>
      <c r="GL222" s="76">
        <v>44</v>
      </c>
      <c r="GM222" s="76">
        <v>1192</v>
      </c>
      <c r="GN222" s="76">
        <v>3071</v>
      </c>
      <c r="GO222" s="76">
        <v>0</v>
      </c>
      <c r="GP222" s="76">
        <v>1451</v>
      </c>
      <c r="GQ222" s="76">
        <v>0</v>
      </c>
      <c r="GR222" s="76">
        <v>6776</v>
      </c>
      <c r="GS222" s="76">
        <v>0</v>
      </c>
      <c r="GT222" s="76">
        <v>0</v>
      </c>
      <c r="GU222" s="76">
        <v>241</v>
      </c>
      <c r="GV222" s="76">
        <v>218</v>
      </c>
      <c r="GW222" s="76">
        <v>20908</v>
      </c>
      <c r="GX222" s="76">
        <v>33857</v>
      </c>
      <c r="GY222" s="76">
        <v>13490</v>
      </c>
      <c r="GZ222" s="76">
        <v>440</v>
      </c>
      <c r="HA222" s="76">
        <v>0</v>
      </c>
      <c r="HB222" s="76">
        <v>0</v>
      </c>
      <c r="HC222" s="76">
        <v>13930</v>
      </c>
      <c r="HD222" s="76">
        <v>0</v>
      </c>
      <c r="HE222" s="76">
        <v>574</v>
      </c>
      <c r="HF222" s="76">
        <v>574</v>
      </c>
      <c r="HG222" s="76">
        <v>13297</v>
      </c>
      <c r="HH222" s="76">
        <v>158</v>
      </c>
      <c r="HI222" s="76">
        <v>213</v>
      </c>
      <c r="HJ222" s="76">
        <v>52</v>
      </c>
      <c r="HK222" s="76">
        <v>0</v>
      </c>
      <c r="HL222" s="76">
        <v>-1131</v>
      </c>
      <c r="HM222" s="76">
        <v>12589</v>
      </c>
      <c r="HN222" s="76">
        <v>8958</v>
      </c>
      <c r="HO222" s="76">
        <v>16365</v>
      </c>
      <c r="HP222" s="76">
        <v>20</v>
      </c>
      <c r="HQ222" s="76">
        <v>226</v>
      </c>
      <c r="HR222" s="76">
        <v>-71</v>
      </c>
      <c r="HS222" s="76">
        <v>30</v>
      </c>
      <c r="HT222" s="76">
        <v>13521</v>
      </c>
      <c r="HU222" s="76">
        <v>0</v>
      </c>
      <c r="HV222" s="76">
        <v>0</v>
      </c>
      <c r="HW222" s="76">
        <v>0</v>
      </c>
      <c r="HX222" s="76">
        <v>2467</v>
      </c>
    </row>
    <row r="223" spans="1:232" x14ac:dyDescent="0.2">
      <c r="A223" s="74" t="s">
        <v>807</v>
      </c>
      <c r="B223" s="74" t="s">
        <v>806</v>
      </c>
      <c r="C223" s="75" t="s">
        <v>200</v>
      </c>
      <c r="D223" s="75">
        <v>12</v>
      </c>
      <c r="E223" s="76">
        <v>158354</v>
      </c>
      <c r="F223" s="76">
        <v>-6525</v>
      </c>
      <c r="G223" s="76">
        <v>-101072</v>
      </c>
      <c r="H223" s="76">
        <v>50757</v>
      </c>
      <c r="I223" s="76">
        <v>-728</v>
      </c>
      <c r="J223" s="76">
        <v>137</v>
      </c>
      <c r="K223" s="76">
        <v>0</v>
      </c>
      <c r="L223" s="76">
        <v>357</v>
      </c>
      <c r="M223" s="76">
        <v>248</v>
      </c>
      <c r="N223" s="76">
        <v>-20112</v>
      </c>
      <c r="O223" s="76">
        <v>20</v>
      </c>
      <c r="P223" s="76">
        <v>0</v>
      </c>
      <c r="Q223" s="76">
        <v>0</v>
      </c>
      <c r="R223" s="76">
        <v>0</v>
      </c>
      <c r="S223" s="76">
        <v>30679</v>
      </c>
      <c r="T223" s="76">
        <v>-102</v>
      </c>
      <c r="U223" s="76">
        <v>30577</v>
      </c>
      <c r="V223" s="76">
        <v>-5850</v>
      </c>
      <c r="W223" s="76">
        <v>-12372</v>
      </c>
      <c r="X223" s="76">
        <v>0</v>
      </c>
      <c r="Y223" s="76">
        <v>0</v>
      </c>
      <c r="Z223" s="76">
        <v>12355</v>
      </c>
      <c r="AA223" s="76">
        <v>133572</v>
      </c>
      <c r="AB223" s="76">
        <v>3664</v>
      </c>
      <c r="AC223" s="76">
        <v>137236</v>
      </c>
      <c r="AD223" s="76">
        <v>0</v>
      </c>
      <c r="AE223" s="76">
        <v>4111</v>
      </c>
      <c r="AF223" s="76">
        <v>0</v>
      </c>
      <c r="AG223" s="76">
        <v>0</v>
      </c>
      <c r="AH223" s="76">
        <v>141347</v>
      </c>
      <c r="AI223" s="76">
        <v>31330</v>
      </c>
      <c r="AJ223" s="76">
        <v>5079</v>
      </c>
      <c r="AK223" s="76">
        <v>15204</v>
      </c>
      <c r="AL223" s="76">
        <v>2489</v>
      </c>
      <c r="AM223" s="76">
        <v>13231</v>
      </c>
      <c r="AN223" s="76">
        <v>722</v>
      </c>
      <c r="AO223" s="76">
        <v>17721</v>
      </c>
      <c r="AP223" s="76">
        <v>1679</v>
      </c>
      <c r="AQ223" s="76">
        <v>1501</v>
      </c>
      <c r="AR223" s="76">
        <v>88956</v>
      </c>
      <c r="AS223" s="76">
        <v>52391</v>
      </c>
      <c r="AT223" s="76">
        <v>1972</v>
      </c>
      <c r="AU223" s="76">
        <v>5659</v>
      </c>
      <c r="AV223" s="76">
        <v>656459</v>
      </c>
      <c r="AW223" s="76">
        <v>14461</v>
      </c>
      <c r="AX223" s="76">
        <v>1928</v>
      </c>
      <c r="AY223" s="76">
        <v>202</v>
      </c>
      <c r="AZ223" s="76">
        <v>12705</v>
      </c>
      <c r="BA223" s="76">
        <v>1700</v>
      </c>
      <c r="BB223" s="76">
        <v>0</v>
      </c>
      <c r="BC223" s="76">
        <v>0</v>
      </c>
      <c r="BD223" s="76">
        <v>0</v>
      </c>
      <c r="BE223" s="76">
        <v>693114</v>
      </c>
      <c r="BF223" s="76">
        <v>3291</v>
      </c>
      <c r="BG223" s="76">
        <v>9789</v>
      </c>
      <c r="BH223" s="76">
        <v>59625</v>
      </c>
      <c r="BI223" s="76">
        <v>0</v>
      </c>
      <c r="BJ223" s="76">
        <v>304</v>
      </c>
      <c r="BK223" s="76">
        <v>73009</v>
      </c>
      <c r="BL223" s="76">
        <v>2200</v>
      </c>
      <c r="BM223" s="76">
        <v>0</v>
      </c>
      <c r="BN223" s="76">
        <v>1456</v>
      </c>
      <c r="BO223" s="76">
        <v>13844</v>
      </c>
      <c r="BP223" s="76">
        <v>17500</v>
      </c>
      <c r="BQ223" s="76">
        <v>55509</v>
      </c>
      <c r="BR223" s="76">
        <v>748623</v>
      </c>
      <c r="BS223" s="76">
        <v>410600</v>
      </c>
      <c r="BT223" s="76">
        <v>0</v>
      </c>
      <c r="BU223" s="76">
        <v>0</v>
      </c>
      <c r="BV223" s="76">
        <v>0</v>
      </c>
      <c r="BW223" s="76">
        <v>0</v>
      </c>
      <c r="BX223" s="76">
        <v>0</v>
      </c>
      <c r="BY223" s="76">
        <v>2829</v>
      </c>
      <c r="BZ223" s="76">
        <v>413429</v>
      </c>
      <c r="CA223" s="76">
        <v>41973</v>
      </c>
      <c r="CB223" s="76">
        <v>0</v>
      </c>
      <c r="CC223" s="76">
        <v>293221</v>
      </c>
      <c r="CD223" s="76">
        <v>131270</v>
      </c>
      <c r="CE223" s="76">
        <v>161951</v>
      </c>
      <c r="CF223" s="76">
        <v>0</v>
      </c>
      <c r="CG223" s="76">
        <v>0</v>
      </c>
      <c r="CH223" s="76">
        <v>0</v>
      </c>
      <c r="CI223" s="76">
        <v>293221</v>
      </c>
      <c r="CJ223" s="76">
        <v>6539</v>
      </c>
      <c r="CK223" s="76">
        <v>6525</v>
      </c>
      <c r="CL223" s="76">
        <v>216</v>
      </c>
      <c r="CM223" s="76">
        <v>-202</v>
      </c>
      <c r="CN223" s="76">
        <v>997</v>
      </c>
      <c r="CO223" s="76">
        <v>0</v>
      </c>
      <c r="CP223" s="76">
        <v>1028</v>
      </c>
      <c r="CQ223" s="76">
        <v>-31</v>
      </c>
      <c r="CR223" s="76">
        <v>0</v>
      </c>
      <c r="CS223" s="76">
        <v>0</v>
      </c>
      <c r="CT223" s="76">
        <v>1176</v>
      </c>
      <c r="CU223" s="76">
        <v>-1176</v>
      </c>
      <c r="CV223" s="76">
        <v>0</v>
      </c>
      <c r="CW223" s="76">
        <v>0</v>
      </c>
      <c r="CX223" s="76">
        <v>0</v>
      </c>
      <c r="CY223" s="76">
        <v>0</v>
      </c>
      <c r="CZ223" s="76">
        <v>5445</v>
      </c>
      <c r="DA223" s="76">
        <v>0</v>
      </c>
      <c r="DB223" s="76">
        <v>5258</v>
      </c>
      <c r="DC223" s="76">
        <v>187</v>
      </c>
      <c r="DD223" s="76">
        <v>12981</v>
      </c>
      <c r="DE223" s="76">
        <v>6525</v>
      </c>
      <c r="DF223" s="76">
        <v>7678</v>
      </c>
      <c r="DG223" s="76">
        <v>-1222</v>
      </c>
      <c r="DH223" s="76">
        <v>0</v>
      </c>
      <c r="DI223" s="76">
        <v>0</v>
      </c>
      <c r="DJ223" s="76">
        <v>0</v>
      </c>
      <c r="DK223" s="76">
        <v>0</v>
      </c>
      <c r="DL223" s="76">
        <v>0</v>
      </c>
      <c r="DM223" s="76">
        <v>0</v>
      </c>
      <c r="DN223" s="76">
        <v>0</v>
      </c>
      <c r="DO223" s="76">
        <v>0</v>
      </c>
      <c r="DP223" s="76">
        <v>0</v>
      </c>
      <c r="DQ223" s="76">
        <v>0</v>
      </c>
      <c r="DR223" s="76">
        <v>0</v>
      </c>
      <c r="DS223" s="76">
        <v>0</v>
      </c>
      <c r="DT223" s="76">
        <v>0</v>
      </c>
      <c r="DU223" s="76">
        <v>0</v>
      </c>
      <c r="DV223" s="76">
        <v>0</v>
      </c>
      <c r="DW223" s="76">
        <v>0</v>
      </c>
      <c r="DX223" s="76">
        <v>0</v>
      </c>
      <c r="DY223" s="76">
        <v>0</v>
      </c>
      <c r="DZ223" s="76">
        <v>0</v>
      </c>
      <c r="EA223" s="76">
        <v>0</v>
      </c>
      <c r="EB223" s="76">
        <v>4026</v>
      </c>
      <c r="EC223" s="76">
        <v>0</v>
      </c>
      <c r="ED223" s="76">
        <v>4438</v>
      </c>
      <c r="EE223" s="76">
        <v>-412</v>
      </c>
      <c r="EF223" s="76">
        <v>4026</v>
      </c>
      <c r="EG223" s="76">
        <v>0</v>
      </c>
      <c r="EH223" s="76">
        <v>4438</v>
      </c>
      <c r="EI223" s="76">
        <v>-412</v>
      </c>
      <c r="EJ223" s="76">
        <v>17007</v>
      </c>
      <c r="EK223" s="76">
        <v>6525</v>
      </c>
      <c r="EL223" s="76">
        <v>12116</v>
      </c>
      <c r="EM223" s="76">
        <v>-1634</v>
      </c>
      <c r="EN223" s="76">
        <v>8056</v>
      </c>
      <c r="EO223" s="76">
        <v>3250</v>
      </c>
      <c r="EP223" s="76">
        <v>2256</v>
      </c>
      <c r="EQ223" s="76">
        <v>3250</v>
      </c>
      <c r="ER223" s="76">
        <v>2236</v>
      </c>
      <c r="ES223" s="76">
        <v>657360</v>
      </c>
      <c r="ET223" s="76">
        <v>659596</v>
      </c>
      <c r="EU223" s="76">
        <v>30231</v>
      </c>
      <c r="EV223" s="76">
        <v>-4706</v>
      </c>
      <c r="EW223" s="76">
        <v>0</v>
      </c>
      <c r="EX223" s="76">
        <v>0</v>
      </c>
      <c r="EY223" s="76">
        <v>-23003</v>
      </c>
      <c r="EZ223" s="76">
        <v>662118</v>
      </c>
      <c r="FA223" s="76">
        <v>0</v>
      </c>
      <c r="FB223" s="76">
        <v>17721</v>
      </c>
      <c r="FC223" s="76">
        <v>1679</v>
      </c>
      <c r="FD223" s="76">
        <v>-18627</v>
      </c>
      <c r="FE223" s="76">
        <v>-773</v>
      </c>
      <c r="FF223" s="76">
        <v>0</v>
      </c>
      <c r="FG223" s="76">
        <v>0</v>
      </c>
      <c r="FH223" s="76">
        <v>0</v>
      </c>
      <c r="FI223" s="76">
        <v>662118</v>
      </c>
      <c r="FJ223" s="76">
        <v>659596</v>
      </c>
      <c r="FK223" s="76">
        <v>463</v>
      </c>
      <c r="FL223" s="76">
        <v>461</v>
      </c>
      <c r="FM223" s="76">
        <v>2</v>
      </c>
      <c r="FN223" s="76">
        <v>2509</v>
      </c>
      <c r="FO223" s="76">
        <v>3165</v>
      </c>
      <c r="FP223" s="76">
        <v>-656</v>
      </c>
      <c r="FQ223" s="76">
        <v>1753</v>
      </c>
      <c r="FR223" s="76">
        <v>1865</v>
      </c>
      <c r="FS223" s="76">
        <v>-112</v>
      </c>
      <c r="FT223" s="76">
        <v>0</v>
      </c>
      <c r="FU223" s="76">
        <v>9</v>
      </c>
      <c r="FV223" s="76">
        <v>-9</v>
      </c>
      <c r="FW223" s="76">
        <v>0</v>
      </c>
      <c r="FX223" s="76">
        <v>0</v>
      </c>
      <c r="FY223" s="76">
        <v>0</v>
      </c>
      <c r="FZ223" s="76">
        <v>47</v>
      </c>
      <c r="GA223" s="76">
        <v>0</v>
      </c>
      <c r="GB223" s="76">
        <v>47</v>
      </c>
      <c r="GC223" s="76">
        <v>4772</v>
      </c>
      <c r="GD223" s="76">
        <v>5500</v>
      </c>
      <c r="GE223" s="76">
        <v>-728</v>
      </c>
      <c r="GF223" s="76">
        <v>0</v>
      </c>
      <c r="GG223" s="76">
        <v>0</v>
      </c>
      <c r="GH223" s="76">
        <v>0</v>
      </c>
      <c r="GI223" s="76">
        <v>0</v>
      </c>
      <c r="GJ223" s="76">
        <v>0</v>
      </c>
      <c r="GK223" s="76">
        <v>304</v>
      </c>
      <c r="GL223" s="76">
        <v>304</v>
      </c>
      <c r="GM223" s="76">
        <v>3640</v>
      </c>
      <c r="GN223" s="76">
        <v>1138</v>
      </c>
      <c r="GO223" s="76">
        <v>0</v>
      </c>
      <c r="GP223" s="76">
        <v>27</v>
      </c>
      <c r="GQ223" s="76">
        <v>0</v>
      </c>
      <c r="GR223" s="76">
        <v>5016</v>
      </c>
      <c r="GS223" s="76">
        <v>0</v>
      </c>
      <c r="GT223" s="76">
        <v>0</v>
      </c>
      <c r="GU223" s="76">
        <v>0</v>
      </c>
      <c r="GV223" s="76">
        <v>0</v>
      </c>
      <c r="GW223" s="76">
        <v>4023</v>
      </c>
      <c r="GX223" s="76">
        <v>13844</v>
      </c>
      <c r="GY223" s="76">
        <v>209</v>
      </c>
      <c r="GZ223" s="76">
        <v>2620</v>
      </c>
      <c r="HA223" s="76">
        <v>0</v>
      </c>
      <c r="HB223" s="76">
        <v>0</v>
      </c>
      <c r="HC223" s="76">
        <v>2829</v>
      </c>
      <c r="HD223" s="76">
        <v>0</v>
      </c>
      <c r="HE223" s="76">
        <v>0</v>
      </c>
      <c r="HF223" s="76">
        <v>0</v>
      </c>
      <c r="HG223" s="76">
        <v>19306</v>
      </c>
      <c r="HH223" s="76">
        <v>0</v>
      </c>
      <c r="HI223" s="76">
        <v>806</v>
      </c>
      <c r="HJ223" s="76">
        <v>0</v>
      </c>
      <c r="HK223" s="76">
        <v>0</v>
      </c>
      <c r="HL223" s="76">
        <v>0</v>
      </c>
      <c r="HM223" s="76">
        <v>20112</v>
      </c>
      <c r="HN223" s="76">
        <v>18250</v>
      </c>
      <c r="HO223" s="76">
        <v>19222</v>
      </c>
      <c r="HP223" s="76">
        <v>1679</v>
      </c>
      <c r="HQ223" s="76">
        <v>191</v>
      </c>
      <c r="HR223" s="76">
        <v>-290</v>
      </c>
      <c r="HS223" s="76">
        <v>-1</v>
      </c>
      <c r="HT223" s="76">
        <v>31202</v>
      </c>
      <c r="HU223" s="76">
        <v>0</v>
      </c>
      <c r="HV223" s="76">
        <v>0</v>
      </c>
      <c r="HW223" s="76">
        <v>10</v>
      </c>
      <c r="HX223" s="76">
        <v>421</v>
      </c>
    </row>
    <row r="224" spans="1:232" x14ac:dyDescent="0.2">
      <c r="A224" s="74" t="s">
        <v>808</v>
      </c>
      <c r="B224" s="74" t="s">
        <v>809</v>
      </c>
      <c r="C224" s="75" t="s">
        <v>200</v>
      </c>
      <c r="D224" s="75">
        <v>12</v>
      </c>
      <c r="E224" s="76">
        <v>99056</v>
      </c>
      <c r="F224" s="76">
        <v>-1696</v>
      </c>
      <c r="G224" s="76">
        <v>-63137</v>
      </c>
      <c r="H224" s="76">
        <v>34223</v>
      </c>
      <c r="I224" s="76">
        <v>5800</v>
      </c>
      <c r="J224" s="76">
        <v>0</v>
      </c>
      <c r="K224" s="76">
        <v>0</v>
      </c>
      <c r="L224" s="76">
        <v>0</v>
      </c>
      <c r="M224" s="76">
        <v>706</v>
      </c>
      <c r="N224" s="76">
        <v>-18717</v>
      </c>
      <c r="O224" s="76">
        <v>20</v>
      </c>
      <c r="P224" s="76">
        <v>-30</v>
      </c>
      <c r="Q224" s="76">
        <v>0</v>
      </c>
      <c r="R224" s="76">
        <v>0</v>
      </c>
      <c r="S224" s="76">
        <v>22002</v>
      </c>
      <c r="T224" s="76">
        <v>-10</v>
      </c>
      <c r="U224" s="76">
        <v>21992</v>
      </c>
      <c r="V224" s="76">
        <v>0</v>
      </c>
      <c r="W224" s="76">
        <v>-8682</v>
      </c>
      <c r="X224" s="76">
        <v>0</v>
      </c>
      <c r="Y224" s="76">
        <v>0</v>
      </c>
      <c r="Z224" s="76">
        <v>13310</v>
      </c>
      <c r="AA224" s="76">
        <v>88339</v>
      </c>
      <c r="AB224" s="76">
        <v>4035</v>
      </c>
      <c r="AC224" s="76">
        <v>92374</v>
      </c>
      <c r="AD224" s="76">
        <v>605</v>
      </c>
      <c r="AE224" s="76">
        <v>0</v>
      </c>
      <c r="AF224" s="76">
        <v>0</v>
      </c>
      <c r="AG224" s="76">
        <v>0</v>
      </c>
      <c r="AH224" s="76">
        <v>92979</v>
      </c>
      <c r="AI224" s="76">
        <v>12415</v>
      </c>
      <c r="AJ224" s="76">
        <v>4422</v>
      </c>
      <c r="AK224" s="76">
        <v>9936</v>
      </c>
      <c r="AL224" s="76">
        <v>14826</v>
      </c>
      <c r="AM224" s="76">
        <v>7223</v>
      </c>
      <c r="AN224" s="76">
        <v>598</v>
      </c>
      <c r="AO224" s="76">
        <v>8866</v>
      </c>
      <c r="AP224" s="76">
        <v>0</v>
      </c>
      <c r="AQ224" s="76">
        <v>0</v>
      </c>
      <c r="AR224" s="76">
        <v>58286</v>
      </c>
      <c r="AS224" s="76">
        <v>34693</v>
      </c>
      <c r="AT224" s="76">
        <v>565</v>
      </c>
      <c r="AU224" s="76">
        <v>359108</v>
      </c>
      <c r="AV224" s="76">
        <v>0</v>
      </c>
      <c r="AW224" s="76">
        <v>14896</v>
      </c>
      <c r="AX224" s="76">
        <v>1787</v>
      </c>
      <c r="AY224" s="76">
        <v>137</v>
      </c>
      <c r="AZ224" s="76">
        <v>8154</v>
      </c>
      <c r="BA224" s="76">
        <v>0</v>
      </c>
      <c r="BB224" s="76">
        <v>0</v>
      </c>
      <c r="BC224" s="76">
        <v>0</v>
      </c>
      <c r="BD224" s="76">
        <v>0</v>
      </c>
      <c r="BE224" s="76">
        <v>384082</v>
      </c>
      <c r="BF224" s="76">
        <v>3743</v>
      </c>
      <c r="BG224" s="76">
        <v>6162</v>
      </c>
      <c r="BH224" s="76">
        <v>16467</v>
      </c>
      <c r="BI224" s="76">
        <v>67132</v>
      </c>
      <c r="BJ224" s="76">
        <v>4090</v>
      </c>
      <c r="BK224" s="76">
        <v>97594</v>
      </c>
      <c r="BL224" s="76">
        <v>0</v>
      </c>
      <c r="BM224" s="76">
        <v>0</v>
      </c>
      <c r="BN224" s="76">
        <v>597</v>
      </c>
      <c r="BO224" s="76">
        <v>22293</v>
      </c>
      <c r="BP224" s="76">
        <v>22890</v>
      </c>
      <c r="BQ224" s="76">
        <v>74704</v>
      </c>
      <c r="BR224" s="76">
        <v>458786</v>
      </c>
      <c r="BS224" s="76">
        <v>335779</v>
      </c>
      <c r="BT224" s="76">
        <v>0</v>
      </c>
      <c r="BU224" s="76">
        <v>0</v>
      </c>
      <c r="BV224" s="76">
        <v>44976</v>
      </c>
      <c r="BW224" s="76">
        <v>0</v>
      </c>
      <c r="BX224" s="76">
        <v>14720</v>
      </c>
      <c r="BY224" s="76">
        <v>2399</v>
      </c>
      <c r="BZ224" s="76">
        <v>397874</v>
      </c>
      <c r="CA224" s="76">
        <v>20926</v>
      </c>
      <c r="CB224" s="76">
        <v>647</v>
      </c>
      <c r="CC224" s="76">
        <v>39339</v>
      </c>
      <c r="CD224" s="76">
        <v>39339</v>
      </c>
      <c r="CE224" s="76">
        <v>0</v>
      </c>
      <c r="CF224" s="76">
        <v>0</v>
      </c>
      <c r="CG224" s="76">
        <v>0</v>
      </c>
      <c r="CH224" s="76">
        <v>0</v>
      </c>
      <c r="CI224" s="76">
        <v>39339</v>
      </c>
      <c r="CJ224" s="76">
        <v>2496</v>
      </c>
      <c r="CK224" s="76">
        <v>1696</v>
      </c>
      <c r="CL224" s="76">
        <v>0</v>
      </c>
      <c r="CM224" s="76">
        <v>800</v>
      </c>
      <c r="CN224" s="76">
        <v>0</v>
      </c>
      <c r="CO224" s="76">
        <v>0</v>
      </c>
      <c r="CP224" s="76">
        <v>571</v>
      </c>
      <c r="CQ224" s="76">
        <v>-571</v>
      </c>
      <c r="CR224" s="76">
        <v>0</v>
      </c>
      <c r="CS224" s="76">
        <v>0</v>
      </c>
      <c r="CT224" s="76">
        <v>646</v>
      </c>
      <c r="CU224" s="76">
        <v>-646</v>
      </c>
      <c r="CV224" s="76">
        <v>0</v>
      </c>
      <c r="CW224" s="76">
        <v>0</v>
      </c>
      <c r="CX224" s="76">
        <v>0</v>
      </c>
      <c r="CY224" s="76">
        <v>0</v>
      </c>
      <c r="CZ224" s="76">
        <v>1164</v>
      </c>
      <c r="DA224" s="76">
        <v>0</v>
      </c>
      <c r="DB224" s="76">
        <v>1725</v>
      </c>
      <c r="DC224" s="76">
        <v>-561</v>
      </c>
      <c r="DD224" s="76">
        <v>3660</v>
      </c>
      <c r="DE224" s="76">
        <v>1696</v>
      </c>
      <c r="DF224" s="76">
        <v>2942</v>
      </c>
      <c r="DG224" s="76">
        <v>-978</v>
      </c>
      <c r="DH224" s="76">
        <v>0</v>
      </c>
      <c r="DI224" s="76">
        <v>0</v>
      </c>
      <c r="DJ224" s="76">
        <v>0</v>
      </c>
      <c r="DK224" s="76">
        <v>0</v>
      </c>
      <c r="DL224" s="76">
        <v>0</v>
      </c>
      <c r="DM224" s="76">
        <v>0</v>
      </c>
      <c r="DN224" s="76">
        <v>0</v>
      </c>
      <c r="DO224" s="76">
        <v>0</v>
      </c>
      <c r="DP224" s="76">
        <v>0</v>
      </c>
      <c r="DQ224" s="76">
        <v>0</v>
      </c>
      <c r="DR224" s="76">
        <v>0</v>
      </c>
      <c r="DS224" s="76">
        <v>0</v>
      </c>
      <c r="DT224" s="76">
        <v>472</v>
      </c>
      <c r="DU224" s="76">
        <v>0</v>
      </c>
      <c r="DV224" s="76">
        <v>94</v>
      </c>
      <c r="DW224" s="76">
        <v>378</v>
      </c>
      <c r="DX224" s="76">
        <v>0</v>
      </c>
      <c r="DY224" s="76">
        <v>0</v>
      </c>
      <c r="DZ224" s="76">
        <v>0</v>
      </c>
      <c r="EA224" s="76">
        <v>0</v>
      </c>
      <c r="EB224" s="76">
        <v>1945</v>
      </c>
      <c r="EC224" s="76">
        <v>0</v>
      </c>
      <c r="ED224" s="76">
        <v>1815</v>
      </c>
      <c r="EE224" s="76">
        <v>130</v>
      </c>
      <c r="EF224" s="76">
        <v>2417</v>
      </c>
      <c r="EG224" s="76">
        <v>0</v>
      </c>
      <c r="EH224" s="76">
        <v>1909</v>
      </c>
      <c r="EI224" s="76">
        <v>508</v>
      </c>
      <c r="EJ224" s="76">
        <v>6077</v>
      </c>
      <c r="EK224" s="76">
        <v>1696</v>
      </c>
      <c r="EL224" s="76">
        <v>4851</v>
      </c>
      <c r="EM224" s="76">
        <v>-470</v>
      </c>
      <c r="EN224" s="76">
        <v>1908</v>
      </c>
      <c r="EO224" s="76">
        <v>744</v>
      </c>
      <c r="EP224" s="76">
        <v>980</v>
      </c>
      <c r="EQ224" s="76">
        <v>744</v>
      </c>
      <c r="ER224" s="76">
        <v>387859</v>
      </c>
      <c r="ES224" s="76">
        <v>0</v>
      </c>
      <c r="ET224" s="76">
        <v>387859</v>
      </c>
      <c r="EU224" s="76">
        <v>58412</v>
      </c>
      <c r="EV224" s="76">
        <v>-1958</v>
      </c>
      <c r="EW224" s="76">
        <v>0</v>
      </c>
      <c r="EX224" s="76">
        <v>0</v>
      </c>
      <c r="EY224" s="76">
        <v>0</v>
      </c>
      <c r="EZ224" s="76">
        <v>444313</v>
      </c>
      <c r="FA224" s="76">
        <v>77069</v>
      </c>
      <c r="FB224" s="76">
        <v>8871</v>
      </c>
      <c r="FC224" s="76">
        <v>0</v>
      </c>
      <c r="FD224" s="76">
        <v>0</v>
      </c>
      <c r="FE224" s="76">
        <v>-735</v>
      </c>
      <c r="FF224" s="76">
        <v>0</v>
      </c>
      <c r="FG224" s="76">
        <v>0</v>
      </c>
      <c r="FH224" s="76">
        <v>85205</v>
      </c>
      <c r="FI224" s="76">
        <v>359108</v>
      </c>
      <c r="FJ224" s="76">
        <v>310790</v>
      </c>
      <c r="FK224" s="76">
        <v>0</v>
      </c>
      <c r="FL224" s="76">
        <v>0</v>
      </c>
      <c r="FM224" s="76">
        <v>0</v>
      </c>
      <c r="FN224" s="76">
        <v>3896</v>
      </c>
      <c r="FO224" s="76">
        <v>870</v>
      </c>
      <c r="FP224" s="76">
        <v>3026</v>
      </c>
      <c r="FQ224" s="76">
        <v>82</v>
      </c>
      <c r="FR224" s="76">
        <v>263</v>
      </c>
      <c r="FS224" s="76">
        <v>-181</v>
      </c>
      <c r="FT224" s="76">
        <v>1913</v>
      </c>
      <c r="FU224" s="76">
        <v>226</v>
      </c>
      <c r="FV224" s="76">
        <v>1687</v>
      </c>
      <c r="FW224" s="76">
        <v>0</v>
      </c>
      <c r="FX224" s="76">
        <v>0</v>
      </c>
      <c r="FY224" s="76">
        <v>0</v>
      </c>
      <c r="FZ224" s="76">
        <v>1378</v>
      </c>
      <c r="GA224" s="76">
        <v>110</v>
      </c>
      <c r="GB224" s="76">
        <v>1268</v>
      </c>
      <c r="GC224" s="76">
        <v>7269</v>
      </c>
      <c r="GD224" s="76">
        <v>1469</v>
      </c>
      <c r="GE224" s="76">
        <v>5800</v>
      </c>
      <c r="GF224" s="76">
        <v>0</v>
      </c>
      <c r="GG224" s="76">
        <v>0</v>
      </c>
      <c r="GH224" s="76">
        <v>3965</v>
      </c>
      <c r="GI224" s="76">
        <v>0</v>
      </c>
      <c r="GJ224" s="76">
        <v>0</v>
      </c>
      <c r="GK224" s="76">
        <v>125</v>
      </c>
      <c r="GL224" s="76">
        <v>4090</v>
      </c>
      <c r="GM224" s="76">
        <v>5617</v>
      </c>
      <c r="GN224" s="76">
        <v>2575</v>
      </c>
      <c r="GO224" s="76">
        <v>0</v>
      </c>
      <c r="GP224" s="76">
        <v>0</v>
      </c>
      <c r="GQ224" s="76">
        <v>0</v>
      </c>
      <c r="GR224" s="76">
        <v>7585</v>
      </c>
      <c r="GS224" s="76">
        <v>0</v>
      </c>
      <c r="GT224" s="76">
        <v>0</v>
      </c>
      <c r="GU224" s="76">
        <v>0</v>
      </c>
      <c r="GV224" s="76">
        <v>0</v>
      </c>
      <c r="GW224" s="76">
        <v>6516</v>
      </c>
      <c r="GX224" s="76">
        <v>22293</v>
      </c>
      <c r="GY224" s="76">
        <v>48</v>
      </c>
      <c r="GZ224" s="76">
        <v>1913</v>
      </c>
      <c r="HA224" s="76">
        <v>438</v>
      </c>
      <c r="HB224" s="76">
        <v>0</v>
      </c>
      <c r="HC224" s="76">
        <v>2399</v>
      </c>
      <c r="HD224" s="76">
        <v>0</v>
      </c>
      <c r="HE224" s="76">
        <v>647</v>
      </c>
      <c r="HF224" s="76">
        <v>647</v>
      </c>
      <c r="HG224" s="76">
        <v>19209</v>
      </c>
      <c r="HH224" s="76">
        <v>52</v>
      </c>
      <c r="HI224" s="76">
        <v>360</v>
      </c>
      <c r="HJ224" s="76">
        <v>0</v>
      </c>
      <c r="HK224" s="76">
        <v>9</v>
      </c>
      <c r="HL224" s="76">
        <v>-913</v>
      </c>
      <c r="HM224" s="76">
        <v>18717</v>
      </c>
      <c r="HN224" s="76">
        <v>7757</v>
      </c>
      <c r="HO224" s="76">
        <v>10116</v>
      </c>
      <c r="HP224" s="76">
        <v>0</v>
      </c>
      <c r="HQ224" s="76">
        <v>334</v>
      </c>
      <c r="HR224" s="76">
        <v>-141</v>
      </c>
      <c r="HS224" s="76">
        <v>32</v>
      </c>
      <c r="HT224" s="76">
        <v>20189</v>
      </c>
      <c r="HU224" s="76">
        <v>43</v>
      </c>
      <c r="HV224" s="76">
        <v>0</v>
      </c>
      <c r="HW224" s="76">
        <v>1</v>
      </c>
      <c r="HX224" s="76">
        <v>100</v>
      </c>
    </row>
    <row r="225" spans="1:232" x14ac:dyDescent="0.2">
      <c r="A225" s="74" t="s">
        <v>811</v>
      </c>
      <c r="B225" s="74" t="s">
        <v>812</v>
      </c>
      <c r="C225" s="75" t="s">
        <v>200</v>
      </c>
      <c r="D225" s="75">
        <v>12</v>
      </c>
      <c r="E225" s="76">
        <v>57326</v>
      </c>
      <c r="F225" s="76">
        <v>-7572</v>
      </c>
      <c r="G225" s="76">
        <v>-34743</v>
      </c>
      <c r="H225" s="76">
        <v>15011</v>
      </c>
      <c r="I225" s="76">
        <v>5444</v>
      </c>
      <c r="J225" s="76">
        <v>0</v>
      </c>
      <c r="K225" s="76">
        <v>0</v>
      </c>
      <c r="L225" s="76">
        <v>0</v>
      </c>
      <c r="M225" s="76">
        <v>1711</v>
      </c>
      <c r="N225" s="76">
        <v>-11510</v>
      </c>
      <c r="O225" s="76">
        <v>556</v>
      </c>
      <c r="P225" s="76">
        <v>-147</v>
      </c>
      <c r="Q225" s="76">
        <v>0</v>
      </c>
      <c r="R225" s="76">
        <v>0</v>
      </c>
      <c r="S225" s="76">
        <v>11065</v>
      </c>
      <c r="T225" s="76">
        <v>0</v>
      </c>
      <c r="U225" s="76">
        <v>11065</v>
      </c>
      <c r="V225" s="76">
        <v>0</v>
      </c>
      <c r="W225" s="76">
        <v>0</v>
      </c>
      <c r="X225" s="76">
        <v>-1021</v>
      </c>
      <c r="Y225" s="76">
        <v>0</v>
      </c>
      <c r="Z225" s="76">
        <v>10044</v>
      </c>
      <c r="AA225" s="76">
        <v>37923</v>
      </c>
      <c r="AB225" s="76">
        <v>3393</v>
      </c>
      <c r="AC225" s="76">
        <v>41316</v>
      </c>
      <c r="AD225" s="76">
        <v>2666</v>
      </c>
      <c r="AE225" s="76">
        <v>0</v>
      </c>
      <c r="AF225" s="76">
        <v>0</v>
      </c>
      <c r="AG225" s="76">
        <v>0</v>
      </c>
      <c r="AH225" s="76">
        <v>43982</v>
      </c>
      <c r="AI225" s="76">
        <v>11270</v>
      </c>
      <c r="AJ225" s="76">
        <v>3336</v>
      </c>
      <c r="AK225" s="76">
        <v>5111</v>
      </c>
      <c r="AL225" s="76">
        <v>2860</v>
      </c>
      <c r="AM225" s="76">
        <v>2042</v>
      </c>
      <c r="AN225" s="76">
        <v>80</v>
      </c>
      <c r="AO225" s="76">
        <v>8270</v>
      </c>
      <c r="AP225" s="76">
        <v>369</v>
      </c>
      <c r="AQ225" s="76">
        <v>0</v>
      </c>
      <c r="AR225" s="76">
        <v>33338</v>
      </c>
      <c r="AS225" s="76">
        <v>10644</v>
      </c>
      <c r="AT225" s="76">
        <v>451</v>
      </c>
      <c r="AU225" s="76">
        <v>829142</v>
      </c>
      <c r="AV225" s="76">
        <v>0</v>
      </c>
      <c r="AW225" s="76">
        <v>261</v>
      </c>
      <c r="AX225" s="76">
        <v>0</v>
      </c>
      <c r="AY225" s="76">
        <v>2090</v>
      </c>
      <c r="AZ225" s="76">
        <v>5070</v>
      </c>
      <c r="BA225" s="76">
        <v>0</v>
      </c>
      <c r="BB225" s="76">
        <v>0</v>
      </c>
      <c r="BC225" s="76">
        <v>0</v>
      </c>
      <c r="BD225" s="76">
        <v>422</v>
      </c>
      <c r="BE225" s="76">
        <v>836985</v>
      </c>
      <c r="BF225" s="76">
        <v>8987</v>
      </c>
      <c r="BG225" s="76">
        <v>3500</v>
      </c>
      <c r="BH225" s="76">
        <v>6162</v>
      </c>
      <c r="BI225" s="76">
        <v>0</v>
      </c>
      <c r="BJ225" s="76">
        <v>2449</v>
      </c>
      <c r="BK225" s="76">
        <v>21098</v>
      </c>
      <c r="BL225" s="76">
        <v>6079</v>
      </c>
      <c r="BM225" s="76">
        <v>0</v>
      </c>
      <c r="BN225" s="76">
        <v>3596</v>
      </c>
      <c r="BO225" s="76">
        <v>18433</v>
      </c>
      <c r="BP225" s="76">
        <v>28108</v>
      </c>
      <c r="BQ225" s="76">
        <v>-7010</v>
      </c>
      <c r="BR225" s="76">
        <v>829975</v>
      </c>
      <c r="BS225" s="76">
        <v>275581</v>
      </c>
      <c r="BT225" s="76">
        <v>0</v>
      </c>
      <c r="BU225" s="76">
        <v>0</v>
      </c>
      <c r="BV225" s="76">
        <v>396848</v>
      </c>
      <c r="BW225" s="76">
        <v>2090</v>
      </c>
      <c r="BX225" s="76">
        <v>44169</v>
      </c>
      <c r="BY225" s="76">
        <v>11473</v>
      </c>
      <c r="BZ225" s="76">
        <v>730161</v>
      </c>
      <c r="CA225" s="76">
        <v>0</v>
      </c>
      <c r="CB225" s="76">
        <v>0</v>
      </c>
      <c r="CC225" s="76">
        <v>99814</v>
      </c>
      <c r="CD225" s="76">
        <v>120613</v>
      </c>
      <c r="CE225" s="76">
        <v>0</v>
      </c>
      <c r="CF225" s="76">
        <v>0</v>
      </c>
      <c r="CG225" s="76">
        <v>-20799</v>
      </c>
      <c r="CH225" s="76">
        <v>0</v>
      </c>
      <c r="CI225" s="76">
        <v>99814</v>
      </c>
      <c r="CJ225" s="76">
        <v>8795</v>
      </c>
      <c r="CK225" s="76">
        <v>6859</v>
      </c>
      <c r="CL225" s="76">
        <v>611</v>
      </c>
      <c r="CM225" s="76">
        <v>1325</v>
      </c>
      <c r="CN225" s="76">
        <v>0</v>
      </c>
      <c r="CO225" s="76">
        <v>0</v>
      </c>
      <c r="CP225" s="76">
        <v>0</v>
      </c>
      <c r="CQ225" s="76">
        <v>0</v>
      </c>
      <c r="CR225" s="76">
        <v>0</v>
      </c>
      <c r="CS225" s="76">
        <v>713</v>
      </c>
      <c r="CT225" s="76">
        <v>336</v>
      </c>
      <c r="CU225" s="76">
        <v>-1049</v>
      </c>
      <c r="CV225" s="76">
        <v>0</v>
      </c>
      <c r="CW225" s="76">
        <v>0</v>
      </c>
      <c r="CX225" s="76">
        <v>0</v>
      </c>
      <c r="CY225" s="76">
        <v>0</v>
      </c>
      <c r="CZ225" s="76">
        <v>4348</v>
      </c>
      <c r="DA225" s="76">
        <v>0</v>
      </c>
      <c r="DB225" s="76">
        <v>388</v>
      </c>
      <c r="DC225" s="76">
        <v>3960</v>
      </c>
      <c r="DD225" s="76">
        <v>13143</v>
      </c>
      <c r="DE225" s="76">
        <v>7572</v>
      </c>
      <c r="DF225" s="76">
        <v>1335</v>
      </c>
      <c r="DG225" s="76">
        <v>4236</v>
      </c>
      <c r="DH225" s="76">
        <v>0</v>
      </c>
      <c r="DI225" s="76">
        <v>0</v>
      </c>
      <c r="DJ225" s="76">
        <v>0</v>
      </c>
      <c r="DK225" s="76">
        <v>0</v>
      </c>
      <c r="DL225" s="76">
        <v>0</v>
      </c>
      <c r="DM225" s="76">
        <v>0</v>
      </c>
      <c r="DN225" s="76">
        <v>0</v>
      </c>
      <c r="DO225" s="76">
        <v>0</v>
      </c>
      <c r="DP225" s="76">
        <v>0</v>
      </c>
      <c r="DQ225" s="76">
        <v>0</v>
      </c>
      <c r="DR225" s="76">
        <v>0</v>
      </c>
      <c r="DS225" s="76">
        <v>0</v>
      </c>
      <c r="DT225" s="76">
        <v>62</v>
      </c>
      <c r="DU225" s="76">
        <v>0</v>
      </c>
      <c r="DV225" s="76">
        <v>20</v>
      </c>
      <c r="DW225" s="76">
        <v>42</v>
      </c>
      <c r="DX225" s="76">
        <v>0</v>
      </c>
      <c r="DY225" s="76">
        <v>0</v>
      </c>
      <c r="DZ225" s="76">
        <v>0</v>
      </c>
      <c r="EA225" s="76">
        <v>0</v>
      </c>
      <c r="EB225" s="76">
        <v>139</v>
      </c>
      <c r="EC225" s="76">
        <v>0</v>
      </c>
      <c r="ED225" s="76">
        <v>50</v>
      </c>
      <c r="EE225" s="76">
        <v>89</v>
      </c>
      <c r="EF225" s="76">
        <v>201</v>
      </c>
      <c r="EG225" s="76">
        <v>0</v>
      </c>
      <c r="EH225" s="76">
        <v>70</v>
      </c>
      <c r="EI225" s="76">
        <v>131</v>
      </c>
      <c r="EJ225" s="76">
        <v>13344</v>
      </c>
      <c r="EK225" s="76">
        <v>7572</v>
      </c>
      <c r="EL225" s="76">
        <v>1405</v>
      </c>
      <c r="EM225" s="76">
        <v>4367</v>
      </c>
      <c r="EN225" s="76">
        <v>1967</v>
      </c>
      <c r="EO225" s="76">
        <v>521</v>
      </c>
      <c r="EP225" s="76">
        <v>645</v>
      </c>
      <c r="EQ225" s="76">
        <v>521</v>
      </c>
      <c r="ER225" s="76">
        <v>850033</v>
      </c>
      <c r="ES225" s="76">
        <v>0</v>
      </c>
      <c r="ET225" s="76">
        <v>850033</v>
      </c>
      <c r="EU225" s="76">
        <v>66371</v>
      </c>
      <c r="EV225" s="76">
        <v>-13845</v>
      </c>
      <c r="EW225" s="76">
        <v>0</v>
      </c>
      <c r="EX225" s="76">
        <v>-441</v>
      </c>
      <c r="EY225" s="76">
        <v>-4021</v>
      </c>
      <c r="EZ225" s="76">
        <v>898097</v>
      </c>
      <c r="FA225" s="76">
        <v>62778</v>
      </c>
      <c r="FB225" s="76">
        <v>6923</v>
      </c>
      <c r="FC225" s="76">
        <v>556</v>
      </c>
      <c r="FD225" s="76">
        <v>0</v>
      </c>
      <c r="FE225" s="76">
        <v>-1302</v>
      </c>
      <c r="FF225" s="76">
        <v>0</v>
      </c>
      <c r="FG225" s="76">
        <v>0</v>
      </c>
      <c r="FH225" s="76">
        <v>68955</v>
      </c>
      <c r="FI225" s="76">
        <v>829142</v>
      </c>
      <c r="FJ225" s="76">
        <v>787255</v>
      </c>
      <c r="FK225" s="76">
        <v>4424</v>
      </c>
      <c r="FL225" s="76">
        <v>2510</v>
      </c>
      <c r="FM225" s="76">
        <v>1914</v>
      </c>
      <c r="FN225" s="76">
        <v>0</v>
      </c>
      <c r="FO225" s="76">
        <v>0</v>
      </c>
      <c r="FP225" s="76">
        <v>0</v>
      </c>
      <c r="FQ225" s="76">
        <v>0</v>
      </c>
      <c r="FR225" s="76">
        <v>3</v>
      </c>
      <c r="FS225" s="76">
        <v>-3</v>
      </c>
      <c r="FT225" s="76">
        <v>6288</v>
      </c>
      <c r="FU225" s="76">
        <v>2755</v>
      </c>
      <c r="FV225" s="76">
        <v>3533</v>
      </c>
      <c r="FW225" s="76">
        <v>0</v>
      </c>
      <c r="FX225" s="76">
        <v>0</v>
      </c>
      <c r="FY225" s="76">
        <v>0</v>
      </c>
      <c r="FZ225" s="76">
        <v>0</v>
      </c>
      <c r="GA225" s="76">
        <v>0</v>
      </c>
      <c r="GB225" s="76">
        <v>0</v>
      </c>
      <c r="GC225" s="76">
        <v>10712</v>
      </c>
      <c r="GD225" s="76">
        <v>5268</v>
      </c>
      <c r="GE225" s="76">
        <v>5444</v>
      </c>
      <c r="GF225" s="76">
        <v>0</v>
      </c>
      <c r="GG225" s="76">
        <v>0</v>
      </c>
      <c r="GH225" s="76">
        <v>291</v>
      </c>
      <c r="GI225" s="76">
        <v>0</v>
      </c>
      <c r="GJ225" s="76">
        <v>0</v>
      </c>
      <c r="GK225" s="76">
        <v>2158</v>
      </c>
      <c r="GL225" s="76">
        <v>2449</v>
      </c>
      <c r="GM225" s="76">
        <v>3024</v>
      </c>
      <c r="GN225" s="76">
        <v>2282</v>
      </c>
      <c r="GO225" s="76">
        <v>0</v>
      </c>
      <c r="GP225" s="76">
        <v>3911</v>
      </c>
      <c r="GQ225" s="76">
        <v>0</v>
      </c>
      <c r="GR225" s="76">
        <v>4437</v>
      </c>
      <c r="GS225" s="76">
        <v>0</v>
      </c>
      <c r="GT225" s="76">
        <v>0</v>
      </c>
      <c r="GU225" s="76">
        <v>572</v>
      </c>
      <c r="GV225" s="76">
        <v>0</v>
      </c>
      <c r="GW225" s="76">
        <v>4207</v>
      </c>
      <c r="GX225" s="76">
        <v>18433</v>
      </c>
      <c r="GY225" s="76">
        <v>6920</v>
      </c>
      <c r="GZ225" s="76">
        <v>599</v>
      </c>
      <c r="HA225" s="76">
        <v>3954</v>
      </c>
      <c r="HB225" s="76">
        <v>0</v>
      </c>
      <c r="HC225" s="76">
        <v>11473</v>
      </c>
      <c r="HD225" s="76">
        <v>0</v>
      </c>
      <c r="HE225" s="76">
        <v>0</v>
      </c>
      <c r="HF225" s="76">
        <v>0</v>
      </c>
      <c r="HG225" s="76">
        <v>12888</v>
      </c>
      <c r="HH225" s="76">
        <v>0</v>
      </c>
      <c r="HI225" s="76">
        <v>228</v>
      </c>
      <c r="HJ225" s="76">
        <v>47</v>
      </c>
      <c r="HK225" s="76">
        <v>0</v>
      </c>
      <c r="HL225" s="76">
        <v>-1653</v>
      </c>
      <c r="HM225" s="76">
        <v>11510</v>
      </c>
      <c r="HN225" s="76">
        <v>8633</v>
      </c>
      <c r="HO225" s="76">
        <v>8628</v>
      </c>
      <c r="HP225" s="76">
        <v>363</v>
      </c>
      <c r="HQ225" s="76">
        <v>122</v>
      </c>
      <c r="HR225" s="76">
        <v>-10</v>
      </c>
      <c r="HS225" s="76">
        <v>15</v>
      </c>
      <c r="HT225" s="76">
        <v>7060</v>
      </c>
      <c r="HU225" s="76">
        <v>0</v>
      </c>
      <c r="HV225" s="76">
        <v>0</v>
      </c>
      <c r="HW225" s="76">
        <v>-6</v>
      </c>
      <c r="HX225" s="76">
        <v>8</v>
      </c>
    </row>
    <row r="226" spans="1:232" x14ac:dyDescent="0.2">
      <c r="A226" s="74" t="s">
        <v>818</v>
      </c>
      <c r="B226" s="74" t="s">
        <v>817</v>
      </c>
      <c r="C226" s="75" t="s">
        <v>200</v>
      </c>
      <c r="D226" s="75">
        <v>12</v>
      </c>
      <c r="E226" s="76">
        <v>7071</v>
      </c>
      <c r="F226" s="76">
        <v>0</v>
      </c>
      <c r="G226" s="76">
        <v>-5192</v>
      </c>
      <c r="H226" s="76">
        <v>1879</v>
      </c>
      <c r="I226" s="76">
        <v>15</v>
      </c>
      <c r="J226" s="76">
        <v>0</v>
      </c>
      <c r="K226" s="76">
        <v>0</v>
      </c>
      <c r="L226" s="76">
        <v>0</v>
      </c>
      <c r="M226" s="76">
        <v>18</v>
      </c>
      <c r="N226" s="76">
        <v>-537</v>
      </c>
      <c r="O226" s="76">
        <v>0</v>
      </c>
      <c r="P226" s="76">
        <v>0</v>
      </c>
      <c r="Q226" s="76">
        <v>0</v>
      </c>
      <c r="R226" s="76">
        <v>0</v>
      </c>
      <c r="S226" s="76">
        <v>1375</v>
      </c>
      <c r="T226" s="76">
        <v>0</v>
      </c>
      <c r="U226" s="76">
        <v>1375</v>
      </c>
      <c r="V226" s="76">
        <v>0</v>
      </c>
      <c r="W226" s="76">
        <v>-397</v>
      </c>
      <c r="X226" s="76">
        <v>0</v>
      </c>
      <c r="Y226" s="76">
        <v>0</v>
      </c>
      <c r="Z226" s="76">
        <v>978</v>
      </c>
      <c r="AA226" s="76">
        <v>5404</v>
      </c>
      <c r="AB226" s="76">
        <v>442</v>
      </c>
      <c r="AC226" s="76">
        <v>5846</v>
      </c>
      <c r="AD226" s="76">
        <v>258</v>
      </c>
      <c r="AE226" s="76">
        <v>0</v>
      </c>
      <c r="AF226" s="76">
        <v>0</v>
      </c>
      <c r="AG226" s="76">
        <v>85</v>
      </c>
      <c r="AH226" s="76">
        <v>6189</v>
      </c>
      <c r="AI226" s="76">
        <v>835</v>
      </c>
      <c r="AJ226" s="76">
        <v>546</v>
      </c>
      <c r="AK226" s="76">
        <v>923</v>
      </c>
      <c r="AL226" s="76">
        <v>0</v>
      </c>
      <c r="AM226" s="76">
        <v>414</v>
      </c>
      <c r="AN226" s="76">
        <v>7</v>
      </c>
      <c r="AO226" s="76">
        <v>899</v>
      </c>
      <c r="AP226" s="76">
        <v>0</v>
      </c>
      <c r="AQ226" s="76">
        <v>97</v>
      </c>
      <c r="AR226" s="76">
        <v>3721</v>
      </c>
      <c r="AS226" s="76">
        <v>2468</v>
      </c>
      <c r="AT226" s="76">
        <v>19</v>
      </c>
      <c r="AU226" s="76">
        <v>43196</v>
      </c>
      <c r="AV226" s="76">
        <v>0</v>
      </c>
      <c r="AW226" s="76">
        <v>4884</v>
      </c>
      <c r="AX226" s="76">
        <v>34</v>
      </c>
      <c r="AY226" s="76">
        <v>0</v>
      </c>
      <c r="AZ226" s="76">
        <v>0</v>
      </c>
      <c r="BA226" s="76">
        <v>0</v>
      </c>
      <c r="BB226" s="76">
        <v>0</v>
      </c>
      <c r="BC226" s="76">
        <v>0</v>
      </c>
      <c r="BD226" s="76">
        <v>0</v>
      </c>
      <c r="BE226" s="76">
        <v>48114</v>
      </c>
      <c r="BF226" s="76">
        <v>0</v>
      </c>
      <c r="BG226" s="76">
        <v>283</v>
      </c>
      <c r="BH226" s="76">
        <v>3739</v>
      </c>
      <c r="BI226" s="76">
        <v>0</v>
      </c>
      <c r="BJ226" s="76">
        <v>362</v>
      </c>
      <c r="BK226" s="76">
        <v>4384</v>
      </c>
      <c r="BL226" s="76">
        <v>560</v>
      </c>
      <c r="BM226" s="76">
        <v>0</v>
      </c>
      <c r="BN226" s="76">
        <v>265</v>
      </c>
      <c r="BO226" s="76">
        <v>1519</v>
      </c>
      <c r="BP226" s="76">
        <v>2344</v>
      </c>
      <c r="BQ226" s="76">
        <v>2040</v>
      </c>
      <c r="BR226" s="76">
        <v>50154</v>
      </c>
      <c r="BS226" s="76">
        <v>8324</v>
      </c>
      <c r="BT226" s="76">
        <v>0</v>
      </c>
      <c r="BU226" s="76">
        <v>0</v>
      </c>
      <c r="BV226" s="76">
        <v>20622</v>
      </c>
      <c r="BW226" s="76">
        <v>0</v>
      </c>
      <c r="BX226" s="76">
        <v>0</v>
      </c>
      <c r="BY226" s="76">
        <v>893</v>
      </c>
      <c r="BZ226" s="76">
        <v>29839</v>
      </c>
      <c r="CA226" s="76">
        <v>334</v>
      </c>
      <c r="CB226" s="76">
        <v>66</v>
      </c>
      <c r="CC226" s="76">
        <v>19915</v>
      </c>
      <c r="CD226" s="76">
        <v>19915</v>
      </c>
      <c r="CE226" s="76">
        <v>0</v>
      </c>
      <c r="CF226" s="76">
        <v>0</v>
      </c>
      <c r="CG226" s="76">
        <v>0</v>
      </c>
      <c r="CH226" s="76">
        <v>0</v>
      </c>
      <c r="CI226" s="76">
        <v>19915</v>
      </c>
      <c r="CJ226" s="76">
        <v>0</v>
      </c>
      <c r="CK226" s="76">
        <v>0</v>
      </c>
      <c r="CL226" s="76">
        <v>0</v>
      </c>
      <c r="CM226" s="76">
        <v>0</v>
      </c>
      <c r="CN226" s="76">
        <v>0</v>
      </c>
      <c r="CO226" s="76">
        <v>0</v>
      </c>
      <c r="CP226" s="76">
        <v>0</v>
      </c>
      <c r="CQ226" s="76">
        <v>0</v>
      </c>
      <c r="CR226" s="76">
        <v>0</v>
      </c>
      <c r="CS226" s="76">
        <v>0</v>
      </c>
      <c r="CT226" s="76">
        <v>0</v>
      </c>
      <c r="CU226" s="76">
        <v>0</v>
      </c>
      <c r="CV226" s="76">
        <v>0</v>
      </c>
      <c r="CW226" s="76">
        <v>0</v>
      </c>
      <c r="CX226" s="76">
        <v>0</v>
      </c>
      <c r="CY226" s="76">
        <v>0</v>
      </c>
      <c r="CZ226" s="76">
        <v>865</v>
      </c>
      <c r="DA226" s="76">
        <v>0</v>
      </c>
      <c r="DB226" s="76">
        <v>1466</v>
      </c>
      <c r="DC226" s="76">
        <v>-601</v>
      </c>
      <c r="DD226" s="76">
        <v>865</v>
      </c>
      <c r="DE226" s="76">
        <v>0</v>
      </c>
      <c r="DF226" s="76">
        <v>1466</v>
      </c>
      <c r="DG226" s="76">
        <v>-601</v>
      </c>
      <c r="DH226" s="76">
        <v>0</v>
      </c>
      <c r="DI226" s="76">
        <v>0</v>
      </c>
      <c r="DJ226" s="76">
        <v>0</v>
      </c>
      <c r="DK226" s="76">
        <v>0</v>
      </c>
      <c r="DL226" s="76">
        <v>0</v>
      </c>
      <c r="DM226" s="76">
        <v>0</v>
      </c>
      <c r="DN226" s="76">
        <v>0</v>
      </c>
      <c r="DO226" s="76">
        <v>0</v>
      </c>
      <c r="DP226" s="76">
        <v>0</v>
      </c>
      <c r="DQ226" s="76">
        <v>0</v>
      </c>
      <c r="DR226" s="76">
        <v>0</v>
      </c>
      <c r="DS226" s="76">
        <v>0</v>
      </c>
      <c r="DT226" s="76">
        <v>0</v>
      </c>
      <c r="DU226" s="76">
        <v>0</v>
      </c>
      <c r="DV226" s="76">
        <v>0</v>
      </c>
      <c r="DW226" s="76">
        <v>0</v>
      </c>
      <c r="DX226" s="76">
        <v>0</v>
      </c>
      <c r="DY226" s="76">
        <v>0</v>
      </c>
      <c r="DZ226" s="76">
        <v>0</v>
      </c>
      <c r="EA226" s="76">
        <v>0</v>
      </c>
      <c r="EB226" s="76">
        <v>17</v>
      </c>
      <c r="EC226" s="76">
        <v>0</v>
      </c>
      <c r="ED226" s="76">
        <v>5</v>
      </c>
      <c r="EE226" s="76">
        <v>12</v>
      </c>
      <c r="EF226" s="76">
        <v>17</v>
      </c>
      <c r="EG226" s="76">
        <v>0</v>
      </c>
      <c r="EH226" s="76">
        <v>5</v>
      </c>
      <c r="EI226" s="76">
        <v>12</v>
      </c>
      <c r="EJ226" s="76">
        <v>882</v>
      </c>
      <c r="EK226" s="76">
        <v>0</v>
      </c>
      <c r="EL226" s="76">
        <v>1471</v>
      </c>
      <c r="EM226" s="76">
        <v>-589</v>
      </c>
      <c r="EN226" s="76">
        <v>146</v>
      </c>
      <c r="EO226" s="76">
        <v>10</v>
      </c>
      <c r="EP226" s="76">
        <v>32</v>
      </c>
      <c r="EQ226" s="76">
        <v>10</v>
      </c>
      <c r="ER226" s="76">
        <v>52968</v>
      </c>
      <c r="ES226" s="76">
        <v>0</v>
      </c>
      <c r="ET226" s="76">
        <v>52968</v>
      </c>
      <c r="EU226" s="76">
        <v>803</v>
      </c>
      <c r="EV226" s="76">
        <v>-231</v>
      </c>
      <c r="EW226" s="76">
        <v>0</v>
      </c>
      <c r="EX226" s="76">
        <v>0</v>
      </c>
      <c r="EY226" s="76">
        <v>0</v>
      </c>
      <c r="EZ226" s="76">
        <v>53540</v>
      </c>
      <c r="FA226" s="76">
        <v>9663</v>
      </c>
      <c r="FB226" s="76">
        <v>835</v>
      </c>
      <c r="FC226" s="76">
        <v>0</v>
      </c>
      <c r="FD226" s="76">
        <v>0</v>
      </c>
      <c r="FE226" s="76">
        <v>-154</v>
      </c>
      <c r="FF226" s="76">
        <v>0</v>
      </c>
      <c r="FG226" s="76">
        <v>0</v>
      </c>
      <c r="FH226" s="76">
        <v>10344</v>
      </c>
      <c r="FI226" s="76">
        <v>43196</v>
      </c>
      <c r="FJ226" s="76">
        <v>43305</v>
      </c>
      <c r="FK226" s="76">
        <v>0</v>
      </c>
      <c r="FL226" s="76">
        <v>0</v>
      </c>
      <c r="FM226" s="76">
        <v>0</v>
      </c>
      <c r="FN226" s="76">
        <v>85</v>
      </c>
      <c r="FO226" s="76">
        <v>75</v>
      </c>
      <c r="FP226" s="76">
        <v>10</v>
      </c>
      <c r="FQ226" s="76">
        <v>0</v>
      </c>
      <c r="FR226" s="76">
        <v>0</v>
      </c>
      <c r="FS226" s="76">
        <v>0</v>
      </c>
      <c r="FT226" s="76">
        <v>0</v>
      </c>
      <c r="FU226" s="76">
        <v>-5</v>
      </c>
      <c r="FV226" s="76">
        <v>5</v>
      </c>
      <c r="FW226" s="76">
        <v>0</v>
      </c>
      <c r="FX226" s="76">
        <v>0</v>
      </c>
      <c r="FY226" s="76">
        <v>0</v>
      </c>
      <c r="FZ226" s="76">
        <v>0</v>
      </c>
      <c r="GA226" s="76">
        <v>0</v>
      </c>
      <c r="GB226" s="76">
        <v>0</v>
      </c>
      <c r="GC226" s="76">
        <v>85</v>
      </c>
      <c r="GD226" s="76">
        <v>70</v>
      </c>
      <c r="GE226" s="76">
        <v>15</v>
      </c>
      <c r="GF226" s="76">
        <v>0</v>
      </c>
      <c r="GG226" s="76">
        <v>23</v>
      </c>
      <c r="GH226" s="76">
        <v>0</v>
      </c>
      <c r="GI226" s="76">
        <v>0</v>
      </c>
      <c r="GJ226" s="76">
        <v>0</v>
      </c>
      <c r="GK226" s="76">
        <v>339</v>
      </c>
      <c r="GL226" s="76">
        <v>362</v>
      </c>
      <c r="GM226" s="76">
        <v>371</v>
      </c>
      <c r="GN226" s="76">
        <v>132</v>
      </c>
      <c r="GO226" s="76">
        <v>0</v>
      </c>
      <c r="GP226" s="76">
        <v>0</v>
      </c>
      <c r="GQ226" s="76">
        <v>0</v>
      </c>
      <c r="GR226" s="76">
        <v>171</v>
      </c>
      <c r="GS226" s="76">
        <v>0</v>
      </c>
      <c r="GT226" s="76">
        <v>0</v>
      </c>
      <c r="GU226" s="76">
        <v>0</v>
      </c>
      <c r="GV226" s="76">
        <v>0</v>
      </c>
      <c r="GW226" s="76">
        <v>845</v>
      </c>
      <c r="GX226" s="76">
        <v>1519</v>
      </c>
      <c r="GY226" s="76">
        <v>65</v>
      </c>
      <c r="GZ226" s="76">
        <v>0</v>
      </c>
      <c r="HA226" s="76">
        <v>0</v>
      </c>
      <c r="HB226" s="76">
        <v>828</v>
      </c>
      <c r="HC226" s="76">
        <v>893</v>
      </c>
      <c r="HD226" s="76">
        <v>0</v>
      </c>
      <c r="HE226" s="76">
        <v>66</v>
      </c>
      <c r="HF226" s="76">
        <v>66</v>
      </c>
      <c r="HG226" s="76">
        <v>533</v>
      </c>
      <c r="HH226" s="76">
        <v>4</v>
      </c>
      <c r="HI226" s="76">
        <v>0</v>
      </c>
      <c r="HJ226" s="76">
        <v>0</v>
      </c>
      <c r="HK226" s="76">
        <v>0</v>
      </c>
      <c r="HL226" s="76">
        <v>0</v>
      </c>
      <c r="HM226" s="76">
        <v>537</v>
      </c>
      <c r="HN226" s="76">
        <v>995</v>
      </c>
      <c r="HO226" s="76">
        <v>966</v>
      </c>
      <c r="HP226" s="76">
        <v>0</v>
      </c>
      <c r="HQ226" s="76">
        <v>1</v>
      </c>
      <c r="HR226" s="76">
        <v>-2</v>
      </c>
      <c r="HS226" s="76">
        <v>0</v>
      </c>
      <c r="HT226" s="76">
        <v>1286</v>
      </c>
      <c r="HU226" s="76">
        <v>0</v>
      </c>
      <c r="HV226" s="76">
        <v>0</v>
      </c>
      <c r="HW226" s="76">
        <v>0</v>
      </c>
      <c r="HX226" s="76">
        <v>0</v>
      </c>
    </row>
    <row r="227" spans="1:232" x14ac:dyDescent="0.2">
      <c r="A227" s="74" t="s">
        <v>821</v>
      </c>
      <c r="B227" s="74" t="s">
        <v>822</v>
      </c>
      <c r="C227" s="75" t="s">
        <v>200</v>
      </c>
      <c r="D227" s="75">
        <v>12</v>
      </c>
      <c r="E227" s="76">
        <v>134854</v>
      </c>
      <c r="F227" s="76">
        <v>-11321</v>
      </c>
      <c r="G227" s="76">
        <v>-64457</v>
      </c>
      <c r="H227" s="76">
        <v>59076</v>
      </c>
      <c r="I227" s="76">
        <v>3338</v>
      </c>
      <c r="J227" s="76">
        <v>0</v>
      </c>
      <c r="K227" s="76">
        <v>16313</v>
      </c>
      <c r="L227" s="76">
        <v>0</v>
      </c>
      <c r="M227" s="76">
        <v>331</v>
      </c>
      <c r="N227" s="76">
        <v>-29550</v>
      </c>
      <c r="O227" s="76">
        <v>0</v>
      </c>
      <c r="P227" s="76">
        <v>0</v>
      </c>
      <c r="Q227" s="76">
        <v>0</v>
      </c>
      <c r="R227" s="76">
        <v>0</v>
      </c>
      <c r="S227" s="76">
        <v>49508</v>
      </c>
      <c r="T227" s="76">
        <v>0</v>
      </c>
      <c r="U227" s="76">
        <v>49508</v>
      </c>
      <c r="V227" s="76">
        <v>0</v>
      </c>
      <c r="W227" s="76">
        <v>-4110</v>
      </c>
      <c r="X227" s="76">
        <v>0</v>
      </c>
      <c r="Y227" s="76">
        <v>0</v>
      </c>
      <c r="Z227" s="76">
        <v>45398</v>
      </c>
      <c r="AA227" s="76">
        <v>107658</v>
      </c>
      <c r="AB227" s="76">
        <v>6938</v>
      </c>
      <c r="AC227" s="76">
        <v>114596</v>
      </c>
      <c r="AD227" s="76">
        <v>4331</v>
      </c>
      <c r="AE227" s="76">
        <v>0</v>
      </c>
      <c r="AF227" s="76">
        <v>0</v>
      </c>
      <c r="AG227" s="76">
        <v>30</v>
      </c>
      <c r="AH227" s="76">
        <v>118957</v>
      </c>
      <c r="AI227" s="76">
        <v>12362</v>
      </c>
      <c r="AJ227" s="76">
        <v>8046</v>
      </c>
      <c r="AK227" s="76">
        <v>15868</v>
      </c>
      <c r="AL227" s="76">
        <v>3391</v>
      </c>
      <c r="AM227" s="76">
        <v>5303</v>
      </c>
      <c r="AN227" s="76">
        <v>393</v>
      </c>
      <c r="AO227" s="76">
        <v>17554</v>
      </c>
      <c r="AP227" s="76">
        <v>0</v>
      </c>
      <c r="AQ227" s="76">
        <v>70</v>
      </c>
      <c r="AR227" s="76">
        <v>62987</v>
      </c>
      <c r="AS227" s="76">
        <v>55970</v>
      </c>
      <c r="AT227" s="76">
        <v>1326</v>
      </c>
      <c r="AU227" s="76">
        <v>1278940</v>
      </c>
      <c r="AV227" s="76">
        <v>0</v>
      </c>
      <c r="AW227" s="76">
        <v>4471</v>
      </c>
      <c r="AX227" s="76">
        <v>0</v>
      </c>
      <c r="AY227" s="76">
        <v>0</v>
      </c>
      <c r="AZ227" s="76">
        <v>0</v>
      </c>
      <c r="BA227" s="76">
        <v>0</v>
      </c>
      <c r="BB227" s="76">
        <v>0</v>
      </c>
      <c r="BC227" s="76">
        <v>0</v>
      </c>
      <c r="BD227" s="76">
        <v>57</v>
      </c>
      <c r="BE227" s="76">
        <v>1283468</v>
      </c>
      <c r="BF227" s="76">
        <v>11956</v>
      </c>
      <c r="BG227" s="76">
        <v>1691</v>
      </c>
      <c r="BH227" s="76">
        <v>67853</v>
      </c>
      <c r="BI227" s="76">
        <v>0</v>
      </c>
      <c r="BJ227" s="76">
        <v>9933</v>
      </c>
      <c r="BK227" s="76">
        <v>91433</v>
      </c>
      <c r="BL227" s="76">
        <v>10179</v>
      </c>
      <c r="BM227" s="76">
        <v>0</v>
      </c>
      <c r="BN227" s="76">
        <v>3884</v>
      </c>
      <c r="BO227" s="76">
        <v>33403</v>
      </c>
      <c r="BP227" s="76">
        <v>47466</v>
      </c>
      <c r="BQ227" s="76">
        <v>43967</v>
      </c>
      <c r="BR227" s="76">
        <v>1327435</v>
      </c>
      <c r="BS227" s="76">
        <v>700995</v>
      </c>
      <c r="BT227" s="76">
        <v>0</v>
      </c>
      <c r="BU227" s="76">
        <v>0</v>
      </c>
      <c r="BV227" s="76">
        <v>379814</v>
      </c>
      <c r="BW227" s="76">
        <v>0</v>
      </c>
      <c r="BX227" s="76">
        <v>0</v>
      </c>
      <c r="BY227" s="76">
        <v>8416</v>
      </c>
      <c r="BZ227" s="76">
        <v>1089225</v>
      </c>
      <c r="CA227" s="76">
        <v>26720</v>
      </c>
      <c r="CB227" s="76">
        <v>0</v>
      </c>
      <c r="CC227" s="76">
        <v>211490</v>
      </c>
      <c r="CD227" s="76">
        <v>211490</v>
      </c>
      <c r="CE227" s="76">
        <v>0</v>
      </c>
      <c r="CF227" s="76">
        <v>0</v>
      </c>
      <c r="CG227" s="76">
        <v>0</v>
      </c>
      <c r="CH227" s="76">
        <v>0</v>
      </c>
      <c r="CI227" s="76">
        <v>211490</v>
      </c>
      <c r="CJ227" s="76">
        <v>12687</v>
      </c>
      <c r="CK227" s="76">
        <v>10634</v>
      </c>
      <c r="CL227" s="76">
        <v>0</v>
      </c>
      <c r="CM227" s="76">
        <v>2053</v>
      </c>
      <c r="CN227" s="76">
        <v>0</v>
      </c>
      <c r="CO227" s="76">
        <v>0</v>
      </c>
      <c r="CP227" s="76">
        <v>0</v>
      </c>
      <c r="CQ227" s="76">
        <v>0</v>
      </c>
      <c r="CR227" s="76">
        <v>210</v>
      </c>
      <c r="CS227" s="76">
        <v>0</v>
      </c>
      <c r="CT227" s="76">
        <v>845</v>
      </c>
      <c r="CU227" s="76">
        <v>-635</v>
      </c>
      <c r="CV227" s="76">
        <v>0</v>
      </c>
      <c r="CW227" s="76">
        <v>0</v>
      </c>
      <c r="CX227" s="76">
        <v>0</v>
      </c>
      <c r="CY227" s="76">
        <v>0</v>
      </c>
      <c r="CZ227" s="76">
        <v>2265</v>
      </c>
      <c r="DA227" s="76">
        <v>0</v>
      </c>
      <c r="DB227" s="76">
        <v>625</v>
      </c>
      <c r="DC227" s="76">
        <v>1640</v>
      </c>
      <c r="DD227" s="76">
        <v>15162</v>
      </c>
      <c r="DE227" s="76">
        <v>10634</v>
      </c>
      <c r="DF227" s="76">
        <v>1470</v>
      </c>
      <c r="DG227" s="76">
        <v>3058</v>
      </c>
      <c r="DH227" s="76">
        <v>735</v>
      </c>
      <c r="DI227" s="76">
        <v>687</v>
      </c>
      <c r="DJ227" s="76">
        <v>0</v>
      </c>
      <c r="DK227" s="76">
        <v>48</v>
      </c>
      <c r="DL227" s="76">
        <v>0</v>
      </c>
      <c r="DM227" s="76">
        <v>0</v>
      </c>
      <c r="DN227" s="76">
        <v>0</v>
      </c>
      <c r="DO227" s="76">
        <v>0</v>
      </c>
      <c r="DP227" s="76">
        <v>0</v>
      </c>
      <c r="DQ227" s="76">
        <v>0</v>
      </c>
      <c r="DR227" s="76">
        <v>0</v>
      </c>
      <c r="DS227" s="76">
        <v>0</v>
      </c>
      <c r="DT227" s="76">
        <v>0</v>
      </c>
      <c r="DU227" s="76">
        <v>0</v>
      </c>
      <c r="DV227" s="76">
        <v>0</v>
      </c>
      <c r="DW227" s="76">
        <v>0</v>
      </c>
      <c r="DX227" s="76">
        <v>0</v>
      </c>
      <c r="DY227" s="76">
        <v>0</v>
      </c>
      <c r="DZ227" s="76">
        <v>0</v>
      </c>
      <c r="EA227" s="76">
        <v>0</v>
      </c>
      <c r="EB227" s="76">
        <v>0</v>
      </c>
      <c r="EC227" s="76">
        <v>0</v>
      </c>
      <c r="ED227" s="76">
        <v>0</v>
      </c>
      <c r="EE227" s="76">
        <v>0</v>
      </c>
      <c r="EF227" s="76">
        <v>735</v>
      </c>
      <c r="EG227" s="76">
        <v>687</v>
      </c>
      <c r="EH227" s="76">
        <v>0</v>
      </c>
      <c r="EI227" s="76">
        <v>48</v>
      </c>
      <c r="EJ227" s="76">
        <v>15897</v>
      </c>
      <c r="EK227" s="76">
        <v>11321</v>
      </c>
      <c r="EL227" s="76">
        <v>1470</v>
      </c>
      <c r="EM227" s="76">
        <v>3106</v>
      </c>
      <c r="EN227" s="76">
        <v>3005</v>
      </c>
      <c r="EO227" s="76">
        <v>1333</v>
      </c>
      <c r="EP227" s="76">
        <v>1314</v>
      </c>
      <c r="EQ227" s="76">
        <v>1333</v>
      </c>
      <c r="ER227" s="76">
        <v>1139805</v>
      </c>
      <c r="ES227" s="76">
        <v>0</v>
      </c>
      <c r="ET227" s="76">
        <v>1139805</v>
      </c>
      <c r="EU227" s="76">
        <v>126092</v>
      </c>
      <c r="EV227" s="76">
        <v>-7359</v>
      </c>
      <c r="EW227" s="76">
        <v>196518</v>
      </c>
      <c r="EX227" s="76">
        <v>0</v>
      </c>
      <c r="EY227" s="76">
        <v>-13658</v>
      </c>
      <c r="EZ227" s="76">
        <v>1441398</v>
      </c>
      <c r="FA227" s="76">
        <v>118558</v>
      </c>
      <c r="FB227" s="76">
        <v>17555</v>
      </c>
      <c r="FC227" s="76">
        <v>0</v>
      </c>
      <c r="FD227" s="76">
        <v>0</v>
      </c>
      <c r="FE227" s="76">
        <v>-1569</v>
      </c>
      <c r="FF227" s="76">
        <v>0</v>
      </c>
      <c r="FG227" s="76">
        <v>27914</v>
      </c>
      <c r="FH227" s="76">
        <v>162458</v>
      </c>
      <c r="FI227" s="76">
        <v>1278940</v>
      </c>
      <c r="FJ227" s="76">
        <v>1021247</v>
      </c>
      <c r="FK227" s="76">
        <v>6595</v>
      </c>
      <c r="FL227" s="76">
        <v>5050</v>
      </c>
      <c r="FM227" s="76">
        <v>1545</v>
      </c>
      <c r="FN227" s="76">
        <v>939</v>
      </c>
      <c r="FO227" s="76">
        <v>634</v>
      </c>
      <c r="FP227" s="76">
        <v>305</v>
      </c>
      <c r="FQ227" s="76">
        <v>0</v>
      </c>
      <c r="FR227" s="76">
        <v>0</v>
      </c>
      <c r="FS227" s="76">
        <v>0</v>
      </c>
      <c r="FT227" s="76">
        <v>2606</v>
      </c>
      <c r="FU227" s="76">
        <v>1132</v>
      </c>
      <c r="FV227" s="76">
        <v>1474</v>
      </c>
      <c r="FW227" s="76">
        <v>0</v>
      </c>
      <c r="FX227" s="76">
        <v>0</v>
      </c>
      <c r="FY227" s="76">
        <v>0</v>
      </c>
      <c r="FZ227" s="76">
        <v>35</v>
      </c>
      <c r="GA227" s="76">
        <v>21</v>
      </c>
      <c r="GB227" s="76">
        <v>14</v>
      </c>
      <c r="GC227" s="76">
        <v>10175</v>
      </c>
      <c r="GD227" s="76">
        <v>6837</v>
      </c>
      <c r="GE227" s="76">
        <v>3338</v>
      </c>
      <c r="GF227" s="76">
        <v>0</v>
      </c>
      <c r="GG227" s="76">
        <v>0</v>
      </c>
      <c r="GH227" s="76">
        <v>7183</v>
      </c>
      <c r="GI227" s="76">
        <v>0</v>
      </c>
      <c r="GJ227" s="76">
        <v>0</v>
      </c>
      <c r="GK227" s="76">
        <v>2750</v>
      </c>
      <c r="GL227" s="76">
        <v>9933</v>
      </c>
      <c r="GM227" s="76">
        <v>5046</v>
      </c>
      <c r="GN227" s="76">
        <v>4955</v>
      </c>
      <c r="GO227" s="76">
        <v>0</v>
      </c>
      <c r="GP227" s="76">
        <v>1403</v>
      </c>
      <c r="GQ227" s="76">
        <v>129</v>
      </c>
      <c r="GR227" s="76">
        <v>15446</v>
      </c>
      <c r="GS227" s="76">
        <v>0</v>
      </c>
      <c r="GT227" s="76">
        <v>0</v>
      </c>
      <c r="GU227" s="76">
        <v>540</v>
      </c>
      <c r="GV227" s="76">
        <v>0</v>
      </c>
      <c r="GW227" s="76">
        <v>5884</v>
      </c>
      <c r="GX227" s="76">
        <v>33403</v>
      </c>
      <c r="GY227" s="76">
        <v>3921</v>
      </c>
      <c r="GZ227" s="76">
        <v>228</v>
      </c>
      <c r="HA227" s="76">
        <v>3613</v>
      </c>
      <c r="HB227" s="76">
        <v>654</v>
      </c>
      <c r="HC227" s="76">
        <v>8416</v>
      </c>
      <c r="HD227" s="76">
        <v>0</v>
      </c>
      <c r="HE227" s="76">
        <v>0</v>
      </c>
      <c r="HF227" s="76">
        <v>0</v>
      </c>
      <c r="HG227" s="76">
        <v>30818</v>
      </c>
      <c r="HH227" s="76">
        <v>0</v>
      </c>
      <c r="HI227" s="76">
        <v>0</v>
      </c>
      <c r="HJ227" s="76">
        <v>0</v>
      </c>
      <c r="HK227" s="76">
        <v>870</v>
      </c>
      <c r="HL227" s="76">
        <v>-2138</v>
      </c>
      <c r="HM227" s="76">
        <v>29550</v>
      </c>
      <c r="HN227" s="76">
        <v>2912</v>
      </c>
      <c r="HO227" s="76">
        <v>18250</v>
      </c>
      <c r="HP227" s="76">
        <v>0</v>
      </c>
      <c r="HQ227" s="76">
        <v>966</v>
      </c>
      <c r="HR227" s="76">
        <v>-220</v>
      </c>
      <c r="HS227" s="76">
        <v>5599</v>
      </c>
      <c r="HT227" s="76">
        <v>25317</v>
      </c>
      <c r="HU227" s="76">
        <v>8</v>
      </c>
      <c r="HV227" s="76">
        <v>0</v>
      </c>
      <c r="HW227" s="76">
        <v>42</v>
      </c>
      <c r="HX227" s="76">
        <v>746</v>
      </c>
    </row>
    <row r="228" spans="1:232" x14ac:dyDescent="0.2">
      <c r="A228" s="74" t="s">
        <v>823</v>
      </c>
      <c r="B228" s="74" t="s">
        <v>824</v>
      </c>
      <c r="C228" s="75" t="s">
        <v>200</v>
      </c>
      <c r="D228" s="75">
        <v>12</v>
      </c>
      <c r="E228" s="76">
        <v>31410</v>
      </c>
      <c r="F228" s="76">
        <v>-1049</v>
      </c>
      <c r="G228" s="76">
        <v>-19086</v>
      </c>
      <c r="H228" s="76">
        <v>11275</v>
      </c>
      <c r="I228" s="76">
        <v>-770</v>
      </c>
      <c r="J228" s="76">
        <v>0</v>
      </c>
      <c r="K228" s="76">
        <v>0</v>
      </c>
      <c r="L228" s="76">
        <v>-8</v>
      </c>
      <c r="M228" s="76">
        <v>22</v>
      </c>
      <c r="N228" s="76">
        <v>-3556</v>
      </c>
      <c r="O228" s="76">
        <v>360</v>
      </c>
      <c r="P228" s="76">
        <v>-2</v>
      </c>
      <c r="Q228" s="76">
        <v>0</v>
      </c>
      <c r="R228" s="76">
        <v>0</v>
      </c>
      <c r="S228" s="76">
        <v>7321</v>
      </c>
      <c r="T228" s="76">
        <v>0</v>
      </c>
      <c r="U228" s="76">
        <v>7321</v>
      </c>
      <c r="V228" s="76">
        <v>0</v>
      </c>
      <c r="W228" s="76">
        <v>123</v>
      </c>
      <c r="X228" s="76">
        <v>-1998</v>
      </c>
      <c r="Y228" s="76">
        <v>0</v>
      </c>
      <c r="Z228" s="76">
        <v>5446</v>
      </c>
      <c r="AA228" s="76">
        <v>26571</v>
      </c>
      <c r="AB228" s="76">
        <v>1080</v>
      </c>
      <c r="AC228" s="76">
        <v>27651</v>
      </c>
      <c r="AD228" s="76">
        <v>39</v>
      </c>
      <c r="AE228" s="76">
        <v>0</v>
      </c>
      <c r="AF228" s="76">
        <v>67</v>
      </c>
      <c r="AG228" s="76">
        <v>0</v>
      </c>
      <c r="AH228" s="76">
        <v>27757</v>
      </c>
      <c r="AI228" s="76">
        <v>8249</v>
      </c>
      <c r="AJ228" s="76">
        <v>922</v>
      </c>
      <c r="AK228" s="76">
        <v>3118</v>
      </c>
      <c r="AL228" s="76">
        <v>452</v>
      </c>
      <c r="AM228" s="76">
        <v>362</v>
      </c>
      <c r="AN228" s="76">
        <v>95</v>
      </c>
      <c r="AO228" s="76">
        <v>4234</v>
      </c>
      <c r="AP228" s="76">
        <v>0</v>
      </c>
      <c r="AQ228" s="76">
        <v>0</v>
      </c>
      <c r="AR228" s="76">
        <v>17432</v>
      </c>
      <c r="AS228" s="76">
        <v>10325</v>
      </c>
      <c r="AT228" s="76">
        <v>656</v>
      </c>
      <c r="AU228" s="76">
        <v>241743</v>
      </c>
      <c r="AV228" s="76">
        <v>0</v>
      </c>
      <c r="AW228" s="76">
        <v>12974</v>
      </c>
      <c r="AX228" s="76">
        <v>-29568</v>
      </c>
      <c r="AY228" s="76">
        <v>0</v>
      </c>
      <c r="AZ228" s="76">
        <v>3915</v>
      </c>
      <c r="BA228" s="76">
        <v>2393</v>
      </c>
      <c r="BB228" s="76">
        <v>0</v>
      </c>
      <c r="BC228" s="76">
        <v>0</v>
      </c>
      <c r="BD228" s="76">
        <v>0</v>
      </c>
      <c r="BE228" s="76">
        <v>231457</v>
      </c>
      <c r="BF228" s="76">
        <v>0</v>
      </c>
      <c r="BG228" s="76">
        <v>44242</v>
      </c>
      <c r="BH228" s="76">
        <v>6008</v>
      </c>
      <c r="BI228" s="76">
        <v>0</v>
      </c>
      <c r="BJ228" s="76">
        <v>0</v>
      </c>
      <c r="BK228" s="76">
        <v>50250</v>
      </c>
      <c r="BL228" s="76">
        <v>0</v>
      </c>
      <c r="BM228" s="76">
        <v>0</v>
      </c>
      <c r="BN228" s="76">
        <v>55</v>
      </c>
      <c r="BO228" s="76">
        <v>15189</v>
      </c>
      <c r="BP228" s="76">
        <v>15244</v>
      </c>
      <c r="BQ228" s="76">
        <v>35006</v>
      </c>
      <c r="BR228" s="76">
        <v>266463</v>
      </c>
      <c r="BS228" s="76">
        <v>132158</v>
      </c>
      <c r="BT228" s="76">
        <v>0</v>
      </c>
      <c r="BU228" s="76">
        <v>94</v>
      </c>
      <c r="BV228" s="76">
        <v>4197</v>
      </c>
      <c r="BW228" s="76">
        <v>0</v>
      </c>
      <c r="BX228" s="76">
        <v>29883</v>
      </c>
      <c r="BY228" s="76">
        <v>0</v>
      </c>
      <c r="BZ228" s="76">
        <v>166332</v>
      </c>
      <c r="CA228" s="76">
        <v>464</v>
      </c>
      <c r="CB228" s="76">
        <v>0</v>
      </c>
      <c r="CC228" s="76">
        <v>99667</v>
      </c>
      <c r="CD228" s="76">
        <v>33398</v>
      </c>
      <c r="CE228" s="76">
        <v>96150</v>
      </c>
      <c r="CF228" s="76">
        <v>0</v>
      </c>
      <c r="CG228" s="76">
        <v>-29881</v>
      </c>
      <c r="CH228" s="76">
        <v>0</v>
      </c>
      <c r="CI228" s="76">
        <v>99667</v>
      </c>
      <c r="CJ228" s="76">
        <v>1651</v>
      </c>
      <c r="CK228" s="76">
        <v>1049</v>
      </c>
      <c r="CL228" s="76">
        <v>0</v>
      </c>
      <c r="CM228" s="76">
        <v>602</v>
      </c>
      <c r="CN228" s="76">
        <v>38</v>
      </c>
      <c r="CO228" s="76">
        <v>0</v>
      </c>
      <c r="CP228" s="76">
        <v>38</v>
      </c>
      <c r="CQ228" s="76">
        <v>0</v>
      </c>
      <c r="CR228" s="76">
        <v>0</v>
      </c>
      <c r="CS228" s="76">
        <v>0</v>
      </c>
      <c r="CT228" s="76">
        <v>0</v>
      </c>
      <c r="CU228" s="76">
        <v>0</v>
      </c>
      <c r="CV228" s="76">
        <v>0</v>
      </c>
      <c r="CW228" s="76">
        <v>0</v>
      </c>
      <c r="CX228" s="76">
        <v>0</v>
      </c>
      <c r="CY228" s="76">
        <v>0</v>
      </c>
      <c r="CZ228" s="76">
        <v>610</v>
      </c>
      <c r="DA228" s="76">
        <v>0</v>
      </c>
      <c r="DB228" s="76">
        <v>890</v>
      </c>
      <c r="DC228" s="76">
        <v>-280</v>
      </c>
      <c r="DD228" s="76">
        <v>2299</v>
      </c>
      <c r="DE228" s="76">
        <v>1049</v>
      </c>
      <c r="DF228" s="76">
        <v>928</v>
      </c>
      <c r="DG228" s="76">
        <v>322</v>
      </c>
      <c r="DH228" s="76">
        <v>0</v>
      </c>
      <c r="DI228" s="76">
        <v>0</v>
      </c>
      <c r="DJ228" s="76">
        <v>0</v>
      </c>
      <c r="DK228" s="76">
        <v>0</v>
      </c>
      <c r="DL228" s="76">
        <v>0</v>
      </c>
      <c r="DM228" s="76">
        <v>0</v>
      </c>
      <c r="DN228" s="76">
        <v>0</v>
      </c>
      <c r="DO228" s="76">
        <v>0</v>
      </c>
      <c r="DP228" s="76">
        <v>0</v>
      </c>
      <c r="DQ228" s="76">
        <v>0</v>
      </c>
      <c r="DR228" s="76">
        <v>0</v>
      </c>
      <c r="DS228" s="76">
        <v>0</v>
      </c>
      <c r="DT228" s="76">
        <v>1211</v>
      </c>
      <c r="DU228" s="76">
        <v>0</v>
      </c>
      <c r="DV228" s="76">
        <v>602</v>
      </c>
      <c r="DW228" s="76">
        <v>609</v>
      </c>
      <c r="DX228" s="76">
        <v>0</v>
      </c>
      <c r="DY228" s="76">
        <v>0</v>
      </c>
      <c r="DZ228" s="76">
        <v>0</v>
      </c>
      <c r="EA228" s="76">
        <v>0</v>
      </c>
      <c r="EB228" s="76">
        <v>143</v>
      </c>
      <c r="EC228" s="76">
        <v>0</v>
      </c>
      <c r="ED228" s="76">
        <v>124</v>
      </c>
      <c r="EE228" s="76">
        <v>19</v>
      </c>
      <c r="EF228" s="76">
        <v>1354</v>
      </c>
      <c r="EG228" s="76">
        <v>0</v>
      </c>
      <c r="EH228" s="76">
        <v>726</v>
      </c>
      <c r="EI228" s="76">
        <v>628</v>
      </c>
      <c r="EJ228" s="76">
        <v>3653</v>
      </c>
      <c r="EK228" s="76">
        <v>1049</v>
      </c>
      <c r="EL228" s="76">
        <v>1654</v>
      </c>
      <c r="EM228" s="76">
        <v>950</v>
      </c>
      <c r="EN228" s="76">
        <v>621</v>
      </c>
      <c r="EO228" s="76">
        <v>200</v>
      </c>
      <c r="EP228" s="76">
        <v>280</v>
      </c>
      <c r="EQ228" s="76">
        <v>200</v>
      </c>
      <c r="ER228" s="76">
        <v>227226</v>
      </c>
      <c r="ES228" s="76">
        <v>0</v>
      </c>
      <c r="ET228" s="76">
        <v>227226</v>
      </c>
      <c r="EU228" s="76">
        <v>28385</v>
      </c>
      <c r="EV228" s="76">
        <v>-2199</v>
      </c>
      <c r="EW228" s="76">
        <v>0</v>
      </c>
      <c r="EX228" s="76">
        <v>0</v>
      </c>
      <c r="EY228" s="76">
        <v>0</v>
      </c>
      <c r="EZ228" s="76">
        <v>253412</v>
      </c>
      <c r="FA228" s="76">
        <v>7592</v>
      </c>
      <c r="FB228" s="76">
        <v>4244</v>
      </c>
      <c r="FC228" s="76">
        <v>0</v>
      </c>
      <c r="FD228" s="76">
        <v>0</v>
      </c>
      <c r="FE228" s="76">
        <v>-167</v>
      </c>
      <c r="FF228" s="76">
        <v>0</v>
      </c>
      <c r="FG228" s="76">
        <v>0</v>
      </c>
      <c r="FH228" s="76">
        <v>11669</v>
      </c>
      <c r="FI228" s="76">
        <v>241743</v>
      </c>
      <c r="FJ228" s="76">
        <v>219634</v>
      </c>
      <c r="FK228" s="76">
        <v>345</v>
      </c>
      <c r="FL228" s="76">
        <v>464</v>
      </c>
      <c r="FM228" s="76">
        <v>-119</v>
      </c>
      <c r="FN228" s="76">
        <v>4123</v>
      </c>
      <c r="FO228" s="76">
        <v>4084</v>
      </c>
      <c r="FP228" s="76">
        <v>39</v>
      </c>
      <c r="FQ228" s="76">
        <v>883</v>
      </c>
      <c r="FR228" s="76">
        <v>865</v>
      </c>
      <c r="FS228" s="76">
        <v>18</v>
      </c>
      <c r="FT228" s="76">
        <v>1651</v>
      </c>
      <c r="FU228" s="76">
        <v>1049</v>
      </c>
      <c r="FV228" s="76">
        <v>602</v>
      </c>
      <c r="FW228" s="76">
        <v>0</v>
      </c>
      <c r="FX228" s="76">
        <v>0</v>
      </c>
      <c r="FY228" s="76">
        <v>0</v>
      </c>
      <c r="FZ228" s="76">
        <v>22</v>
      </c>
      <c r="GA228" s="76">
        <v>1332</v>
      </c>
      <c r="GB228" s="76">
        <v>-1310</v>
      </c>
      <c r="GC228" s="76">
        <v>7024</v>
      </c>
      <c r="GD228" s="76">
        <v>7794</v>
      </c>
      <c r="GE228" s="76">
        <v>-770</v>
      </c>
      <c r="GF228" s="76">
        <v>0</v>
      </c>
      <c r="GG228" s="76">
        <v>0</v>
      </c>
      <c r="GH228" s="76">
        <v>0</v>
      </c>
      <c r="GI228" s="76">
        <v>0</v>
      </c>
      <c r="GJ228" s="76">
        <v>0</v>
      </c>
      <c r="GK228" s="76">
        <v>0</v>
      </c>
      <c r="GL228" s="76">
        <v>0</v>
      </c>
      <c r="GM228" s="76">
        <v>7952</v>
      </c>
      <c r="GN228" s="76">
        <v>987</v>
      </c>
      <c r="GO228" s="76">
        <v>0</v>
      </c>
      <c r="GP228" s="76">
        <v>0</v>
      </c>
      <c r="GQ228" s="76">
        <v>0</v>
      </c>
      <c r="GR228" s="76">
        <v>3037</v>
      </c>
      <c r="GS228" s="76">
        <v>5</v>
      </c>
      <c r="GT228" s="76">
        <v>0</v>
      </c>
      <c r="GU228" s="76">
        <v>48</v>
      </c>
      <c r="GV228" s="76">
        <v>0</v>
      </c>
      <c r="GW228" s="76">
        <v>3160</v>
      </c>
      <c r="GX228" s="76">
        <v>15189</v>
      </c>
      <c r="GY228" s="76">
        <v>0</v>
      </c>
      <c r="GZ228" s="76">
        <v>0</v>
      </c>
      <c r="HA228" s="76">
        <v>0</v>
      </c>
      <c r="HB228" s="76">
        <v>0</v>
      </c>
      <c r="HC228" s="76">
        <v>0</v>
      </c>
      <c r="HD228" s="76">
        <v>0</v>
      </c>
      <c r="HE228" s="76">
        <v>0</v>
      </c>
      <c r="HF228" s="76">
        <v>0</v>
      </c>
      <c r="HG228" s="76">
        <v>3819</v>
      </c>
      <c r="HH228" s="76">
        <v>48</v>
      </c>
      <c r="HI228" s="76">
        <v>0</v>
      </c>
      <c r="HJ228" s="76">
        <v>0</v>
      </c>
      <c r="HK228" s="76">
        <v>11</v>
      </c>
      <c r="HL228" s="76">
        <v>-322</v>
      </c>
      <c r="HM228" s="76">
        <v>3556</v>
      </c>
      <c r="HN228" s="76">
        <v>4663</v>
      </c>
      <c r="HO228" s="76">
        <v>4666</v>
      </c>
      <c r="HP228" s="76">
        <v>0</v>
      </c>
      <c r="HQ228" s="76">
        <v>82</v>
      </c>
      <c r="HR228" s="76">
        <v>-44</v>
      </c>
      <c r="HS228" s="76">
        <v>0</v>
      </c>
      <c r="HT228" s="76">
        <v>4768</v>
      </c>
      <c r="HU228" s="76">
        <v>0</v>
      </c>
      <c r="HV228" s="76">
        <v>-4</v>
      </c>
      <c r="HW228" s="76">
        <v>0</v>
      </c>
      <c r="HX228" s="76">
        <v>32</v>
      </c>
    </row>
    <row r="229" spans="1:232" x14ac:dyDescent="0.2">
      <c r="A229" s="74" t="s">
        <v>828</v>
      </c>
      <c r="B229" s="74" t="s">
        <v>827</v>
      </c>
      <c r="C229" s="75" t="s">
        <v>200</v>
      </c>
      <c r="D229" s="75">
        <v>12</v>
      </c>
      <c r="E229" s="76">
        <v>15989</v>
      </c>
      <c r="F229" s="76">
        <v>0</v>
      </c>
      <c r="G229" s="76">
        <v>-11614</v>
      </c>
      <c r="H229" s="76">
        <v>4375</v>
      </c>
      <c r="I229" s="76">
        <v>381</v>
      </c>
      <c r="J229" s="76">
        <v>0</v>
      </c>
      <c r="K229" s="76">
        <v>0</v>
      </c>
      <c r="L229" s="76">
        <v>0</v>
      </c>
      <c r="M229" s="76">
        <v>12</v>
      </c>
      <c r="N229" s="76">
        <v>-661</v>
      </c>
      <c r="O229" s="76">
        <v>0</v>
      </c>
      <c r="P229" s="76">
        <v>0</v>
      </c>
      <c r="Q229" s="76">
        <v>0</v>
      </c>
      <c r="R229" s="76">
        <v>0</v>
      </c>
      <c r="S229" s="76">
        <v>4107</v>
      </c>
      <c r="T229" s="76">
        <v>-2</v>
      </c>
      <c r="U229" s="76">
        <v>4105</v>
      </c>
      <c r="V229" s="76">
        <v>0</v>
      </c>
      <c r="W229" s="76">
        <v>-2305</v>
      </c>
      <c r="X229" s="76">
        <v>0</v>
      </c>
      <c r="Y229" s="76">
        <v>0</v>
      </c>
      <c r="Z229" s="76">
        <v>1800</v>
      </c>
      <c r="AA229" s="76">
        <v>12134</v>
      </c>
      <c r="AB229" s="76">
        <v>1924</v>
      </c>
      <c r="AC229" s="76">
        <v>14058</v>
      </c>
      <c r="AD229" s="76">
        <v>588</v>
      </c>
      <c r="AE229" s="76">
        <v>0</v>
      </c>
      <c r="AF229" s="76">
        <v>0</v>
      </c>
      <c r="AG229" s="76">
        <v>0</v>
      </c>
      <c r="AH229" s="76">
        <v>14646</v>
      </c>
      <c r="AI229" s="76">
        <v>2081</v>
      </c>
      <c r="AJ229" s="76">
        <v>2313</v>
      </c>
      <c r="AK229" s="76">
        <v>3100</v>
      </c>
      <c r="AL229" s="76">
        <v>1183</v>
      </c>
      <c r="AM229" s="76">
        <v>0</v>
      </c>
      <c r="AN229" s="76">
        <v>54</v>
      </c>
      <c r="AO229" s="76">
        <v>2138</v>
      </c>
      <c r="AP229" s="76">
        <v>0</v>
      </c>
      <c r="AQ229" s="76">
        <v>0</v>
      </c>
      <c r="AR229" s="76">
        <v>10869</v>
      </c>
      <c r="AS229" s="76">
        <v>3777</v>
      </c>
      <c r="AT229" s="76">
        <v>187</v>
      </c>
      <c r="AU229" s="76">
        <v>44844</v>
      </c>
      <c r="AV229" s="76">
        <v>0</v>
      </c>
      <c r="AW229" s="76">
        <v>2751</v>
      </c>
      <c r="AX229" s="76">
        <v>0</v>
      </c>
      <c r="AY229" s="76">
        <v>0</v>
      </c>
      <c r="AZ229" s="76">
        <v>0</v>
      </c>
      <c r="BA229" s="76">
        <v>0</v>
      </c>
      <c r="BB229" s="76">
        <v>0</v>
      </c>
      <c r="BC229" s="76">
        <v>0</v>
      </c>
      <c r="BD229" s="76">
        <v>0</v>
      </c>
      <c r="BE229" s="76">
        <v>47595</v>
      </c>
      <c r="BF229" s="76">
        <v>0</v>
      </c>
      <c r="BG229" s="76">
        <v>1509</v>
      </c>
      <c r="BH229" s="76">
        <v>9182</v>
      </c>
      <c r="BI229" s="76">
        <v>0</v>
      </c>
      <c r="BJ229" s="76">
        <v>30</v>
      </c>
      <c r="BK229" s="76">
        <v>10721</v>
      </c>
      <c r="BL229" s="76">
        <v>0</v>
      </c>
      <c r="BM229" s="76">
        <v>0</v>
      </c>
      <c r="BN229" s="76">
        <v>540</v>
      </c>
      <c r="BO229" s="76">
        <v>4697</v>
      </c>
      <c r="BP229" s="76">
        <v>5237</v>
      </c>
      <c r="BQ229" s="76">
        <v>5484</v>
      </c>
      <c r="BR229" s="76">
        <v>53079</v>
      </c>
      <c r="BS229" s="76">
        <v>10231</v>
      </c>
      <c r="BT229" s="76">
        <v>0</v>
      </c>
      <c r="BU229" s="76">
        <v>0</v>
      </c>
      <c r="BV229" s="76">
        <v>15038</v>
      </c>
      <c r="BW229" s="76">
        <v>0</v>
      </c>
      <c r="BX229" s="76">
        <v>0</v>
      </c>
      <c r="BY229" s="76">
        <v>0</v>
      </c>
      <c r="BZ229" s="76">
        <v>25269</v>
      </c>
      <c r="CA229" s="76">
        <v>4993</v>
      </c>
      <c r="CB229" s="76">
        <v>0</v>
      </c>
      <c r="CC229" s="76">
        <v>22817</v>
      </c>
      <c r="CD229" s="76">
        <v>22812</v>
      </c>
      <c r="CE229" s="76">
        <v>0</v>
      </c>
      <c r="CF229" s="76">
        <v>0</v>
      </c>
      <c r="CG229" s="76">
        <v>0</v>
      </c>
      <c r="CH229" s="76">
        <v>5</v>
      </c>
      <c r="CI229" s="76">
        <v>22817</v>
      </c>
      <c r="CJ229" s="76">
        <v>0</v>
      </c>
      <c r="CK229" s="76">
        <v>0</v>
      </c>
      <c r="CL229" s="76">
        <v>0</v>
      </c>
      <c r="CM229" s="76">
        <v>0</v>
      </c>
      <c r="CN229" s="76">
        <v>0</v>
      </c>
      <c r="CO229" s="76">
        <v>0</v>
      </c>
      <c r="CP229" s="76">
        <v>0</v>
      </c>
      <c r="CQ229" s="76">
        <v>0</v>
      </c>
      <c r="CR229" s="76">
        <v>0</v>
      </c>
      <c r="CS229" s="76">
        <v>0</v>
      </c>
      <c r="CT229" s="76">
        <v>0</v>
      </c>
      <c r="CU229" s="76">
        <v>0</v>
      </c>
      <c r="CV229" s="76">
        <v>0</v>
      </c>
      <c r="CW229" s="76">
        <v>0</v>
      </c>
      <c r="CX229" s="76">
        <v>0</v>
      </c>
      <c r="CY229" s="76">
        <v>0</v>
      </c>
      <c r="CZ229" s="76">
        <v>1222</v>
      </c>
      <c r="DA229" s="76">
        <v>0</v>
      </c>
      <c r="DB229" s="76">
        <v>729</v>
      </c>
      <c r="DC229" s="76">
        <v>493</v>
      </c>
      <c r="DD229" s="76">
        <v>1222</v>
      </c>
      <c r="DE229" s="76">
        <v>0</v>
      </c>
      <c r="DF229" s="76">
        <v>729</v>
      </c>
      <c r="DG229" s="76">
        <v>493</v>
      </c>
      <c r="DH229" s="76">
        <v>0</v>
      </c>
      <c r="DI229" s="76">
        <v>0</v>
      </c>
      <c r="DJ229" s="76">
        <v>0</v>
      </c>
      <c r="DK229" s="76">
        <v>0</v>
      </c>
      <c r="DL229" s="76">
        <v>0</v>
      </c>
      <c r="DM229" s="76">
        <v>0</v>
      </c>
      <c r="DN229" s="76">
        <v>0</v>
      </c>
      <c r="DO229" s="76">
        <v>0</v>
      </c>
      <c r="DP229" s="76">
        <v>0</v>
      </c>
      <c r="DQ229" s="76">
        <v>0</v>
      </c>
      <c r="DR229" s="76">
        <v>0</v>
      </c>
      <c r="DS229" s="76">
        <v>0</v>
      </c>
      <c r="DT229" s="76">
        <v>0</v>
      </c>
      <c r="DU229" s="76">
        <v>0</v>
      </c>
      <c r="DV229" s="76">
        <v>0</v>
      </c>
      <c r="DW229" s="76">
        <v>0</v>
      </c>
      <c r="DX229" s="76">
        <v>0</v>
      </c>
      <c r="DY229" s="76">
        <v>0</v>
      </c>
      <c r="DZ229" s="76">
        <v>0</v>
      </c>
      <c r="EA229" s="76">
        <v>0</v>
      </c>
      <c r="EB229" s="76">
        <v>121</v>
      </c>
      <c r="EC229" s="76">
        <v>0</v>
      </c>
      <c r="ED229" s="76">
        <v>16</v>
      </c>
      <c r="EE229" s="76">
        <v>105</v>
      </c>
      <c r="EF229" s="76">
        <v>121</v>
      </c>
      <c r="EG229" s="76">
        <v>0</v>
      </c>
      <c r="EH229" s="76">
        <v>16</v>
      </c>
      <c r="EI229" s="76">
        <v>105</v>
      </c>
      <c r="EJ229" s="76">
        <v>1343</v>
      </c>
      <c r="EK229" s="76">
        <v>0</v>
      </c>
      <c r="EL229" s="76">
        <v>745</v>
      </c>
      <c r="EM229" s="76">
        <v>598</v>
      </c>
      <c r="EN229" s="76">
        <v>407</v>
      </c>
      <c r="EO229" s="76">
        <v>120</v>
      </c>
      <c r="EP229" s="76">
        <v>144</v>
      </c>
      <c r="EQ229" s="76">
        <v>120</v>
      </c>
      <c r="ER229" s="76">
        <v>52078</v>
      </c>
      <c r="ES229" s="76">
        <v>0</v>
      </c>
      <c r="ET229" s="76">
        <v>52078</v>
      </c>
      <c r="EU229" s="76">
        <v>4941</v>
      </c>
      <c r="EV229" s="76">
        <v>-174</v>
      </c>
      <c r="EW229" s="76">
        <v>0</v>
      </c>
      <c r="EX229" s="76">
        <v>0</v>
      </c>
      <c r="EY229" s="76">
        <v>0</v>
      </c>
      <c r="EZ229" s="76">
        <v>56845</v>
      </c>
      <c r="FA229" s="76">
        <v>9913</v>
      </c>
      <c r="FB229" s="76">
        <v>2138</v>
      </c>
      <c r="FC229" s="76">
        <v>0</v>
      </c>
      <c r="FD229" s="76">
        <v>0</v>
      </c>
      <c r="FE229" s="76">
        <v>-50</v>
      </c>
      <c r="FF229" s="76">
        <v>0</v>
      </c>
      <c r="FG229" s="76">
        <v>0</v>
      </c>
      <c r="FH229" s="76">
        <v>12001</v>
      </c>
      <c r="FI229" s="76">
        <v>44844</v>
      </c>
      <c r="FJ229" s="76">
        <v>42165</v>
      </c>
      <c r="FK229" s="76">
        <v>0</v>
      </c>
      <c r="FL229" s="76">
        <v>0</v>
      </c>
      <c r="FM229" s="76">
        <v>0</v>
      </c>
      <c r="FN229" s="76">
        <v>313</v>
      </c>
      <c r="FO229" s="76">
        <v>105</v>
      </c>
      <c r="FP229" s="76">
        <v>208</v>
      </c>
      <c r="FQ229" s="76">
        <v>192</v>
      </c>
      <c r="FR229" s="76">
        <v>19</v>
      </c>
      <c r="FS229" s="76">
        <v>173</v>
      </c>
      <c r="FT229" s="76">
        <v>0</v>
      </c>
      <c r="FU229" s="76">
        <v>0</v>
      </c>
      <c r="FV229" s="76">
        <v>0</v>
      </c>
      <c r="FW229" s="76">
        <v>0</v>
      </c>
      <c r="FX229" s="76">
        <v>0</v>
      </c>
      <c r="FY229" s="76">
        <v>0</v>
      </c>
      <c r="FZ229" s="76">
        <v>0</v>
      </c>
      <c r="GA229" s="76">
        <v>0</v>
      </c>
      <c r="GB229" s="76">
        <v>0</v>
      </c>
      <c r="GC229" s="76">
        <v>505</v>
      </c>
      <c r="GD229" s="76">
        <v>124</v>
      </c>
      <c r="GE229" s="76">
        <v>381</v>
      </c>
      <c r="GF229" s="76">
        <v>0</v>
      </c>
      <c r="GG229" s="76">
        <v>0</v>
      </c>
      <c r="GH229" s="76">
        <v>0</v>
      </c>
      <c r="GI229" s="76">
        <v>0</v>
      </c>
      <c r="GJ229" s="76">
        <v>0</v>
      </c>
      <c r="GK229" s="76">
        <v>30</v>
      </c>
      <c r="GL229" s="76">
        <v>30</v>
      </c>
      <c r="GM229" s="76">
        <v>1179</v>
      </c>
      <c r="GN229" s="76">
        <v>396</v>
      </c>
      <c r="GO229" s="76">
        <v>0</v>
      </c>
      <c r="GP229" s="76">
        <v>0</v>
      </c>
      <c r="GQ229" s="76">
        <v>0</v>
      </c>
      <c r="GR229" s="76">
        <v>2986</v>
      </c>
      <c r="GS229" s="76">
        <v>0</v>
      </c>
      <c r="GT229" s="76">
        <v>0</v>
      </c>
      <c r="GU229" s="76">
        <v>0</v>
      </c>
      <c r="GV229" s="76">
        <v>0</v>
      </c>
      <c r="GW229" s="76">
        <v>136</v>
      </c>
      <c r="GX229" s="76">
        <v>4697</v>
      </c>
      <c r="GY229" s="76">
        <v>0</v>
      </c>
      <c r="GZ229" s="76">
        <v>0</v>
      </c>
      <c r="HA229" s="76">
        <v>0</v>
      </c>
      <c r="HB229" s="76">
        <v>0</v>
      </c>
      <c r="HC229" s="76">
        <v>0</v>
      </c>
      <c r="HD229" s="76">
        <v>0</v>
      </c>
      <c r="HE229" s="76">
        <v>0</v>
      </c>
      <c r="HF229" s="76">
        <v>0</v>
      </c>
      <c r="HG229" s="76">
        <v>526</v>
      </c>
      <c r="HH229" s="76">
        <v>48</v>
      </c>
      <c r="HI229" s="76">
        <v>87</v>
      </c>
      <c r="HJ229" s="76">
        <v>0</v>
      </c>
      <c r="HK229" s="76">
        <v>0</v>
      </c>
      <c r="HL229" s="76">
        <v>0</v>
      </c>
      <c r="HM229" s="76">
        <v>661</v>
      </c>
      <c r="HN229" s="76">
        <v>4941</v>
      </c>
      <c r="HO229" s="76">
        <v>2308</v>
      </c>
      <c r="HP229" s="76">
        <v>0</v>
      </c>
      <c r="HQ229" s="76">
        <v>0</v>
      </c>
      <c r="HR229" s="76">
        <v>-11</v>
      </c>
      <c r="HS229" s="76">
        <v>1</v>
      </c>
      <c r="HT229" s="76">
        <v>2698</v>
      </c>
      <c r="HU229" s="76">
        <v>0</v>
      </c>
      <c r="HV229" s="76">
        <v>0</v>
      </c>
      <c r="HW229" s="76">
        <v>0</v>
      </c>
      <c r="HX229" s="76">
        <v>0</v>
      </c>
    </row>
    <row r="230" spans="1:232" x14ac:dyDescent="0.2">
      <c r="A230" s="74" t="s">
        <v>829</v>
      </c>
      <c r="B230" s="74" t="s">
        <v>830</v>
      </c>
      <c r="C230" s="75" t="s">
        <v>200</v>
      </c>
      <c r="D230" s="75">
        <v>12</v>
      </c>
      <c r="E230" s="76">
        <v>32098</v>
      </c>
      <c r="F230" s="76">
        <v>0</v>
      </c>
      <c r="G230" s="76">
        <v>-21688</v>
      </c>
      <c r="H230" s="76">
        <v>10410</v>
      </c>
      <c r="I230" s="76">
        <v>790</v>
      </c>
      <c r="J230" s="76">
        <v>0</v>
      </c>
      <c r="K230" s="76">
        <v>0</v>
      </c>
      <c r="L230" s="76">
        <v>0</v>
      </c>
      <c r="M230" s="76">
        <v>38</v>
      </c>
      <c r="N230" s="76">
        <v>-3463</v>
      </c>
      <c r="O230" s="76">
        <v>0</v>
      </c>
      <c r="P230" s="76">
        <v>0</v>
      </c>
      <c r="Q230" s="76">
        <v>0</v>
      </c>
      <c r="R230" s="76">
        <v>0</v>
      </c>
      <c r="S230" s="76">
        <v>7775</v>
      </c>
      <c r="T230" s="76">
        <v>3</v>
      </c>
      <c r="U230" s="76">
        <v>7778</v>
      </c>
      <c r="V230" s="76">
        <v>0</v>
      </c>
      <c r="W230" s="76">
        <v>-6588</v>
      </c>
      <c r="X230" s="76">
        <v>0</v>
      </c>
      <c r="Y230" s="76">
        <v>0</v>
      </c>
      <c r="Z230" s="76">
        <v>1190</v>
      </c>
      <c r="AA230" s="76">
        <v>29594</v>
      </c>
      <c r="AB230" s="76">
        <v>770</v>
      </c>
      <c r="AC230" s="76">
        <v>30364</v>
      </c>
      <c r="AD230" s="76">
        <v>100</v>
      </c>
      <c r="AE230" s="76">
        <v>0</v>
      </c>
      <c r="AF230" s="76">
        <v>30</v>
      </c>
      <c r="AG230" s="76">
        <v>0</v>
      </c>
      <c r="AH230" s="76">
        <v>30494</v>
      </c>
      <c r="AI230" s="76">
        <v>4839</v>
      </c>
      <c r="AJ230" s="76">
        <v>1642</v>
      </c>
      <c r="AK230" s="76">
        <v>4655</v>
      </c>
      <c r="AL230" s="76">
        <v>3684</v>
      </c>
      <c r="AM230" s="76">
        <v>1911</v>
      </c>
      <c r="AN230" s="76">
        <v>45</v>
      </c>
      <c r="AO230" s="76">
        <v>2683</v>
      </c>
      <c r="AP230" s="76">
        <v>0</v>
      </c>
      <c r="AQ230" s="76">
        <v>0</v>
      </c>
      <c r="AR230" s="76">
        <v>19459</v>
      </c>
      <c r="AS230" s="76">
        <v>11035</v>
      </c>
      <c r="AT230" s="76">
        <v>380</v>
      </c>
      <c r="AU230" s="76">
        <v>93517</v>
      </c>
      <c r="AV230" s="76">
        <v>0</v>
      </c>
      <c r="AW230" s="76">
        <v>4623</v>
      </c>
      <c r="AX230" s="76">
        <v>0</v>
      </c>
      <c r="AY230" s="76">
        <v>0</v>
      </c>
      <c r="AZ230" s="76">
        <v>0</v>
      </c>
      <c r="BA230" s="76">
        <v>0</v>
      </c>
      <c r="BB230" s="76">
        <v>0</v>
      </c>
      <c r="BC230" s="76">
        <v>0</v>
      </c>
      <c r="BD230" s="76">
        <v>0</v>
      </c>
      <c r="BE230" s="76">
        <v>98140</v>
      </c>
      <c r="BF230" s="76">
        <v>238</v>
      </c>
      <c r="BG230" s="76">
        <v>1473</v>
      </c>
      <c r="BH230" s="76">
        <v>15713</v>
      </c>
      <c r="BI230" s="76">
        <v>0</v>
      </c>
      <c r="BJ230" s="76">
        <v>96</v>
      </c>
      <c r="BK230" s="76">
        <v>17520</v>
      </c>
      <c r="BL230" s="76">
        <v>4663</v>
      </c>
      <c r="BM230" s="76">
        <v>0</v>
      </c>
      <c r="BN230" s="76">
        <v>141</v>
      </c>
      <c r="BO230" s="76">
        <v>4451</v>
      </c>
      <c r="BP230" s="76">
        <v>9255</v>
      </c>
      <c r="BQ230" s="76">
        <v>8265</v>
      </c>
      <c r="BR230" s="76">
        <v>106405</v>
      </c>
      <c r="BS230" s="76">
        <v>73398</v>
      </c>
      <c r="BT230" s="76">
        <v>0</v>
      </c>
      <c r="BU230" s="76">
        <v>61</v>
      </c>
      <c r="BV230" s="76">
        <v>7779</v>
      </c>
      <c r="BW230" s="76">
        <v>0</v>
      </c>
      <c r="BX230" s="76">
        <v>0</v>
      </c>
      <c r="BY230" s="76">
        <v>604</v>
      </c>
      <c r="BZ230" s="76">
        <v>81842</v>
      </c>
      <c r="CA230" s="76">
        <v>10829</v>
      </c>
      <c r="CB230" s="76">
        <v>0</v>
      </c>
      <c r="CC230" s="76">
        <v>13734</v>
      </c>
      <c r="CD230" s="76">
        <v>13690</v>
      </c>
      <c r="CE230" s="76">
        <v>0</v>
      </c>
      <c r="CF230" s="76">
        <v>44</v>
      </c>
      <c r="CG230" s="76">
        <v>0</v>
      </c>
      <c r="CH230" s="76">
        <v>0</v>
      </c>
      <c r="CI230" s="76">
        <v>13734</v>
      </c>
      <c r="CJ230" s="76">
        <v>0</v>
      </c>
      <c r="CK230" s="76">
        <v>0</v>
      </c>
      <c r="CL230" s="76">
        <v>0</v>
      </c>
      <c r="CM230" s="76">
        <v>0</v>
      </c>
      <c r="CN230" s="76">
        <v>0</v>
      </c>
      <c r="CO230" s="76">
        <v>0</v>
      </c>
      <c r="CP230" s="76">
        <v>0</v>
      </c>
      <c r="CQ230" s="76">
        <v>0</v>
      </c>
      <c r="CR230" s="76">
        <v>0</v>
      </c>
      <c r="CS230" s="76">
        <v>0</v>
      </c>
      <c r="CT230" s="76">
        <v>0</v>
      </c>
      <c r="CU230" s="76">
        <v>0</v>
      </c>
      <c r="CV230" s="76">
        <v>79</v>
      </c>
      <c r="CW230" s="76">
        <v>0</v>
      </c>
      <c r="CX230" s="76">
        <v>1387</v>
      </c>
      <c r="CY230" s="76">
        <v>-1308</v>
      </c>
      <c r="CZ230" s="76">
        <v>0</v>
      </c>
      <c r="DA230" s="76">
        <v>0</v>
      </c>
      <c r="DB230" s="76">
        <v>0</v>
      </c>
      <c r="DC230" s="76">
        <v>0</v>
      </c>
      <c r="DD230" s="76">
        <v>79</v>
      </c>
      <c r="DE230" s="76">
        <v>0</v>
      </c>
      <c r="DF230" s="76">
        <v>1387</v>
      </c>
      <c r="DG230" s="76">
        <v>-1308</v>
      </c>
      <c r="DH230" s="76">
        <v>0</v>
      </c>
      <c r="DI230" s="76">
        <v>0</v>
      </c>
      <c r="DJ230" s="76">
        <v>0</v>
      </c>
      <c r="DK230" s="76">
        <v>0</v>
      </c>
      <c r="DL230" s="76">
        <v>0</v>
      </c>
      <c r="DM230" s="76">
        <v>0</v>
      </c>
      <c r="DN230" s="76">
        <v>0</v>
      </c>
      <c r="DO230" s="76">
        <v>0</v>
      </c>
      <c r="DP230" s="76">
        <v>0</v>
      </c>
      <c r="DQ230" s="76">
        <v>0</v>
      </c>
      <c r="DR230" s="76">
        <v>0</v>
      </c>
      <c r="DS230" s="76">
        <v>0</v>
      </c>
      <c r="DT230" s="76">
        <v>0</v>
      </c>
      <c r="DU230" s="76">
        <v>0</v>
      </c>
      <c r="DV230" s="76">
        <v>0</v>
      </c>
      <c r="DW230" s="76">
        <v>0</v>
      </c>
      <c r="DX230" s="76">
        <v>0</v>
      </c>
      <c r="DY230" s="76">
        <v>0</v>
      </c>
      <c r="DZ230" s="76">
        <v>0</v>
      </c>
      <c r="EA230" s="76">
        <v>0</v>
      </c>
      <c r="EB230" s="76">
        <v>1525</v>
      </c>
      <c r="EC230" s="76">
        <v>0</v>
      </c>
      <c r="ED230" s="76">
        <v>842</v>
      </c>
      <c r="EE230" s="76">
        <v>683</v>
      </c>
      <c r="EF230" s="76">
        <v>1525</v>
      </c>
      <c r="EG230" s="76">
        <v>0</v>
      </c>
      <c r="EH230" s="76">
        <v>842</v>
      </c>
      <c r="EI230" s="76">
        <v>683</v>
      </c>
      <c r="EJ230" s="76">
        <v>1604</v>
      </c>
      <c r="EK230" s="76">
        <v>0</v>
      </c>
      <c r="EL230" s="76">
        <v>2229</v>
      </c>
      <c r="EM230" s="76">
        <v>-625</v>
      </c>
      <c r="EN230" s="76">
        <v>631</v>
      </c>
      <c r="EO230" s="76">
        <v>650</v>
      </c>
      <c r="EP230" s="76">
        <v>631</v>
      </c>
      <c r="EQ230" s="76">
        <v>650</v>
      </c>
      <c r="ER230" s="76">
        <v>111882</v>
      </c>
      <c r="ES230" s="76">
        <v>0</v>
      </c>
      <c r="ET230" s="76">
        <v>111882</v>
      </c>
      <c r="EU230" s="76">
        <v>3303</v>
      </c>
      <c r="EV230" s="76">
        <v>-521</v>
      </c>
      <c r="EW230" s="76">
        <v>0</v>
      </c>
      <c r="EX230" s="76">
        <v>0</v>
      </c>
      <c r="EY230" s="76">
        <v>0</v>
      </c>
      <c r="EZ230" s="76">
        <v>114664</v>
      </c>
      <c r="FA230" s="76">
        <v>18598</v>
      </c>
      <c r="FB230" s="76">
        <v>2656</v>
      </c>
      <c r="FC230" s="76">
        <v>0</v>
      </c>
      <c r="FD230" s="76">
        <v>0</v>
      </c>
      <c r="FE230" s="76">
        <v>-107</v>
      </c>
      <c r="FF230" s="76">
        <v>0</v>
      </c>
      <c r="FG230" s="76">
        <v>0</v>
      </c>
      <c r="FH230" s="76">
        <v>21147</v>
      </c>
      <c r="FI230" s="76">
        <v>93517</v>
      </c>
      <c r="FJ230" s="76">
        <v>93284</v>
      </c>
      <c r="FK230" s="76">
        <v>0</v>
      </c>
      <c r="FL230" s="76">
        <v>0</v>
      </c>
      <c r="FM230" s="76">
        <v>0</v>
      </c>
      <c r="FN230" s="76">
        <v>1039</v>
      </c>
      <c r="FO230" s="76">
        <v>315</v>
      </c>
      <c r="FP230" s="76">
        <v>724</v>
      </c>
      <c r="FQ230" s="76">
        <v>540</v>
      </c>
      <c r="FR230" s="76">
        <v>536</v>
      </c>
      <c r="FS230" s="76">
        <v>4</v>
      </c>
      <c r="FT230" s="76">
        <v>0</v>
      </c>
      <c r="FU230" s="76">
        <v>0</v>
      </c>
      <c r="FV230" s="76">
        <v>0</v>
      </c>
      <c r="FW230" s="76">
        <v>0</v>
      </c>
      <c r="FX230" s="76">
        <v>0</v>
      </c>
      <c r="FY230" s="76">
        <v>0</v>
      </c>
      <c r="FZ230" s="76">
        <v>69</v>
      </c>
      <c r="GA230" s="76">
        <v>7</v>
      </c>
      <c r="GB230" s="76">
        <v>62</v>
      </c>
      <c r="GC230" s="76">
        <v>1648</v>
      </c>
      <c r="GD230" s="76">
        <v>858</v>
      </c>
      <c r="GE230" s="76">
        <v>790</v>
      </c>
      <c r="GF230" s="76">
        <v>0</v>
      </c>
      <c r="GG230" s="76">
        <v>0</v>
      </c>
      <c r="GH230" s="76">
        <v>0</v>
      </c>
      <c r="GI230" s="76">
        <v>0</v>
      </c>
      <c r="GJ230" s="76">
        <v>0</v>
      </c>
      <c r="GK230" s="76">
        <v>96</v>
      </c>
      <c r="GL230" s="76">
        <v>96</v>
      </c>
      <c r="GM230" s="76">
        <v>1111</v>
      </c>
      <c r="GN230" s="76">
        <v>1001</v>
      </c>
      <c r="GO230" s="76">
        <v>0</v>
      </c>
      <c r="GP230" s="76">
        <v>0</v>
      </c>
      <c r="GQ230" s="76">
        <v>0</v>
      </c>
      <c r="GR230" s="76">
        <v>1089</v>
      </c>
      <c r="GS230" s="76">
        <v>40</v>
      </c>
      <c r="GT230" s="76">
        <v>0</v>
      </c>
      <c r="GU230" s="76">
        <v>0</v>
      </c>
      <c r="GV230" s="76">
        <v>0</v>
      </c>
      <c r="GW230" s="76">
        <v>1210</v>
      </c>
      <c r="GX230" s="76">
        <v>4451</v>
      </c>
      <c r="GY230" s="76">
        <v>0</v>
      </c>
      <c r="GZ230" s="76">
        <v>604</v>
      </c>
      <c r="HA230" s="76">
        <v>0</v>
      </c>
      <c r="HB230" s="76">
        <v>0</v>
      </c>
      <c r="HC230" s="76">
        <v>604</v>
      </c>
      <c r="HD230" s="76">
        <v>0</v>
      </c>
      <c r="HE230" s="76">
        <v>0</v>
      </c>
      <c r="HF230" s="76">
        <v>0</v>
      </c>
      <c r="HG230" s="76">
        <v>3348</v>
      </c>
      <c r="HH230" s="76">
        <v>0</v>
      </c>
      <c r="HI230" s="76">
        <v>134</v>
      </c>
      <c r="HJ230" s="76">
        <v>0</v>
      </c>
      <c r="HK230" s="76">
        <v>0</v>
      </c>
      <c r="HL230" s="76">
        <v>-19</v>
      </c>
      <c r="HM230" s="76">
        <v>3463</v>
      </c>
      <c r="HN230" s="76">
        <v>1923</v>
      </c>
      <c r="HO230" s="76">
        <v>3089</v>
      </c>
      <c r="HP230" s="76">
        <v>0</v>
      </c>
      <c r="HQ230" s="76">
        <v>7</v>
      </c>
      <c r="HR230" s="76">
        <v>-32</v>
      </c>
      <c r="HS230" s="76">
        <v>-7</v>
      </c>
      <c r="HT230" s="76">
        <v>6267</v>
      </c>
      <c r="HU230" s="76">
        <v>0</v>
      </c>
      <c r="HV230" s="76">
        <v>0</v>
      </c>
      <c r="HW230" s="76">
        <v>0</v>
      </c>
      <c r="HX230" s="76">
        <v>0</v>
      </c>
    </row>
    <row r="231" spans="1:232" x14ac:dyDescent="0.2">
      <c r="A231" s="74" t="s">
        <v>832</v>
      </c>
      <c r="B231" s="74" t="s">
        <v>833</v>
      </c>
      <c r="C231" s="75" t="s">
        <v>200</v>
      </c>
      <c r="D231" s="75">
        <v>12</v>
      </c>
      <c r="E231" s="76">
        <v>22445</v>
      </c>
      <c r="F231" s="76">
        <v>-708</v>
      </c>
      <c r="G231" s="76">
        <v>-13940</v>
      </c>
      <c r="H231" s="76">
        <v>7797</v>
      </c>
      <c r="I231" s="76">
        <v>709</v>
      </c>
      <c r="J231" s="76">
        <v>0</v>
      </c>
      <c r="K231" s="76">
        <v>0</v>
      </c>
      <c r="L231" s="76">
        <v>0</v>
      </c>
      <c r="M231" s="76">
        <v>25</v>
      </c>
      <c r="N231" s="76">
        <v>-2086</v>
      </c>
      <c r="O231" s="76">
        <v>419</v>
      </c>
      <c r="P231" s="76">
        <v>0</v>
      </c>
      <c r="Q231" s="76">
        <v>0</v>
      </c>
      <c r="R231" s="76">
        <v>0</v>
      </c>
      <c r="S231" s="76">
        <v>6864</v>
      </c>
      <c r="T231" s="76">
        <v>0</v>
      </c>
      <c r="U231" s="76">
        <v>6864</v>
      </c>
      <c r="V231" s="76">
        <v>0</v>
      </c>
      <c r="W231" s="76">
        <v>237</v>
      </c>
      <c r="X231" s="76">
        <v>0</v>
      </c>
      <c r="Y231" s="76">
        <v>0</v>
      </c>
      <c r="Z231" s="76">
        <v>7101</v>
      </c>
      <c r="AA231" s="76">
        <v>20555</v>
      </c>
      <c r="AB231" s="76">
        <v>321</v>
      </c>
      <c r="AC231" s="76">
        <v>20876</v>
      </c>
      <c r="AD231" s="76">
        <v>0</v>
      </c>
      <c r="AE231" s="76">
        <v>51</v>
      </c>
      <c r="AF231" s="76">
        <v>0</v>
      </c>
      <c r="AG231" s="76">
        <v>367</v>
      </c>
      <c r="AH231" s="76">
        <v>21294</v>
      </c>
      <c r="AI231" s="76">
        <v>3816</v>
      </c>
      <c r="AJ231" s="76">
        <v>624</v>
      </c>
      <c r="AK231" s="76">
        <v>4772</v>
      </c>
      <c r="AL231" s="76">
        <v>325</v>
      </c>
      <c r="AM231" s="76">
        <v>323</v>
      </c>
      <c r="AN231" s="76">
        <v>258</v>
      </c>
      <c r="AO231" s="76">
        <v>2957</v>
      </c>
      <c r="AP231" s="76">
        <v>0</v>
      </c>
      <c r="AQ231" s="76">
        <v>537</v>
      </c>
      <c r="AR231" s="76">
        <v>13612</v>
      </c>
      <c r="AS231" s="76">
        <v>7682</v>
      </c>
      <c r="AT231" s="76">
        <v>300</v>
      </c>
      <c r="AU231" s="76">
        <v>92381</v>
      </c>
      <c r="AV231" s="76">
        <v>0</v>
      </c>
      <c r="AW231" s="76">
        <v>128</v>
      </c>
      <c r="AX231" s="76">
        <v>0</v>
      </c>
      <c r="AY231" s="76">
        <v>0</v>
      </c>
      <c r="AZ231" s="76">
        <v>1885</v>
      </c>
      <c r="BA231" s="76">
        <v>0</v>
      </c>
      <c r="BB231" s="76">
        <v>0</v>
      </c>
      <c r="BC231" s="76">
        <v>0</v>
      </c>
      <c r="BD231" s="76">
        <v>0</v>
      </c>
      <c r="BE231" s="76">
        <v>94394</v>
      </c>
      <c r="BF231" s="76">
        <v>0</v>
      </c>
      <c r="BG231" s="76">
        <v>1248</v>
      </c>
      <c r="BH231" s="76">
        <v>2807</v>
      </c>
      <c r="BI231" s="76">
        <v>0</v>
      </c>
      <c r="BJ231" s="76">
        <v>0</v>
      </c>
      <c r="BK231" s="76">
        <v>4055</v>
      </c>
      <c r="BL231" s="76">
        <v>0</v>
      </c>
      <c r="BM231" s="76">
        <v>0</v>
      </c>
      <c r="BN231" s="76">
        <v>51</v>
      </c>
      <c r="BO231" s="76">
        <v>4041</v>
      </c>
      <c r="BP231" s="76">
        <v>4092</v>
      </c>
      <c r="BQ231" s="76">
        <v>-37</v>
      </c>
      <c r="BR231" s="76">
        <v>94357</v>
      </c>
      <c r="BS231" s="76">
        <v>35821</v>
      </c>
      <c r="BT231" s="76">
        <v>0</v>
      </c>
      <c r="BU231" s="76">
        <v>0</v>
      </c>
      <c r="BV231" s="76">
        <v>3584</v>
      </c>
      <c r="BW231" s="76">
        <v>0</v>
      </c>
      <c r="BX231" s="76">
        <v>0</v>
      </c>
      <c r="BY231" s="76">
        <v>399</v>
      </c>
      <c r="BZ231" s="76">
        <v>39804</v>
      </c>
      <c r="CA231" s="76">
        <v>-874</v>
      </c>
      <c r="CB231" s="76">
        <v>0</v>
      </c>
      <c r="CC231" s="76">
        <v>55427</v>
      </c>
      <c r="CD231" s="76">
        <v>55427</v>
      </c>
      <c r="CE231" s="76">
        <v>0</v>
      </c>
      <c r="CF231" s="76">
        <v>0</v>
      </c>
      <c r="CG231" s="76">
        <v>0</v>
      </c>
      <c r="CH231" s="76">
        <v>0</v>
      </c>
      <c r="CI231" s="76">
        <v>55427</v>
      </c>
      <c r="CJ231" s="76">
        <v>965</v>
      </c>
      <c r="CK231" s="76">
        <v>708</v>
      </c>
      <c r="CL231" s="76">
        <v>0</v>
      </c>
      <c r="CM231" s="76">
        <v>257</v>
      </c>
      <c r="CN231" s="76">
        <v>54</v>
      </c>
      <c r="CO231" s="76">
        <v>0</v>
      </c>
      <c r="CP231" s="76">
        <v>328</v>
      </c>
      <c r="CQ231" s="76">
        <v>-274</v>
      </c>
      <c r="CR231" s="76">
        <v>0</v>
      </c>
      <c r="CS231" s="76">
        <v>0</v>
      </c>
      <c r="CT231" s="76">
        <v>0</v>
      </c>
      <c r="CU231" s="76">
        <v>0</v>
      </c>
      <c r="CV231" s="76">
        <v>0</v>
      </c>
      <c r="CW231" s="76">
        <v>0</v>
      </c>
      <c r="CX231" s="76">
        <v>0</v>
      </c>
      <c r="CY231" s="76">
        <v>0</v>
      </c>
      <c r="CZ231" s="76">
        <v>0</v>
      </c>
      <c r="DA231" s="76">
        <v>0</v>
      </c>
      <c r="DB231" s="76">
        <v>0</v>
      </c>
      <c r="DC231" s="76">
        <v>0</v>
      </c>
      <c r="DD231" s="76">
        <v>1019</v>
      </c>
      <c r="DE231" s="76">
        <v>708</v>
      </c>
      <c r="DF231" s="76">
        <v>328</v>
      </c>
      <c r="DG231" s="76">
        <v>-17</v>
      </c>
      <c r="DH231" s="76">
        <v>0</v>
      </c>
      <c r="DI231" s="76">
        <v>0</v>
      </c>
      <c r="DJ231" s="76">
        <v>0</v>
      </c>
      <c r="DK231" s="76">
        <v>0</v>
      </c>
      <c r="DL231" s="76">
        <v>0</v>
      </c>
      <c r="DM231" s="76">
        <v>0</v>
      </c>
      <c r="DN231" s="76">
        <v>0</v>
      </c>
      <c r="DO231" s="76">
        <v>0</v>
      </c>
      <c r="DP231" s="76">
        <v>0</v>
      </c>
      <c r="DQ231" s="76">
        <v>0</v>
      </c>
      <c r="DR231" s="76">
        <v>0</v>
      </c>
      <c r="DS231" s="76">
        <v>0</v>
      </c>
      <c r="DT231" s="76">
        <v>0</v>
      </c>
      <c r="DU231" s="76">
        <v>0</v>
      </c>
      <c r="DV231" s="76">
        <v>0</v>
      </c>
      <c r="DW231" s="76">
        <v>0</v>
      </c>
      <c r="DX231" s="76">
        <v>0</v>
      </c>
      <c r="DY231" s="76">
        <v>0</v>
      </c>
      <c r="DZ231" s="76">
        <v>0</v>
      </c>
      <c r="EA231" s="76">
        <v>0</v>
      </c>
      <c r="EB231" s="76">
        <v>132</v>
      </c>
      <c r="EC231" s="76">
        <v>0</v>
      </c>
      <c r="ED231" s="76">
        <v>0</v>
      </c>
      <c r="EE231" s="76">
        <v>132</v>
      </c>
      <c r="EF231" s="76">
        <v>132</v>
      </c>
      <c r="EG231" s="76">
        <v>0</v>
      </c>
      <c r="EH231" s="76">
        <v>0</v>
      </c>
      <c r="EI231" s="76">
        <v>132</v>
      </c>
      <c r="EJ231" s="76">
        <v>1151</v>
      </c>
      <c r="EK231" s="76">
        <v>708</v>
      </c>
      <c r="EL231" s="76">
        <v>328</v>
      </c>
      <c r="EM231" s="76">
        <v>115</v>
      </c>
      <c r="EN231" s="76">
        <v>1048</v>
      </c>
      <c r="EO231" s="76">
        <v>0</v>
      </c>
      <c r="EP231" s="76">
        <v>407</v>
      </c>
      <c r="EQ231" s="76">
        <v>0</v>
      </c>
      <c r="ER231" s="76">
        <v>99977</v>
      </c>
      <c r="ES231" s="76">
        <v>0</v>
      </c>
      <c r="ET231" s="76">
        <v>99977</v>
      </c>
      <c r="EU231" s="76">
        <v>9256</v>
      </c>
      <c r="EV231" s="76">
        <v>-315</v>
      </c>
      <c r="EW231" s="76">
        <v>0</v>
      </c>
      <c r="EX231" s="76">
        <v>0</v>
      </c>
      <c r="EY231" s="76">
        <v>247</v>
      </c>
      <c r="EZ231" s="76">
        <v>109165</v>
      </c>
      <c r="FA231" s="76">
        <v>14042</v>
      </c>
      <c r="FB231" s="76">
        <v>2822</v>
      </c>
      <c r="FC231" s="76">
        <v>0</v>
      </c>
      <c r="FD231" s="76">
        <v>0</v>
      </c>
      <c r="FE231" s="76">
        <v>-80</v>
      </c>
      <c r="FF231" s="76">
        <v>0</v>
      </c>
      <c r="FG231" s="76">
        <v>0</v>
      </c>
      <c r="FH231" s="76">
        <v>16784</v>
      </c>
      <c r="FI231" s="76">
        <v>92381</v>
      </c>
      <c r="FJ231" s="76">
        <v>85935</v>
      </c>
      <c r="FK231" s="76">
        <v>965</v>
      </c>
      <c r="FL231" s="76">
        <v>708</v>
      </c>
      <c r="FM231" s="76">
        <v>257</v>
      </c>
      <c r="FN231" s="76">
        <v>1043</v>
      </c>
      <c r="FO231" s="76">
        <v>591</v>
      </c>
      <c r="FP231" s="76">
        <v>452</v>
      </c>
      <c r="FQ231" s="76">
        <v>0</v>
      </c>
      <c r="FR231" s="76">
        <v>0</v>
      </c>
      <c r="FS231" s="76">
        <v>0</v>
      </c>
      <c r="FT231" s="76">
        <v>0</v>
      </c>
      <c r="FU231" s="76">
        <v>0</v>
      </c>
      <c r="FV231" s="76">
        <v>0</v>
      </c>
      <c r="FW231" s="76">
        <v>0</v>
      </c>
      <c r="FX231" s="76">
        <v>0</v>
      </c>
      <c r="FY231" s="76">
        <v>0</v>
      </c>
      <c r="FZ231" s="76">
        <v>0</v>
      </c>
      <c r="GA231" s="76">
        <v>0</v>
      </c>
      <c r="GB231" s="76">
        <v>0</v>
      </c>
      <c r="GC231" s="76">
        <v>2008</v>
      </c>
      <c r="GD231" s="76">
        <v>1299</v>
      </c>
      <c r="GE231" s="76">
        <v>709</v>
      </c>
      <c r="GF231" s="76">
        <v>0</v>
      </c>
      <c r="GG231" s="76">
        <v>0</v>
      </c>
      <c r="GH231" s="76">
        <v>0</v>
      </c>
      <c r="GI231" s="76">
        <v>0</v>
      </c>
      <c r="GJ231" s="76">
        <v>0</v>
      </c>
      <c r="GK231" s="76">
        <v>0</v>
      </c>
      <c r="GL231" s="76">
        <v>0</v>
      </c>
      <c r="GM231" s="76">
        <v>132</v>
      </c>
      <c r="GN231" s="76">
        <v>442</v>
      </c>
      <c r="GO231" s="76">
        <v>0</v>
      </c>
      <c r="GP231" s="76">
        <v>0</v>
      </c>
      <c r="GQ231" s="76">
        <v>0</v>
      </c>
      <c r="GR231" s="76">
        <v>2228</v>
      </c>
      <c r="GS231" s="76">
        <v>0</v>
      </c>
      <c r="GT231" s="76">
        <v>0</v>
      </c>
      <c r="GU231" s="76">
        <v>22</v>
      </c>
      <c r="GV231" s="76">
        <v>0</v>
      </c>
      <c r="GW231" s="76">
        <v>1217</v>
      </c>
      <c r="GX231" s="76">
        <v>4041</v>
      </c>
      <c r="GY231" s="76">
        <v>0</v>
      </c>
      <c r="GZ231" s="76">
        <v>0</v>
      </c>
      <c r="HA231" s="76">
        <v>204</v>
      </c>
      <c r="HB231" s="76">
        <v>195</v>
      </c>
      <c r="HC231" s="76">
        <v>399</v>
      </c>
      <c r="HD231" s="76">
        <v>0</v>
      </c>
      <c r="HE231" s="76">
        <v>0</v>
      </c>
      <c r="HF231" s="76">
        <v>0</v>
      </c>
      <c r="HG231" s="76">
        <v>2169</v>
      </c>
      <c r="HH231" s="76">
        <v>0</v>
      </c>
      <c r="HI231" s="76">
        <v>0</v>
      </c>
      <c r="HJ231" s="76">
        <v>0</v>
      </c>
      <c r="HK231" s="76">
        <v>0</v>
      </c>
      <c r="HL231" s="76">
        <v>-83</v>
      </c>
      <c r="HM231" s="76">
        <v>2086</v>
      </c>
      <c r="HN231" s="76">
        <v>1928</v>
      </c>
      <c r="HO231" s="76">
        <v>2957</v>
      </c>
      <c r="HP231" s="76">
        <v>0</v>
      </c>
      <c r="HQ231" s="76">
        <v>92</v>
      </c>
      <c r="HR231" s="76">
        <v>-28</v>
      </c>
      <c r="HS231" s="76">
        <v>-6</v>
      </c>
      <c r="HT231" s="76">
        <v>4676</v>
      </c>
      <c r="HU231" s="76">
        <v>4</v>
      </c>
      <c r="HV231" s="76">
        <v>0</v>
      </c>
      <c r="HW231" s="76">
        <v>5</v>
      </c>
      <c r="HX231" s="76">
        <v>117</v>
      </c>
    </row>
    <row r="232" spans="1:232" x14ac:dyDescent="0.2">
      <c r="A232" s="74" t="s">
        <v>188</v>
      </c>
      <c r="B232" s="74" t="s">
        <v>187</v>
      </c>
      <c r="C232" s="75" t="s">
        <v>201</v>
      </c>
      <c r="D232" s="75">
        <v>12</v>
      </c>
      <c r="E232" s="76">
        <v>46665</v>
      </c>
      <c r="F232" s="76">
        <v>-1828</v>
      </c>
      <c r="G232" s="76">
        <v>-27189</v>
      </c>
      <c r="H232" s="76">
        <v>17648</v>
      </c>
      <c r="I232" s="76">
        <v>805</v>
      </c>
      <c r="J232" s="76">
        <v>0</v>
      </c>
      <c r="K232" s="76">
        <v>0</v>
      </c>
      <c r="L232" s="76">
        <v>0</v>
      </c>
      <c r="M232" s="76">
        <v>60</v>
      </c>
      <c r="N232" s="76">
        <v>-6606</v>
      </c>
      <c r="O232" s="76">
        <v>0</v>
      </c>
      <c r="P232" s="76">
        <v>0</v>
      </c>
      <c r="Q232" s="76">
        <v>0</v>
      </c>
      <c r="R232" s="76">
        <v>0</v>
      </c>
      <c r="S232" s="76">
        <v>11907</v>
      </c>
      <c r="T232" s="76">
        <v>0</v>
      </c>
      <c r="U232" s="76">
        <v>11907</v>
      </c>
      <c r="V232" s="76">
        <v>0</v>
      </c>
      <c r="W232" s="76">
        <v>-7851</v>
      </c>
      <c r="X232" s="76">
        <v>0</v>
      </c>
      <c r="Y232" s="76">
        <v>0</v>
      </c>
      <c r="Z232" s="76">
        <v>4056</v>
      </c>
      <c r="AA232" s="76">
        <v>37609</v>
      </c>
      <c r="AB232" s="76">
        <v>2942</v>
      </c>
      <c r="AC232" s="76">
        <v>40551</v>
      </c>
      <c r="AD232" s="76">
        <v>958</v>
      </c>
      <c r="AE232" s="76">
        <v>0</v>
      </c>
      <c r="AF232" s="76">
        <v>285</v>
      </c>
      <c r="AG232" s="76">
        <v>0</v>
      </c>
      <c r="AH232" s="76">
        <v>41794</v>
      </c>
      <c r="AI232" s="76">
        <v>3797</v>
      </c>
      <c r="AJ232" s="76">
        <v>4412</v>
      </c>
      <c r="AK232" s="76">
        <v>5214</v>
      </c>
      <c r="AL232" s="76">
        <v>5597</v>
      </c>
      <c r="AM232" s="76">
        <v>23</v>
      </c>
      <c r="AN232" s="76">
        <v>141</v>
      </c>
      <c r="AO232" s="76">
        <v>5044</v>
      </c>
      <c r="AP232" s="76">
        <v>0</v>
      </c>
      <c r="AQ232" s="76">
        <v>44</v>
      </c>
      <c r="AR232" s="76">
        <v>24272</v>
      </c>
      <c r="AS232" s="76">
        <v>17522</v>
      </c>
      <c r="AT232" s="76">
        <v>477</v>
      </c>
      <c r="AU232" s="76">
        <v>517320</v>
      </c>
      <c r="AV232" s="76">
        <v>0</v>
      </c>
      <c r="AW232" s="76">
        <v>3220</v>
      </c>
      <c r="AX232" s="76">
        <v>0</v>
      </c>
      <c r="AY232" s="76">
        <v>0</v>
      </c>
      <c r="AZ232" s="76">
        <v>6625</v>
      </c>
      <c r="BA232" s="76">
        <v>0</v>
      </c>
      <c r="BB232" s="76">
        <v>0</v>
      </c>
      <c r="BC232" s="76">
        <v>0</v>
      </c>
      <c r="BD232" s="76">
        <v>0</v>
      </c>
      <c r="BE232" s="76">
        <v>527165</v>
      </c>
      <c r="BF232" s="76">
        <v>3822</v>
      </c>
      <c r="BG232" s="76">
        <v>2257</v>
      </c>
      <c r="BH232" s="76">
        <v>19925</v>
      </c>
      <c r="BI232" s="76">
        <v>0</v>
      </c>
      <c r="BJ232" s="76">
        <v>162</v>
      </c>
      <c r="BK232" s="76">
        <v>26166</v>
      </c>
      <c r="BL232" s="76">
        <v>1293</v>
      </c>
      <c r="BM232" s="76">
        <v>0</v>
      </c>
      <c r="BN232" s="76">
        <v>0</v>
      </c>
      <c r="BO232" s="76">
        <v>5126</v>
      </c>
      <c r="BP232" s="76">
        <v>6419</v>
      </c>
      <c r="BQ232" s="76">
        <v>19747</v>
      </c>
      <c r="BR232" s="76">
        <v>546912</v>
      </c>
      <c r="BS232" s="76">
        <v>175010</v>
      </c>
      <c r="BT232" s="76">
        <v>0</v>
      </c>
      <c r="BU232" s="76">
        <v>21416</v>
      </c>
      <c r="BV232" s="76">
        <v>85696</v>
      </c>
      <c r="BW232" s="76">
        <v>0</v>
      </c>
      <c r="BX232" s="76">
        <v>0</v>
      </c>
      <c r="BY232" s="76">
        <v>1116</v>
      </c>
      <c r="BZ232" s="76">
        <v>283238</v>
      </c>
      <c r="CA232" s="76">
        <v>12620</v>
      </c>
      <c r="CB232" s="76">
        <v>0</v>
      </c>
      <c r="CC232" s="76">
        <v>251054</v>
      </c>
      <c r="CD232" s="76">
        <v>82491</v>
      </c>
      <c r="CE232" s="76">
        <v>168496</v>
      </c>
      <c r="CF232" s="76">
        <v>67</v>
      </c>
      <c r="CG232" s="76">
        <v>0</v>
      </c>
      <c r="CH232" s="76">
        <v>0</v>
      </c>
      <c r="CI232" s="76">
        <v>251054</v>
      </c>
      <c r="CJ232" s="76">
        <v>2511</v>
      </c>
      <c r="CK232" s="76">
        <v>1828</v>
      </c>
      <c r="CL232" s="76">
        <v>0</v>
      </c>
      <c r="CM232" s="76">
        <v>683</v>
      </c>
      <c r="CN232" s="76">
        <v>900</v>
      </c>
      <c r="CO232" s="76">
        <v>0</v>
      </c>
      <c r="CP232" s="76">
        <v>1068</v>
      </c>
      <c r="CQ232" s="76">
        <v>-168</v>
      </c>
      <c r="CR232" s="76">
        <v>0</v>
      </c>
      <c r="CS232" s="76">
        <v>0</v>
      </c>
      <c r="CT232" s="76">
        <v>189</v>
      </c>
      <c r="CU232" s="76">
        <v>-189</v>
      </c>
      <c r="CV232" s="76">
        <v>698</v>
      </c>
      <c r="CW232" s="76">
        <v>0</v>
      </c>
      <c r="CX232" s="76">
        <v>1475</v>
      </c>
      <c r="CY232" s="76">
        <v>-777</v>
      </c>
      <c r="CZ232" s="76">
        <v>98</v>
      </c>
      <c r="DA232" s="76">
        <v>0</v>
      </c>
      <c r="DB232" s="76">
        <v>65</v>
      </c>
      <c r="DC232" s="76">
        <v>33</v>
      </c>
      <c r="DD232" s="76">
        <v>4207</v>
      </c>
      <c r="DE232" s="76">
        <v>1828</v>
      </c>
      <c r="DF232" s="76">
        <v>2797</v>
      </c>
      <c r="DG232" s="76">
        <v>-418</v>
      </c>
      <c r="DH232" s="76">
        <v>0</v>
      </c>
      <c r="DI232" s="76">
        <v>0</v>
      </c>
      <c r="DJ232" s="76">
        <v>0</v>
      </c>
      <c r="DK232" s="76">
        <v>0</v>
      </c>
      <c r="DL232" s="76">
        <v>0</v>
      </c>
      <c r="DM232" s="76">
        <v>0</v>
      </c>
      <c r="DN232" s="76">
        <v>0</v>
      </c>
      <c r="DO232" s="76">
        <v>0</v>
      </c>
      <c r="DP232" s="76">
        <v>0</v>
      </c>
      <c r="DQ232" s="76">
        <v>0</v>
      </c>
      <c r="DR232" s="76">
        <v>0</v>
      </c>
      <c r="DS232" s="76">
        <v>0</v>
      </c>
      <c r="DT232" s="76">
        <v>0</v>
      </c>
      <c r="DU232" s="76">
        <v>0</v>
      </c>
      <c r="DV232" s="76">
        <v>0</v>
      </c>
      <c r="DW232" s="76">
        <v>0</v>
      </c>
      <c r="DX232" s="76">
        <v>0</v>
      </c>
      <c r="DY232" s="76">
        <v>0</v>
      </c>
      <c r="DZ232" s="76">
        <v>0</v>
      </c>
      <c r="EA232" s="76">
        <v>0</v>
      </c>
      <c r="EB232" s="76">
        <v>664</v>
      </c>
      <c r="EC232" s="76">
        <v>0</v>
      </c>
      <c r="ED232" s="76">
        <v>120</v>
      </c>
      <c r="EE232" s="76">
        <v>544</v>
      </c>
      <c r="EF232" s="76">
        <v>664</v>
      </c>
      <c r="EG232" s="76">
        <v>0</v>
      </c>
      <c r="EH232" s="76">
        <v>120</v>
      </c>
      <c r="EI232" s="76">
        <v>544</v>
      </c>
      <c r="EJ232" s="76">
        <v>4871</v>
      </c>
      <c r="EK232" s="76">
        <v>1828</v>
      </c>
      <c r="EL232" s="76">
        <v>2917</v>
      </c>
      <c r="EM232" s="76">
        <v>126</v>
      </c>
      <c r="EN232" s="76">
        <v>930</v>
      </c>
      <c r="EO232" s="76">
        <v>121</v>
      </c>
      <c r="EP232" s="76">
        <v>402</v>
      </c>
      <c r="EQ232" s="76">
        <v>121</v>
      </c>
      <c r="ER232" s="76">
        <v>529293</v>
      </c>
      <c r="ES232" s="76">
        <v>0</v>
      </c>
      <c r="ET232" s="76">
        <v>529293</v>
      </c>
      <c r="EU232" s="76">
        <v>41265</v>
      </c>
      <c r="EV232" s="76">
        <v>-3734</v>
      </c>
      <c r="EW232" s="76">
        <v>0</v>
      </c>
      <c r="EX232" s="76">
        <v>0</v>
      </c>
      <c r="EY232" s="76">
        <v>0</v>
      </c>
      <c r="EZ232" s="76">
        <v>566824</v>
      </c>
      <c r="FA232" s="76">
        <v>46173</v>
      </c>
      <c r="FB232" s="76">
        <v>5044</v>
      </c>
      <c r="FC232" s="76">
        <v>0</v>
      </c>
      <c r="FD232" s="76">
        <v>0</v>
      </c>
      <c r="FE232" s="76">
        <v>-1713</v>
      </c>
      <c r="FF232" s="76">
        <v>0</v>
      </c>
      <c r="FG232" s="76">
        <v>0</v>
      </c>
      <c r="FH232" s="76">
        <v>49504</v>
      </c>
      <c r="FI232" s="76">
        <v>517320</v>
      </c>
      <c r="FJ232" s="76">
        <v>483120</v>
      </c>
      <c r="FK232" s="76">
        <v>1453</v>
      </c>
      <c r="FL232" s="76">
        <v>1040</v>
      </c>
      <c r="FM232" s="76">
        <v>413</v>
      </c>
      <c r="FN232" s="76">
        <v>1380</v>
      </c>
      <c r="FO232" s="76">
        <v>1031</v>
      </c>
      <c r="FP232" s="76">
        <v>349</v>
      </c>
      <c r="FQ232" s="76">
        <v>0</v>
      </c>
      <c r="FR232" s="76">
        <v>0</v>
      </c>
      <c r="FS232" s="76">
        <v>0</v>
      </c>
      <c r="FT232" s="76">
        <v>43</v>
      </c>
      <c r="FU232" s="76">
        <v>0</v>
      </c>
      <c r="FV232" s="76">
        <v>43</v>
      </c>
      <c r="FW232" s="76">
        <v>0</v>
      </c>
      <c r="FX232" s="76">
        <v>0</v>
      </c>
      <c r="FY232" s="76">
        <v>0</v>
      </c>
      <c r="FZ232" s="76">
        <v>0</v>
      </c>
      <c r="GA232" s="76">
        <v>0</v>
      </c>
      <c r="GB232" s="76">
        <v>0</v>
      </c>
      <c r="GC232" s="76">
        <v>2876</v>
      </c>
      <c r="GD232" s="76">
        <v>2071</v>
      </c>
      <c r="GE232" s="76">
        <v>805</v>
      </c>
      <c r="GF232" s="76">
        <v>0</v>
      </c>
      <c r="GG232" s="76">
        <v>3</v>
      </c>
      <c r="GH232" s="76">
        <v>6</v>
      </c>
      <c r="GI232" s="76">
        <v>0</v>
      </c>
      <c r="GJ232" s="76">
        <v>0</v>
      </c>
      <c r="GK232" s="76">
        <v>153</v>
      </c>
      <c r="GL232" s="76">
        <v>162</v>
      </c>
      <c r="GM232" s="76">
        <v>2186</v>
      </c>
      <c r="GN232" s="76">
        <v>909</v>
      </c>
      <c r="GO232" s="76">
        <v>0</v>
      </c>
      <c r="GP232" s="76">
        <v>28</v>
      </c>
      <c r="GQ232" s="76">
        <v>0</v>
      </c>
      <c r="GR232" s="76">
        <v>134</v>
      </c>
      <c r="GS232" s="76">
        <v>108</v>
      </c>
      <c r="GT232" s="76">
        <v>0</v>
      </c>
      <c r="GU232" s="76">
        <v>0</v>
      </c>
      <c r="GV232" s="76">
        <v>0</v>
      </c>
      <c r="GW232" s="76">
        <v>1761</v>
      </c>
      <c r="GX232" s="76">
        <v>5126</v>
      </c>
      <c r="GY232" s="76">
        <v>493</v>
      </c>
      <c r="GZ232" s="76">
        <v>0</v>
      </c>
      <c r="HA232" s="76">
        <v>0</v>
      </c>
      <c r="HB232" s="76">
        <v>623</v>
      </c>
      <c r="HC232" s="76">
        <v>1116</v>
      </c>
      <c r="HD232" s="76">
        <v>0</v>
      </c>
      <c r="HE232" s="76">
        <v>0</v>
      </c>
      <c r="HF232" s="76">
        <v>0</v>
      </c>
      <c r="HG232" s="76">
        <v>6897</v>
      </c>
      <c r="HH232" s="76">
        <v>-43</v>
      </c>
      <c r="HI232" s="76">
        <v>165</v>
      </c>
      <c r="HJ232" s="76">
        <v>0</v>
      </c>
      <c r="HK232" s="76">
        <v>50</v>
      </c>
      <c r="HL232" s="76">
        <v>-463</v>
      </c>
      <c r="HM232" s="76">
        <v>6606</v>
      </c>
      <c r="HN232" s="76">
        <v>2722</v>
      </c>
      <c r="HO232" s="76">
        <v>5739</v>
      </c>
      <c r="HP232" s="76">
        <v>0</v>
      </c>
      <c r="HQ232" s="76">
        <v>254</v>
      </c>
      <c r="HR232" s="76">
        <v>-16</v>
      </c>
      <c r="HS232" s="76">
        <v>0</v>
      </c>
      <c r="HT232" s="76">
        <v>6970</v>
      </c>
      <c r="HU232" s="76">
        <v>0</v>
      </c>
      <c r="HV232" s="76">
        <v>0</v>
      </c>
      <c r="HW232" s="76">
        <v>7</v>
      </c>
      <c r="HX232" s="76">
        <v>170</v>
      </c>
    </row>
    <row r="233" spans="1:232" x14ac:dyDescent="0.2">
      <c r="A233" s="74" t="s">
        <v>838</v>
      </c>
      <c r="B233" s="74" t="s">
        <v>837</v>
      </c>
      <c r="C233" s="75" t="s">
        <v>200</v>
      </c>
      <c r="D233" s="75">
        <v>12</v>
      </c>
      <c r="E233" s="76">
        <v>45464</v>
      </c>
      <c r="F233" s="76">
        <v>0</v>
      </c>
      <c r="G233" s="76">
        <v>-30890</v>
      </c>
      <c r="H233" s="76">
        <v>14574</v>
      </c>
      <c r="I233" s="76">
        <v>932</v>
      </c>
      <c r="J233" s="76">
        <v>0</v>
      </c>
      <c r="K233" s="76">
        <v>0</v>
      </c>
      <c r="L233" s="76">
        <v>0</v>
      </c>
      <c r="M233" s="76">
        <v>55</v>
      </c>
      <c r="N233" s="76">
        <v>-5215</v>
      </c>
      <c r="O233" s="76">
        <v>0</v>
      </c>
      <c r="P233" s="76">
        <v>0</v>
      </c>
      <c r="Q233" s="76">
        <v>0</v>
      </c>
      <c r="R233" s="76">
        <v>0</v>
      </c>
      <c r="S233" s="76">
        <v>10346</v>
      </c>
      <c r="T233" s="76">
        <v>-129</v>
      </c>
      <c r="U233" s="76">
        <v>10217</v>
      </c>
      <c r="V233" s="76">
        <v>0</v>
      </c>
      <c r="W233" s="76">
        <v>-1207</v>
      </c>
      <c r="X233" s="76">
        <v>0</v>
      </c>
      <c r="Y233" s="76">
        <v>0</v>
      </c>
      <c r="Z233" s="76">
        <v>9010</v>
      </c>
      <c r="AA233" s="76">
        <v>28932</v>
      </c>
      <c r="AB233" s="76">
        <v>3012</v>
      </c>
      <c r="AC233" s="76">
        <v>31944</v>
      </c>
      <c r="AD233" s="76">
        <v>1967</v>
      </c>
      <c r="AE233" s="76">
        <v>0</v>
      </c>
      <c r="AF233" s="76">
        <v>0</v>
      </c>
      <c r="AG233" s="76">
        <v>1712</v>
      </c>
      <c r="AH233" s="76">
        <v>35623</v>
      </c>
      <c r="AI233" s="76">
        <v>4441</v>
      </c>
      <c r="AJ233" s="76">
        <v>3581</v>
      </c>
      <c r="AK233" s="76">
        <v>5074</v>
      </c>
      <c r="AL233" s="76">
        <v>1364</v>
      </c>
      <c r="AM233" s="76">
        <v>1612</v>
      </c>
      <c r="AN233" s="76">
        <v>103</v>
      </c>
      <c r="AO233" s="76">
        <v>5697</v>
      </c>
      <c r="AP233" s="76">
        <v>0</v>
      </c>
      <c r="AQ233" s="76">
        <v>1327</v>
      </c>
      <c r="AR233" s="76">
        <v>23199</v>
      </c>
      <c r="AS233" s="76">
        <v>12424</v>
      </c>
      <c r="AT233" s="76">
        <v>458</v>
      </c>
      <c r="AU233" s="76">
        <v>347079</v>
      </c>
      <c r="AV233" s="76">
        <v>0</v>
      </c>
      <c r="AW233" s="76">
        <v>4002</v>
      </c>
      <c r="AX233" s="76">
        <v>0</v>
      </c>
      <c r="AY233" s="76">
        <v>0</v>
      </c>
      <c r="AZ233" s="76">
        <v>275</v>
      </c>
      <c r="BA233" s="76">
        <v>0</v>
      </c>
      <c r="BB233" s="76">
        <v>0</v>
      </c>
      <c r="BC233" s="76">
        <v>0</v>
      </c>
      <c r="BD233" s="76">
        <v>1257</v>
      </c>
      <c r="BE233" s="76">
        <v>352613</v>
      </c>
      <c r="BF233" s="76">
        <v>3540</v>
      </c>
      <c r="BG233" s="76">
        <v>2816</v>
      </c>
      <c r="BH233" s="76">
        <v>12949</v>
      </c>
      <c r="BI233" s="76">
        <v>0</v>
      </c>
      <c r="BJ233" s="76">
        <v>1</v>
      </c>
      <c r="BK233" s="76">
        <v>19306</v>
      </c>
      <c r="BL233" s="76">
        <v>1617</v>
      </c>
      <c r="BM233" s="76">
        <v>0</v>
      </c>
      <c r="BN233" s="76">
        <v>3</v>
      </c>
      <c r="BO233" s="76">
        <v>7852</v>
      </c>
      <c r="BP233" s="76">
        <v>9472</v>
      </c>
      <c r="BQ233" s="76">
        <v>9834</v>
      </c>
      <c r="BR233" s="76">
        <v>362447</v>
      </c>
      <c r="BS233" s="76">
        <v>135658</v>
      </c>
      <c r="BT233" s="76">
        <v>0</v>
      </c>
      <c r="BU233" s="76">
        <v>0</v>
      </c>
      <c r="BV233" s="76">
        <v>134921</v>
      </c>
      <c r="BW233" s="76">
        <v>0</v>
      </c>
      <c r="BX233" s="76">
        <v>0</v>
      </c>
      <c r="BY233" s="76">
        <v>1977</v>
      </c>
      <c r="BZ233" s="76">
        <v>272556</v>
      </c>
      <c r="CA233" s="76">
        <v>6782</v>
      </c>
      <c r="CB233" s="76">
        <v>0</v>
      </c>
      <c r="CC233" s="76">
        <v>83109</v>
      </c>
      <c r="CD233" s="76">
        <v>82984</v>
      </c>
      <c r="CE233" s="76">
        <v>125</v>
      </c>
      <c r="CF233" s="76">
        <v>0</v>
      </c>
      <c r="CG233" s="76">
        <v>0</v>
      </c>
      <c r="CH233" s="76">
        <v>0</v>
      </c>
      <c r="CI233" s="76">
        <v>83109</v>
      </c>
      <c r="CJ233" s="76">
        <v>1819</v>
      </c>
      <c r="CK233" s="76">
        <v>0</v>
      </c>
      <c r="CL233" s="76">
        <v>1168</v>
      </c>
      <c r="CM233" s="76">
        <v>651</v>
      </c>
      <c r="CN233" s="76">
        <v>266</v>
      </c>
      <c r="CO233" s="76">
        <v>0</v>
      </c>
      <c r="CP233" s="76">
        <v>293</v>
      </c>
      <c r="CQ233" s="76">
        <v>-27</v>
      </c>
      <c r="CR233" s="76">
        <v>0</v>
      </c>
      <c r="CS233" s="76">
        <v>0</v>
      </c>
      <c r="CT233" s="76">
        <v>0</v>
      </c>
      <c r="CU233" s="76">
        <v>0</v>
      </c>
      <c r="CV233" s="76">
        <v>0</v>
      </c>
      <c r="CW233" s="76">
        <v>0</v>
      </c>
      <c r="CX233" s="76">
        <v>0</v>
      </c>
      <c r="CY233" s="76">
        <v>0</v>
      </c>
      <c r="CZ233" s="76">
        <v>1913</v>
      </c>
      <c r="DA233" s="76">
        <v>0</v>
      </c>
      <c r="DB233" s="76">
        <v>1513</v>
      </c>
      <c r="DC233" s="76">
        <v>400</v>
      </c>
      <c r="DD233" s="76">
        <v>3998</v>
      </c>
      <c r="DE233" s="76">
        <v>0</v>
      </c>
      <c r="DF233" s="76">
        <v>2974</v>
      </c>
      <c r="DG233" s="76">
        <v>1024</v>
      </c>
      <c r="DH233" s="76">
        <v>0</v>
      </c>
      <c r="DI233" s="76">
        <v>0</v>
      </c>
      <c r="DJ233" s="76">
        <v>0</v>
      </c>
      <c r="DK233" s="76">
        <v>0</v>
      </c>
      <c r="DL233" s="76">
        <v>0</v>
      </c>
      <c r="DM233" s="76">
        <v>0</v>
      </c>
      <c r="DN233" s="76">
        <v>0</v>
      </c>
      <c r="DO233" s="76">
        <v>0</v>
      </c>
      <c r="DP233" s="76">
        <v>0</v>
      </c>
      <c r="DQ233" s="76">
        <v>0</v>
      </c>
      <c r="DR233" s="76">
        <v>0</v>
      </c>
      <c r="DS233" s="76">
        <v>0</v>
      </c>
      <c r="DT233" s="76">
        <v>0</v>
      </c>
      <c r="DU233" s="76">
        <v>0</v>
      </c>
      <c r="DV233" s="76">
        <v>0</v>
      </c>
      <c r="DW233" s="76">
        <v>0</v>
      </c>
      <c r="DX233" s="76">
        <v>0</v>
      </c>
      <c r="DY233" s="76">
        <v>0</v>
      </c>
      <c r="DZ233" s="76">
        <v>0</v>
      </c>
      <c r="EA233" s="76">
        <v>0</v>
      </c>
      <c r="EB233" s="76">
        <v>5843</v>
      </c>
      <c r="EC233" s="76">
        <v>0</v>
      </c>
      <c r="ED233" s="76">
        <v>4717</v>
      </c>
      <c r="EE233" s="76">
        <v>1126</v>
      </c>
      <c r="EF233" s="76">
        <v>5843</v>
      </c>
      <c r="EG233" s="76">
        <v>0</v>
      </c>
      <c r="EH233" s="76">
        <v>4717</v>
      </c>
      <c r="EI233" s="76">
        <v>1126</v>
      </c>
      <c r="EJ233" s="76">
        <v>9841</v>
      </c>
      <c r="EK233" s="76">
        <v>0</v>
      </c>
      <c r="EL233" s="76">
        <v>7691</v>
      </c>
      <c r="EM233" s="76">
        <v>2150</v>
      </c>
      <c r="EN233" s="76">
        <v>1083</v>
      </c>
      <c r="EO233" s="76">
        <v>221</v>
      </c>
      <c r="EP233" s="76">
        <v>141</v>
      </c>
      <c r="EQ233" s="76">
        <v>221</v>
      </c>
      <c r="ER233" s="76">
        <v>381053</v>
      </c>
      <c r="ES233" s="76">
        <v>0</v>
      </c>
      <c r="ET233" s="76">
        <v>381053</v>
      </c>
      <c r="EU233" s="76">
        <v>24789</v>
      </c>
      <c r="EV233" s="76">
        <v>-2819</v>
      </c>
      <c r="EW233" s="76">
        <v>0</v>
      </c>
      <c r="EX233" s="76">
        <v>0</v>
      </c>
      <c r="EY233" s="76">
        <v>0</v>
      </c>
      <c r="EZ233" s="76">
        <v>403023</v>
      </c>
      <c r="FA233" s="76">
        <v>51054</v>
      </c>
      <c r="FB233" s="76">
        <v>5697</v>
      </c>
      <c r="FC233" s="76">
        <v>0</v>
      </c>
      <c r="FD233" s="76">
        <v>0</v>
      </c>
      <c r="FE233" s="76">
        <v>-807</v>
      </c>
      <c r="FF233" s="76">
        <v>0</v>
      </c>
      <c r="FG233" s="76">
        <v>0</v>
      </c>
      <c r="FH233" s="76">
        <v>55944</v>
      </c>
      <c r="FI233" s="76">
        <v>347079</v>
      </c>
      <c r="FJ233" s="76">
        <v>329999</v>
      </c>
      <c r="FK233" s="76">
        <v>1319</v>
      </c>
      <c r="FL233" s="76">
        <v>477</v>
      </c>
      <c r="FM233" s="76">
        <v>842</v>
      </c>
      <c r="FN233" s="76">
        <v>74</v>
      </c>
      <c r="FO233" s="76">
        <v>45</v>
      </c>
      <c r="FP233" s="76">
        <v>29</v>
      </c>
      <c r="FQ233" s="76">
        <v>0</v>
      </c>
      <c r="FR233" s="76">
        <v>0</v>
      </c>
      <c r="FS233" s="76">
        <v>0</v>
      </c>
      <c r="FT233" s="76">
        <v>880</v>
      </c>
      <c r="FU233" s="76">
        <v>853</v>
      </c>
      <c r="FV233" s="76">
        <v>27</v>
      </c>
      <c r="FW233" s="76">
        <v>0</v>
      </c>
      <c r="FX233" s="76">
        <v>0</v>
      </c>
      <c r="FY233" s="76">
        <v>0</v>
      </c>
      <c r="FZ233" s="76">
        <v>34</v>
      </c>
      <c r="GA233" s="76">
        <v>0</v>
      </c>
      <c r="GB233" s="76">
        <v>34</v>
      </c>
      <c r="GC233" s="76">
        <v>2307</v>
      </c>
      <c r="GD233" s="76">
        <v>1375</v>
      </c>
      <c r="GE233" s="76">
        <v>932</v>
      </c>
      <c r="GF233" s="76">
        <v>0</v>
      </c>
      <c r="GG233" s="76">
        <v>1</v>
      </c>
      <c r="GH233" s="76">
        <v>0</v>
      </c>
      <c r="GI233" s="76">
        <v>0</v>
      </c>
      <c r="GJ233" s="76">
        <v>0</v>
      </c>
      <c r="GK233" s="76">
        <v>0</v>
      </c>
      <c r="GL233" s="76">
        <v>1</v>
      </c>
      <c r="GM233" s="76">
        <v>512</v>
      </c>
      <c r="GN233" s="76">
        <v>1034</v>
      </c>
      <c r="GO233" s="76">
        <v>0</v>
      </c>
      <c r="GP233" s="76">
        <v>1100</v>
      </c>
      <c r="GQ233" s="76">
        <v>0</v>
      </c>
      <c r="GR233" s="76">
        <v>1317</v>
      </c>
      <c r="GS233" s="76">
        <v>0</v>
      </c>
      <c r="GT233" s="76">
        <v>0</v>
      </c>
      <c r="GU233" s="76">
        <v>610</v>
      </c>
      <c r="GV233" s="76">
        <v>0</v>
      </c>
      <c r="GW233" s="76">
        <v>3279</v>
      </c>
      <c r="GX233" s="76">
        <v>7852</v>
      </c>
      <c r="GY233" s="76">
        <v>1569</v>
      </c>
      <c r="GZ233" s="76">
        <v>0</v>
      </c>
      <c r="HA233" s="76">
        <v>0</v>
      </c>
      <c r="HB233" s="76">
        <v>408</v>
      </c>
      <c r="HC233" s="76">
        <v>1977</v>
      </c>
      <c r="HD233" s="76">
        <v>0</v>
      </c>
      <c r="HE233" s="76">
        <v>0</v>
      </c>
      <c r="HF233" s="76">
        <v>0</v>
      </c>
      <c r="HG233" s="76">
        <v>5572</v>
      </c>
      <c r="HH233" s="76">
        <v>0</v>
      </c>
      <c r="HI233" s="76">
        <v>278</v>
      </c>
      <c r="HJ233" s="76">
        <v>0</v>
      </c>
      <c r="HK233" s="76">
        <v>0</v>
      </c>
      <c r="HL233" s="76">
        <v>-635</v>
      </c>
      <c r="HM233" s="76">
        <v>5215</v>
      </c>
      <c r="HN233" s="76">
        <v>7491</v>
      </c>
      <c r="HO233" s="76">
        <v>5999</v>
      </c>
      <c r="HP233" s="76">
        <v>0</v>
      </c>
      <c r="HQ233" s="76">
        <v>118</v>
      </c>
      <c r="HR233" s="76">
        <v>0</v>
      </c>
      <c r="HS233" s="76">
        <v>0</v>
      </c>
      <c r="HT233" s="76">
        <v>7260</v>
      </c>
      <c r="HU233" s="76">
        <v>0</v>
      </c>
      <c r="HV233" s="76">
        <v>0</v>
      </c>
      <c r="HW233" s="76">
        <v>0</v>
      </c>
      <c r="HX233" s="76">
        <v>0</v>
      </c>
    </row>
    <row r="234" spans="1:232" x14ac:dyDescent="0.2">
      <c r="A234" s="74" t="s">
        <v>843</v>
      </c>
      <c r="B234" s="74" t="s">
        <v>844</v>
      </c>
      <c r="C234" s="75" t="s">
        <v>200</v>
      </c>
      <c r="D234" s="75">
        <v>12</v>
      </c>
      <c r="E234" s="76">
        <v>63651</v>
      </c>
      <c r="F234" s="76">
        <v>-439</v>
      </c>
      <c r="G234" s="76">
        <v>-44932</v>
      </c>
      <c r="H234" s="76">
        <v>18280</v>
      </c>
      <c r="I234" s="76">
        <v>1651</v>
      </c>
      <c r="J234" s="76">
        <v>0</v>
      </c>
      <c r="K234" s="76">
        <v>0</v>
      </c>
      <c r="L234" s="76">
        <v>-65</v>
      </c>
      <c r="M234" s="76">
        <v>25</v>
      </c>
      <c r="N234" s="76">
        <v>-4375</v>
      </c>
      <c r="O234" s="76">
        <v>546</v>
      </c>
      <c r="P234" s="76">
        <v>0</v>
      </c>
      <c r="Q234" s="76">
        <v>0</v>
      </c>
      <c r="R234" s="76">
        <v>0</v>
      </c>
      <c r="S234" s="76">
        <v>16062</v>
      </c>
      <c r="T234" s="76">
        <v>-1</v>
      </c>
      <c r="U234" s="76">
        <v>16061</v>
      </c>
      <c r="V234" s="76">
        <v>0</v>
      </c>
      <c r="W234" s="76">
        <v>-708</v>
      </c>
      <c r="X234" s="76">
        <v>0</v>
      </c>
      <c r="Y234" s="76">
        <v>0</v>
      </c>
      <c r="Z234" s="76">
        <v>15353</v>
      </c>
      <c r="AA234" s="76">
        <v>56389</v>
      </c>
      <c r="AB234" s="76">
        <v>778</v>
      </c>
      <c r="AC234" s="76">
        <v>57167</v>
      </c>
      <c r="AD234" s="76">
        <v>46</v>
      </c>
      <c r="AE234" s="76">
        <v>0</v>
      </c>
      <c r="AF234" s="76">
        <v>2125</v>
      </c>
      <c r="AG234" s="76">
        <v>991</v>
      </c>
      <c r="AH234" s="76">
        <v>60329</v>
      </c>
      <c r="AI234" s="76">
        <v>9817</v>
      </c>
      <c r="AJ234" s="76">
        <v>7210</v>
      </c>
      <c r="AK234" s="76">
        <v>8870</v>
      </c>
      <c r="AL234" s="76">
        <v>3798</v>
      </c>
      <c r="AM234" s="76">
        <v>5519</v>
      </c>
      <c r="AN234" s="76">
        <v>174</v>
      </c>
      <c r="AO234" s="76">
        <v>7912</v>
      </c>
      <c r="AP234" s="76">
        <v>0</v>
      </c>
      <c r="AQ234" s="76">
        <v>155</v>
      </c>
      <c r="AR234" s="76">
        <v>43455</v>
      </c>
      <c r="AS234" s="76">
        <v>16874</v>
      </c>
      <c r="AT234" s="76">
        <v>1637</v>
      </c>
      <c r="AU234" s="76">
        <v>174723</v>
      </c>
      <c r="AV234" s="76">
        <v>0</v>
      </c>
      <c r="AW234" s="76">
        <v>4892</v>
      </c>
      <c r="AX234" s="76">
        <v>58</v>
      </c>
      <c r="AY234" s="76">
        <v>0</v>
      </c>
      <c r="AZ234" s="76">
        <v>1658</v>
      </c>
      <c r="BA234" s="76">
        <v>25</v>
      </c>
      <c r="BB234" s="76">
        <v>0</v>
      </c>
      <c r="BC234" s="76">
        <v>0</v>
      </c>
      <c r="BD234" s="76">
        <v>0</v>
      </c>
      <c r="BE234" s="76">
        <v>181356</v>
      </c>
      <c r="BF234" s="76">
        <v>3402</v>
      </c>
      <c r="BG234" s="76">
        <v>4629</v>
      </c>
      <c r="BH234" s="76">
        <v>7202</v>
      </c>
      <c r="BI234" s="76">
        <v>0</v>
      </c>
      <c r="BJ234" s="76">
        <v>373</v>
      </c>
      <c r="BK234" s="76">
        <v>15606</v>
      </c>
      <c r="BL234" s="76">
        <v>0</v>
      </c>
      <c r="BM234" s="76">
        <v>0</v>
      </c>
      <c r="BN234" s="76">
        <v>84</v>
      </c>
      <c r="BO234" s="76">
        <v>12521</v>
      </c>
      <c r="BP234" s="76">
        <v>12605</v>
      </c>
      <c r="BQ234" s="76">
        <v>3001</v>
      </c>
      <c r="BR234" s="76">
        <v>184357</v>
      </c>
      <c r="BS234" s="76">
        <v>72764</v>
      </c>
      <c r="BT234" s="76">
        <v>0</v>
      </c>
      <c r="BU234" s="76">
        <v>0</v>
      </c>
      <c r="BV234" s="76">
        <v>6139</v>
      </c>
      <c r="BW234" s="76">
        <v>0</v>
      </c>
      <c r="BX234" s="76">
        <v>0</v>
      </c>
      <c r="BY234" s="76">
        <v>1107</v>
      </c>
      <c r="BZ234" s="76">
        <v>80010</v>
      </c>
      <c r="CA234" s="76">
        <v>18041</v>
      </c>
      <c r="CB234" s="76">
        <v>324</v>
      </c>
      <c r="CC234" s="76">
        <v>85982</v>
      </c>
      <c r="CD234" s="76">
        <v>85982</v>
      </c>
      <c r="CE234" s="76">
        <v>0</v>
      </c>
      <c r="CF234" s="76">
        <v>0</v>
      </c>
      <c r="CG234" s="76">
        <v>0</v>
      </c>
      <c r="CH234" s="76">
        <v>0</v>
      </c>
      <c r="CI234" s="76">
        <v>85982</v>
      </c>
      <c r="CJ234" s="76">
        <v>0</v>
      </c>
      <c r="CK234" s="76">
        <v>0</v>
      </c>
      <c r="CL234" s="76">
        <v>0</v>
      </c>
      <c r="CM234" s="76">
        <v>0</v>
      </c>
      <c r="CN234" s="76">
        <v>0</v>
      </c>
      <c r="CO234" s="76">
        <v>0</v>
      </c>
      <c r="CP234" s="76">
        <v>0</v>
      </c>
      <c r="CQ234" s="76">
        <v>0</v>
      </c>
      <c r="CR234" s="76">
        <v>0</v>
      </c>
      <c r="CS234" s="76">
        <v>0</v>
      </c>
      <c r="CT234" s="76">
        <v>0</v>
      </c>
      <c r="CU234" s="76">
        <v>0</v>
      </c>
      <c r="CV234" s="76">
        <v>0</v>
      </c>
      <c r="CW234" s="76">
        <v>0</v>
      </c>
      <c r="CX234" s="76">
        <v>0</v>
      </c>
      <c r="CY234" s="76">
        <v>0</v>
      </c>
      <c r="CZ234" s="76">
        <v>521</v>
      </c>
      <c r="DA234" s="76">
        <v>126</v>
      </c>
      <c r="DB234" s="76">
        <v>198</v>
      </c>
      <c r="DC234" s="76">
        <v>197</v>
      </c>
      <c r="DD234" s="76">
        <v>521</v>
      </c>
      <c r="DE234" s="76">
        <v>126</v>
      </c>
      <c r="DF234" s="76">
        <v>198</v>
      </c>
      <c r="DG234" s="76">
        <v>197</v>
      </c>
      <c r="DH234" s="76">
        <v>0</v>
      </c>
      <c r="DI234" s="76">
        <v>0</v>
      </c>
      <c r="DJ234" s="76">
        <v>0</v>
      </c>
      <c r="DK234" s="76">
        <v>0</v>
      </c>
      <c r="DL234" s="76">
        <v>0</v>
      </c>
      <c r="DM234" s="76">
        <v>0</v>
      </c>
      <c r="DN234" s="76">
        <v>0</v>
      </c>
      <c r="DO234" s="76">
        <v>0</v>
      </c>
      <c r="DP234" s="76">
        <v>0</v>
      </c>
      <c r="DQ234" s="76">
        <v>0</v>
      </c>
      <c r="DR234" s="76">
        <v>0</v>
      </c>
      <c r="DS234" s="76">
        <v>0</v>
      </c>
      <c r="DT234" s="76">
        <v>0</v>
      </c>
      <c r="DU234" s="76">
        <v>0</v>
      </c>
      <c r="DV234" s="76">
        <v>0</v>
      </c>
      <c r="DW234" s="76">
        <v>0</v>
      </c>
      <c r="DX234" s="76">
        <v>0</v>
      </c>
      <c r="DY234" s="76">
        <v>0</v>
      </c>
      <c r="DZ234" s="76">
        <v>0</v>
      </c>
      <c r="EA234" s="76">
        <v>0</v>
      </c>
      <c r="EB234" s="76">
        <v>2801</v>
      </c>
      <c r="EC234" s="76">
        <v>313</v>
      </c>
      <c r="ED234" s="76">
        <v>1279</v>
      </c>
      <c r="EE234" s="76">
        <v>1209</v>
      </c>
      <c r="EF234" s="76">
        <v>2801</v>
      </c>
      <c r="EG234" s="76">
        <v>313</v>
      </c>
      <c r="EH234" s="76">
        <v>1279</v>
      </c>
      <c r="EI234" s="76">
        <v>1209</v>
      </c>
      <c r="EJ234" s="76">
        <v>3322</v>
      </c>
      <c r="EK234" s="76">
        <v>439</v>
      </c>
      <c r="EL234" s="76">
        <v>1477</v>
      </c>
      <c r="EM234" s="76">
        <v>1406</v>
      </c>
      <c r="EN234" s="76">
        <v>2259</v>
      </c>
      <c r="EO234" s="76">
        <v>509</v>
      </c>
      <c r="EP234" s="76">
        <v>234</v>
      </c>
      <c r="EQ234" s="76">
        <v>461</v>
      </c>
      <c r="ER234" s="76">
        <v>218433</v>
      </c>
      <c r="ES234" s="76">
        <v>0</v>
      </c>
      <c r="ET234" s="76">
        <v>218433</v>
      </c>
      <c r="EU234" s="76">
        <v>11078</v>
      </c>
      <c r="EV234" s="76">
        <v>-811</v>
      </c>
      <c r="EW234" s="76">
        <v>0</v>
      </c>
      <c r="EX234" s="76">
        <v>0</v>
      </c>
      <c r="EY234" s="76">
        <v>-365</v>
      </c>
      <c r="EZ234" s="76">
        <v>228335</v>
      </c>
      <c r="FA234" s="76">
        <v>46308</v>
      </c>
      <c r="FB234" s="76">
        <v>7729</v>
      </c>
      <c r="FC234" s="76">
        <v>0</v>
      </c>
      <c r="FD234" s="76">
        <v>0</v>
      </c>
      <c r="FE234" s="76">
        <v>-244</v>
      </c>
      <c r="FF234" s="76">
        <v>0</v>
      </c>
      <c r="FG234" s="76">
        <v>-181</v>
      </c>
      <c r="FH234" s="76">
        <v>53612</v>
      </c>
      <c r="FI234" s="76">
        <v>174723</v>
      </c>
      <c r="FJ234" s="76">
        <v>172125</v>
      </c>
      <c r="FK234" s="76">
        <v>42</v>
      </c>
      <c r="FL234" s="76">
        <v>24</v>
      </c>
      <c r="FM234" s="76">
        <v>18</v>
      </c>
      <c r="FN234" s="76">
        <v>1643</v>
      </c>
      <c r="FO234" s="76">
        <v>460</v>
      </c>
      <c r="FP234" s="76">
        <v>1183</v>
      </c>
      <c r="FQ234" s="76">
        <v>122</v>
      </c>
      <c r="FR234" s="76">
        <v>17</v>
      </c>
      <c r="FS234" s="76">
        <v>105</v>
      </c>
      <c r="FT234" s="76">
        <v>437</v>
      </c>
      <c r="FU234" s="76">
        <v>92</v>
      </c>
      <c r="FV234" s="76">
        <v>345</v>
      </c>
      <c r="FW234" s="76">
        <v>0</v>
      </c>
      <c r="FX234" s="76">
        <v>0</v>
      </c>
      <c r="FY234" s="76">
        <v>0</v>
      </c>
      <c r="FZ234" s="76">
        <v>0</v>
      </c>
      <c r="GA234" s="76">
        <v>0</v>
      </c>
      <c r="GB234" s="76">
        <v>0</v>
      </c>
      <c r="GC234" s="76">
        <v>2244</v>
      </c>
      <c r="GD234" s="76">
        <v>593</v>
      </c>
      <c r="GE234" s="76">
        <v>1651</v>
      </c>
      <c r="GF234" s="76">
        <v>312</v>
      </c>
      <c r="GG234" s="76">
        <v>0</v>
      </c>
      <c r="GH234" s="76">
        <v>0</v>
      </c>
      <c r="GI234" s="76">
        <v>0</v>
      </c>
      <c r="GJ234" s="76">
        <v>0</v>
      </c>
      <c r="GK234" s="76">
        <v>61</v>
      </c>
      <c r="GL234" s="76">
        <v>373</v>
      </c>
      <c r="GM234" s="76">
        <v>682</v>
      </c>
      <c r="GN234" s="76">
        <v>1045</v>
      </c>
      <c r="GO234" s="76">
        <v>0</v>
      </c>
      <c r="GP234" s="76">
        <v>0</v>
      </c>
      <c r="GQ234" s="76">
        <v>0</v>
      </c>
      <c r="GR234" s="76">
        <v>9354</v>
      </c>
      <c r="GS234" s="76">
        <v>0</v>
      </c>
      <c r="GT234" s="76">
        <v>0</v>
      </c>
      <c r="GU234" s="76">
        <v>0</v>
      </c>
      <c r="GV234" s="76">
        <v>0</v>
      </c>
      <c r="GW234" s="76">
        <v>1440</v>
      </c>
      <c r="GX234" s="76">
        <v>12521</v>
      </c>
      <c r="GY234" s="76">
        <v>0</v>
      </c>
      <c r="GZ234" s="76">
        <v>0</v>
      </c>
      <c r="HA234" s="76">
        <v>0</v>
      </c>
      <c r="HB234" s="76">
        <v>1107</v>
      </c>
      <c r="HC234" s="76">
        <v>1107</v>
      </c>
      <c r="HD234" s="76">
        <v>0</v>
      </c>
      <c r="HE234" s="76">
        <v>324</v>
      </c>
      <c r="HF234" s="76">
        <v>324</v>
      </c>
      <c r="HG234" s="76">
        <v>3809</v>
      </c>
      <c r="HH234" s="76">
        <v>0</v>
      </c>
      <c r="HI234" s="76">
        <v>566</v>
      </c>
      <c r="HJ234" s="76">
        <v>0</v>
      </c>
      <c r="HK234" s="76">
        <v>0</v>
      </c>
      <c r="HL234" s="76">
        <v>0</v>
      </c>
      <c r="HM234" s="76">
        <v>4375</v>
      </c>
      <c r="HN234" s="76">
        <v>1914</v>
      </c>
      <c r="HO234" s="76">
        <v>8474</v>
      </c>
      <c r="HP234" s="76">
        <v>0</v>
      </c>
      <c r="HQ234" s="76">
        <v>49</v>
      </c>
      <c r="HR234" s="76">
        <v>-68</v>
      </c>
      <c r="HS234" s="76">
        <v>-5</v>
      </c>
      <c r="HT234" s="76">
        <v>12894</v>
      </c>
      <c r="HU234" s="76">
        <v>3</v>
      </c>
      <c r="HV234" s="76">
        <v>0</v>
      </c>
      <c r="HW234" s="76">
        <v>5</v>
      </c>
      <c r="HX234" s="76">
        <v>8</v>
      </c>
    </row>
    <row r="235" spans="1:232" x14ac:dyDescent="0.2">
      <c r="A235" s="74" t="s">
        <v>195</v>
      </c>
      <c r="B235" s="74" t="s">
        <v>194</v>
      </c>
      <c r="C235" s="75" t="s">
        <v>200</v>
      </c>
      <c r="D235" s="75">
        <v>12</v>
      </c>
      <c r="E235" s="76">
        <v>151158</v>
      </c>
      <c r="F235" s="76">
        <v>-4074</v>
      </c>
      <c r="G235" s="76">
        <v>-101873</v>
      </c>
      <c r="H235" s="76">
        <v>45211</v>
      </c>
      <c r="I235" s="76">
        <v>-2682</v>
      </c>
      <c r="J235" s="76">
        <v>0</v>
      </c>
      <c r="K235" s="76">
        <v>0</v>
      </c>
      <c r="L235" s="76">
        <v>0</v>
      </c>
      <c r="M235" s="76">
        <v>395</v>
      </c>
      <c r="N235" s="76">
        <v>-27895</v>
      </c>
      <c r="O235" s="76">
        <v>0</v>
      </c>
      <c r="P235" s="76">
        <v>32</v>
      </c>
      <c r="Q235" s="76">
        <v>0</v>
      </c>
      <c r="R235" s="76">
        <v>0</v>
      </c>
      <c r="S235" s="76">
        <v>15061</v>
      </c>
      <c r="T235" s="76">
        <v>-3</v>
      </c>
      <c r="U235" s="76">
        <v>15058</v>
      </c>
      <c r="V235" s="76">
        <v>0</v>
      </c>
      <c r="W235" s="76">
        <v>-6543</v>
      </c>
      <c r="X235" s="76">
        <v>0</v>
      </c>
      <c r="Y235" s="76">
        <v>0</v>
      </c>
      <c r="Z235" s="76">
        <v>8515</v>
      </c>
      <c r="AA235" s="76">
        <v>126200</v>
      </c>
      <c r="AB235" s="76">
        <v>9223</v>
      </c>
      <c r="AC235" s="76">
        <v>135423</v>
      </c>
      <c r="AD235" s="76">
        <v>3892</v>
      </c>
      <c r="AE235" s="76">
        <v>0</v>
      </c>
      <c r="AF235" s="76">
        <v>43</v>
      </c>
      <c r="AG235" s="76">
        <v>1535</v>
      </c>
      <c r="AH235" s="76">
        <v>140893</v>
      </c>
      <c r="AI235" s="76">
        <v>13912</v>
      </c>
      <c r="AJ235" s="76">
        <v>13671</v>
      </c>
      <c r="AK235" s="76">
        <v>26904</v>
      </c>
      <c r="AL235" s="76">
        <v>6527</v>
      </c>
      <c r="AM235" s="76">
        <v>8481</v>
      </c>
      <c r="AN235" s="76">
        <v>1796</v>
      </c>
      <c r="AO235" s="76">
        <v>22245</v>
      </c>
      <c r="AP235" s="76">
        <v>3090</v>
      </c>
      <c r="AQ235" s="76">
        <v>2150</v>
      </c>
      <c r="AR235" s="76">
        <v>98776</v>
      </c>
      <c r="AS235" s="76">
        <v>42117</v>
      </c>
      <c r="AT235" s="76">
        <v>1426</v>
      </c>
      <c r="AU235" s="76">
        <v>1147774</v>
      </c>
      <c r="AV235" s="76">
        <v>0</v>
      </c>
      <c r="AW235" s="76">
        <v>7777</v>
      </c>
      <c r="AX235" s="76">
        <v>0</v>
      </c>
      <c r="AY235" s="76">
        <v>2491</v>
      </c>
      <c r="AZ235" s="76">
        <v>0</v>
      </c>
      <c r="BA235" s="76">
        <v>0</v>
      </c>
      <c r="BB235" s="76">
        <v>0</v>
      </c>
      <c r="BC235" s="76">
        <v>0</v>
      </c>
      <c r="BD235" s="76">
        <v>0</v>
      </c>
      <c r="BE235" s="76">
        <v>1158042</v>
      </c>
      <c r="BF235" s="76">
        <v>1956</v>
      </c>
      <c r="BG235" s="76">
        <v>6102</v>
      </c>
      <c r="BH235" s="76">
        <v>62655</v>
      </c>
      <c r="BI235" s="76">
        <v>4314</v>
      </c>
      <c r="BJ235" s="76">
        <v>2195</v>
      </c>
      <c r="BK235" s="76">
        <v>77222</v>
      </c>
      <c r="BL235" s="76">
        <v>19650</v>
      </c>
      <c r="BM235" s="76">
        <v>0</v>
      </c>
      <c r="BN235" s="76">
        <v>3960</v>
      </c>
      <c r="BO235" s="76">
        <v>34686</v>
      </c>
      <c r="BP235" s="76">
        <v>58296</v>
      </c>
      <c r="BQ235" s="76">
        <v>18926</v>
      </c>
      <c r="BR235" s="76">
        <v>1176968</v>
      </c>
      <c r="BS235" s="76">
        <v>516183</v>
      </c>
      <c r="BT235" s="76">
        <v>0</v>
      </c>
      <c r="BU235" s="76">
        <v>0</v>
      </c>
      <c r="BV235" s="76">
        <v>297938</v>
      </c>
      <c r="BW235" s="76">
        <v>2503</v>
      </c>
      <c r="BX235" s="76">
        <v>0</v>
      </c>
      <c r="BY235" s="76">
        <v>10641</v>
      </c>
      <c r="BZ235" s="76">
        <v>827265</v>
      </c>
      <c r="CA235" s="76">
        <v>45299</v>
      </c>
      <c r="CB235" s="76">
        <v>0</v>
      </c>
      <c r="CC235" s="76">
        <v>304404</v>
      </c>
      <c r="CD235" s="76">
        <v>304400</v>
      </c>
      <c r="CE235" s="76">
        <v>0</v>
      </c>
      <c r="CF235" s="76">
        <v>4</v>
      </c>
      <c r="CG235" s="76">
        <v>0</v>
      </c>
      <c r="CH235" s="76">
        <v>0</v>
      </c>
      <c r="CI235" s="76">
        <v>304404</v>
      </c>
      <c r="CJ235" s="76">
        <v>2218</v>
      </c>
      <c r="CK235" s="76">
        <v>1450</v>
      </c>
      <c r="CL235" s="76">
        <v>0</v>
      </c>
      <c r="CM235" s="76">
        <v>768</v>
      </c>
      <c r="CN235" s="76">
        <v>843</v>
      </c>
      <c r="CO235" s="76">
        <v>0</v>
      </c>
      <c r="CP235" s="76">
        <v>772</v>
      </c>
      <c r="CQ235" s="76">
        <v>71</v>
      </c>
      <c r="CR235" s="76">
        <v>0</v>
      </c>
      <c r="CS235" s="76">
        <v>0</v>
      </c>
      <c r="CT235" s="76">
        <v>585</v>
      </c>
      <c r="CU235" s="76">
        <v>-585</v>
      </c>
      <c r="CV235" s="76">
        <v>0</v>
      </c>
      <c r="CW235" s="76">
        <v>0</v>
      </c>
      <c r="CX235" s="76">
        <v>137</v>
      </c>
      <c r="CY235" s="76">
        <v>-137</v>
      </c>
      <c r="CZ235" s="76">
        <v>2582</v>
      </c>
      <c r="DA235" s="76">
        <v>0</v>
      </c>
      <c r="DB235" s="76">
        <v>823</v>
      </c>
      <c r="DC235" s="76">
        <v>1759</v>
      </c>
      <c r="DD235" s="76">
        <v>5643</v>
      </c>
      <c r="DE235" s="76">
        <v>1450</v>
      </c>
      <c r="DF235" s="76">
        <v>2317</v>
      </c>
      <c r="DG235" s="76">
        <v>1876</v>
      </c>
      <c r="DH235" s="76">
        <v>3407</v>
      </c>
      <c r="DI235" s="76">
        <v>2624</v>
      </c>
      <c r="DJ235" s="76">
        <v>0</v>
      </c>
      <c r="DK235" s="76">
        <v>783</v>
      </c>
      <c r="DL235" s="76">
        <v>0</v>
      </c>
      <c r="DM235" s="76">
        <v>0</v>
      </c>
      <c r="DN235" s="76">
        <v>0</v>
      </c>
      <c r="DO235" s="76">
        <v>0</v>
      </c>
      <c r="DP235" s="76">
        <v>764</v>
      </c>
      <c r="DQ235" s="76">
        <v>0</v>
      </c>
      <c r="DR235" s="76">
        <v>459</v>
      </c>
      <c r="DS235" s="76">
        <v>305</v>
      </c>
      <c r="DT235" s="76">
        <v>0</v>
      </c>
      <c r="DU235" s="76">
        <v>0</v>
      </c>
      <c r="DV235" s="76">
        <v>0</v>
      </c>
      <c r="DW235" s="76">
        <v>0</v>
      </c>
      <c r="DX235" s="76">
        <v>0</v>
      </c>
      <c r="DY235" s="76">
        <v>0</v>
      </c>
      <c r="DZ235" s="76">
        <v>0</v>
      </c>
      <c r="EA235" s="76">
        <v>0</v>
      </c>
      <c r="EB235" s="76">
        <v>451</v>
      </c>
      <c r="EC235" s="76">
        <v>0</v>
      </c>
      <c r="ED235" s="76">
        <v>321</v>
      </c>
      <c r="EE235" s="76">
        <v>130</v>
      </c>
      <c r="EF235" s="76">
        <v>4622</v>
      </c>
      <c r="EG235" s="76">
        <v>2624</v>
      </c>
      <c r="EH235" s="76">
        <v>780</v>
      </c>
      <c r="EI235" s="76">
        <v>1218</v>
      </c>
      <c r="EJ235" s="76">
        <v>10265</v>
      </c>
      <c r="EK235" s="76">
        <v>4074</v>
      </c>
      <c r="EL235" s="76">
        <v>3097</v>
      </c>
      <c r="EM235" s="76">
        <v>3094</v>
      </c>
      <c r="EN235" s="76">
        <v>6464</v>
      </c>
      <c r="EO235" s="76">
        <v>3876</v>
      </c>
      <c r="EP235" s="76">
        <v>4662</v>
      </c>
      <c r="EQ235" s="76">
        <v>3876</v>
      </c>
      <c r="ER235" s="76">
        <v>1332765</v>
      </c>
      <c r="ES235" s="76">
        <v>0</v>
      </c>
      <c r="ET235" s="76">
        <v>1332765</v>
      </c>
      <c r="EU235" s="76">
        <v>46576</v>
      </c>
      <c r="EV235" s="76">
        <v>-8809</v>
      </c>
      <c r="EW235" s="76">
        <v>0</v>
      </c>
      <c r="EX235" s="76">
        <v>-2625</v>
      </c>
      <c r="EY235" s="76">
        <v>-6587</v>
      </c>
      <c r="EZ235" s="76">
        <v>1361320</v>
      </c>
      <c r="FA235" s="76">
        <v>193232</v>
      </c>
      <c r="FB235" s="76">
        <v>22245</v>
      </c>
      <c r="FC235" s="76">
        <v>3090</v>
      </c>
      <c r="FD235" s="76">
        <v>0</v>
      </c>
      <c r="FE235" s="76">
        <v>-2396</v>
      </c>
      <c r="FF235" s="76">
        <v>-2625</v>
      </c>
      <c r="FG235" s="76">
        <v>0</v>
      </c>
      <c r="FH235" s="76">
        <v>213546</v>
      </c>
      <c r="FI235" s="76">
        <v>1147774</v>
      </c>
      <c r="FJ235" s="76">
        <v>1139533</v>
      </c>
      <c r="FK235" s="76">
        <v>3702</v>
      </c>
      <c r="FL235" s="76">
        <v>3129</v>
      </c>
      <c r="FM235" s="76">
        <v>573</v>
      </c>
      <c r="FN235" s="76">
        <v>3220</v>
      </c>
      <c r="FO235" s="76">
        <v>6173</v>
      </c>
      <c r="FP235" s="76">
        <v>-2953</v>
      </c>
      <c r="FQ235" s="76">
        <v>2533</v>
      </c>
      <c r="FR235" s="76">
        <v>2982</v>
      </c>
      <c r="FS235" s="76">
        <v>-449</v>
      </c>
      <c r="FT235" s="76">
        <v>156</v>
      </c>
      <c r="FU235" s="76">
        <v>9</v>
      </c>
      <c r="FV235" s="76">
        <v>147</v>
      </c>
      <c r="FW235" s="76">
        <v>0</v>
      </c>
      <c r="FX235" s="76">
        <v>0</v>
      </c>
      <c r="FY235" s="76">
        <v>0</v>
      </c>
      <c r="FZ235" s="76">
        <v>0</v>
      </c>
      <c r="GA235" s="76">
        <v>0</v>
      </c>
      <c r="GB235" s="76">
        <v>0</v>
      </c>
      <c r="GC235" s="76">
        <v>9611</v>
      </c>
      <c r="GD235" s="76">
        <v>12293</v>
      </c>
      <c r="GE235" s="76">
        <v>-2682</v>
      </c>
      <c r="GF235" s="76">
        <v>0</v>
      </c>
      <c r="GG235" s="76">
        <v>0</v>
      </c>
      <c r="GH235" s="76">
        <v>552</v>
      </c>
      <c r="GI235" s="76">
        <v>0</v>
      </c>
      <c r="GJ235" s="76">
        <v>0</v>
      </c>
      <c r="GK235" s="76">
        <v>1643</v>
      </c>
      <c r="GL235" s="76">
        <v>2195</v>
      </c>
      <c r="GM235" s="76">
        <v>4542</v>
      </c>
      <c r="GN235" s="76">
        <v>4734</v>
      </c>
      <c r="GO235" s="76">
        <v>0</v>
      </c>
      <c r="GP235" s="76">
        <v>1039</v>
      </c>
      <c r="GQ235" s="76">
        <v>1268</v>
      </c>
      <c r="GR235" s="76">
        <v>17526</v>
      </c>
      <c r="GS235" s="76">
        <v>0</v>
      </c>
      <c r="GT235" s="76">
        <v>0</v>
      </c>
      <c r="GU235" s="76">
        <v>677</v>
      </c>
      <c r="GV235" s="76">
        <v>0</v>
      </c>
      <c r="GW235" s="76">
        <v>4900</v>
      </c>
      <c r="GX235" s="76">
        <v>34686</v>
      </c>
      <c r="GY235" s="76">
        <v>2445</v>
      </c>
      <c r="GZ235" s="76">
        <v>3105</v>
      </c>
      <c r="HA235" s="76">
        <v>4345</v>
      </c>
      <c r="HB235" s="76">
        <v>746</v>
      </c>
      <c r="HC235" s="76">
        <v>10641</v>
      </c>
      <c r="HD235" s="76">
        <v>0</v>
      </c>
      <c r="HE235" s="76">
        <v>0</v>
      </c>
      <c r="HF235" s="76">
        <v>0</v>
      </c>
      <c r="HG235" s="76">
        <v>26448</v>
      </c>
      <c r="HH235" s="76">
        <v>10</v>
      </c>
      <c r="HI235" s="76">
        <v>1337</v>
      </c>
      <c r="HJ235" s="76">
        <v>16</v>
      </c>
      <c r="HK235" s="76">
        <v>198</v>
      </c>
      <c r="HL235" s="76">
        <v>-114</v>
      </c>
      <c r="HM235" s="76">
        <v>27895</v>
      </c>
      <c r="HN235" s="76">
        <v>25416</v>
      </c>
      <c r="HO235" s="76">
        <v>24646</v>
      </c>
      <c r="HP235" s="76">
        <v>3090</v>
      </c>
      <c r="HQ235" s="76">
        <v>366</v>
      </c>
      <c r="HR235" s="76">
        <v>-218</v>
      </c>
      <c r="HS235" s="76">
        <v>-201</v>
      </c>
      <c r="HT235" s="76">
        <v>30120</v>
      </c>
      <c r="HU235" s="76">
        <v>0</v>
      </c>
      <c r="HV235" s="76">
        <v>-29</v>
      </c>
      <c r="HW235" s="76">
        <v>0</v>
      </c>
      <c r="HX235" s="76">
        <v>14</v>
      </c>
    </row>
    <row r="236" spans="1:232" x14ac:dyDescent="0.2">
      <c r="A236" s="74" t="s">
        <v>846</v>
      </c>
      <c r="B236" s="74" t="s">
        <v>847</v>
      </c>
      <c r="C236" s="75" t="s">
        <v>200</v>
      </c>
      <c r="D236" s="75">
        <v>12</v>
      </c>
      <c r="E236" s="76">
        <v>28158</v>
      </c>
      <c r="F236" s="76">
        <v>-5437</v>
      </c>
      <c r="G236" s="76">
        <v>-10847</v>
      </c>
      <c r="H236" s="76">
        <v>11874</v>
      </c>
      <c r="I236" s="76">
        <v>78</v>
      </c>
      <c r="J236" s="76">
        <v>0</v>
      </c>
      <c r="K236" s="76">
        <v>0</v>
      </c>
      <c r="L236" s="76">
        <v>0</v>
      </c>
      <c r="M236" s="76">
        <v>20</v>
      </c>
      <c r="N236" s="76">
        <v>-4465</v>
      </c>
      <c r="O236" s="76">
        <v>0</v>
      </c>
      <c r="P236" s="76">
        <v>0</v>
      </c>
      <c r="Q236" s="76">
        <v>0</v>
      </c>
      <c r="R236" s="76">
        <v>0</v>
      </c>
      <c r="S236" s="76">
        <v>7507</v>
      </c>
      <c r="T236" s="76">
        <v>-233</v>
      </c>
      <c r="U236" s="76">
        <v>7274</v>
      </c>
      <c r="V236" s="76">
        <v>0</v>
      </c>
      <c r="W236" s="76">
        <v>-999</v>
      </c>
      <c r="X236" s="76">
        <v>0</v>
      </c>
      <c r="Y236" s="76">
        <v>0</v>
      </c>
      <c r="Z236" s="76">
        <v>6275</v>
      </c>
      <c r="AA236" s="76">
        <v>18492</v>
      </c>
      <c r="AB236" s="76">
        <v>1180</v>
      </c>
      <c r="AC236" s="76">
        <v>19672</v>
      </c>
      <c r="AD236" s="76">
        <v>421</v>
      </c>
      <c r="AE236" s="76">
        <v>0</v>
      </c>
      <c r="AF236" s="76">
        <v>0</v>
      </c>
      <c r="AG236" s="76">
        <v>0</v>
      </c>
      <c r="AH236" s="76">
        <v>20093</v>
      </c>
      <c r="AI236" s="76">
        <v>3187</v>
      </c>
      <c r="AJ236" s="76">
        <v>910</v>
      </c>
      <c r="AK236" s="76">
        <v>1485</v>
      </c>
      <c r="AL236" s="76">
        <v>989</v>
      </c>
      <c r="AM236" s="76">
        <v>688</v>
      </c>
      <c r="AN236" s="76">
        <v>81</v>
      </c>
      <c r="AO236" s="76">
        <v>2890</v>
      </c>
      <c r="AP236" s="76">
        <v>-347</v>
      </c>
      <c r="AQ236" s="76">
        <v>248</v>
      </c>
      <c r="AR236" s="76">
        <v>10131</v>
      </c>
      <c r="AS236" s="76">
        <v>9962</v>
      </c>
      <c r="AT236" s="76">
        <v>70</v>
      </c>
      <c r="AU236" s="76">
        <v>179713</v>
      </c>
      <c r="AV236" s="76">
        <v>0</v>
      </c>
      <c r="AW236" s="76">
        <v>2081</v>
      </c>
      <c r="AX236" s="76">
        <v>0</v>
      </c>
      <c r="AY236" s="76">
        <v>0</v>
      </c>
      <c r="AZ236" s="76">
        <v>0</v>
      </c>
      <c r="BA236" s="76">
        <v>0</v>
      </c>
      <c r="BB236" s="76">
        <v>0</v>
      </c>
      <c r="BC236" s="76">
        <v>0</v>
      </c>
      <c r="BD236" s="76">
        <v>520</v>
      </c>
      <c r="BE236" s="76">
        <v>182314</v>
      </c>
      <c r="BF236" s="76">
        <v>861</v>
      </c>
      <c r="BG236" s="76">
        <v>1483</v>
      </c>
      <c r="BH236" s="76">
        <v>6547</v>
      </c>
      <c r="BI236" s="76">
        <v>0</v>
      </c>
      <c r="BJ236" s="76">
        <v>0</v>
      </c>
      <c r="BK236" s="76">
        <v>8891</v>
      </c>
      <c r="BL236" s="76">
        <v>3000</v>
      </c>
      <c r="BM236" s="76">
        <v>0</v>
      </c>
      <c r="BN236" s="76">
        <v>421</v>
      </c>
      <c r="BO236" s="76">
        <v>4157</v>
      </c>
      <c r="BP236" s="76">
        <v>7578</v>
      </c>
      <c r="BQ236" s="76">
        <v>1313</v>
      </c>
      <c r="BR236" s="76">
        <v>183627</v>
      </c>
      <c r="BS236" s="76">
        <v>111618</v>
      </c>
      <c r="BT236" s="76">
        <v>0</v>
      </c>
      <c r="BU236" s="76">
        <v>0</v>
      </c>
      <c r="BV236" s="76">
        <v>38668</v>
      </c>
      <c r="BW236" s="76">
        <v>0</v>
      </c>
      <c r="BX236" s="76">
        <v>0</v>
      </c>
      <c r="BY236" s="76">
        <v>7</v>
      </c>
      <c r="BZ236" s="76">
        <v>150293</v>
      </c>
      <c r="CA236" s="76">
        <v>3513</v>
      </c>
      <c r="CB236" s="76">
        <v>0</v>
      </c>
      <c r="CC236" s="76">
        <v>29821</v>
      </c>
      <c r="CD236" s="76">
        <v>29821</v>
      </c>
      <c r="CE236" s="76">
        <v>0</v>
      </c>
      <c r="CF236" s="76">
        <v>0</v>
      </c>
      <c r="CG236" s="76">
        <v>0</v>
      </c>
      <c r="CH236" s="76">
        <v>0</v>
      </c>
      <c r="CI236" s="76">
        <v>29821</v>
      </c>
      <c r="CJ236" s="76">
        <v>2711</v>
      </c>
      <c r="CK236" s="76">
        <v>1820</v>
      </c>
      <c r="CL236" s="76">
        <v>0</v>
      </c>
      <c r="CM236" s="76">
        <v>891</v>
      </c>
      <c r="CN236" s="76">
        <v>101</v>
      </c>
      <c r="CO236" s="76">
        <v>0</v>
      </c>
      <c r="CP236" s="76">
        <v>127</v>
      </c>
      <c r="CQ236" s="76">
        <v>-26</v>
      </c>
      <c r="CR236" s="76">
        <v>0</v>
      </c>
      <c r="CS236" s="76">
        <v>0</v>
      </c>
      <c r="CT236" s="76">
        <v>132</v>
      </c>
      <c r="CU236" s="76">
        <v>-132</v>
      </c>
      <c r="CV236" s="76">
        <v>0</v>
      </c>
      <c r="CW236" s="76">
        <v>0</v>
      </c>
      <c r="CX236" s="76">
        <v>0</v>
      </c>
      <c r="CY236" s="76">
        <v>0</v>
      </c>
      <c r="CZ236" s="76">
        <v>312</v>
      </c>
      <c r="DA236" s="76">
        <v>0</v>
      </c>
      <c r="DB236" s="76">
        <v>118</v>
      </c>
      <c r="DC236" s="76">
        <v>194</v>
      </c>
      <c r="DD236" s="76">
        <v>3124</v>
      </c>
      <c r="DE236" s="76">
        <v>1820</v>
      </c>
      <c r="DF236" s="76">
        <v>377</v>
      </c>
      <c r="DG236" s="76">
        <v>927</v>
      </c>
      <c r="DH236" s="76">
        <v>4662</v>
      </c>
      <c r="DI236" s="76">
        <v>3617</v>
      </c>
      <c r="DJ236" s="76">
        <v>0</v>
      </c>
      <c r="DK236" s="76">
        <v>1045</v>
      </c>
      <c r="DL236" s="76">
        <v>0</v>
      </c>
      <c r="DM236" s="76">
        <v>0</v>
      </c>
      <c r="DN236" s="76">
        <v>0</v>
      </c>
      <c r="DO236" s="76">
        <v>0</v>
      </c>
      <c r="DP236" s="76">
        <v>0</v>
      </c>
      <c r="DQ236" s="76">
        <v>0</v>
      </c>
      <c r="DR236" s="76">
        <v>0</v>
      </c>
      <c r="DS236" s="76">
        <v>0</v>
      </c>
      <c r="DT236" s="76">
        <v>0</v>
      </c>
      <c r="DU236" s="76">
        <v>0</v>
      </c>
      <c r="DV236" s="76">
        <v>0</v>
      </c>
      <c r="DW236" s="76">
        <v>0</v>
      </c>
      <c r="DX236" s="76">
        <v>0</v>
      </c>
      <c r="DY236" s="76">
        <v>0</v>
      </c>
      <c r="DZ236" s="76">
        <v>0</v>
      </c>
      <c r="EA236" s="76">
        <v>0</v>
      </c>
      <c r="EB236" s="76">
        <v>279</v>
      </c>
      <c r="EC236" s="76">
        <v>0</v>
      </c>
      <c r="ED236" s="76">
        <v>339</v>
      </c>
      <c r="EE236" s="76">
        <v>-60</v>
      </c>
      <c r="EF236" s="76">
        <v>4941</v>
      </c>
      <c r="EG236" s="76">
        <v>3617</v>
      </c>
      <c r="EH236" s="76">
        <v>339</v>
      </c>
      <c r="EI236" s="76">
        <v>985</v>
      </c>
      <c r="EJ236" s="76">
        <v>8065</v>
      </c>
      <c r="EK236" s="76">
        <v>5437</v>
      </c>
      <c r="EL236" s="76">
        <v>716</v>
      </c>
      <c r="EM236" s="76">
        <v>1912</v>
      </c>
      <c r="EN236" s="76">
        <v>402</v>
      </c>
      <c r="EO236" s="76">
        <v>186</v>
      </c>
      <c r="EP236" s="76">
        <v>201</v>
      </c>
      <c r="EQ236" s="76">
        <v>186</v>
      </c>
      <c r="ER236" s="76">
        <v>191497</v>
      </c>
      <c r="ES236" s="76">
        <v>0</v>
      </c>
      <c r="ET236" s="76">
        <v>191497</v>
      </c>
      <c r="EU236" s="76">
        <v>10370</v>
      </c>
      <c r="EV236" s="76">
        <v>-308</v>
      </c>
      <c r="EW236" s="76">
        <v>0</v>
      </c>
      <c r="EX236" s="76">
        <v>0</v>
      </c>
      <c r="EY236" s="76">
        <v>0</v>
      </c>
      <c r="EZ236" s="76">
        <v>201559</v>
      </c>
      <c r="FA236" s="76">
        <v>19515</v>
      </c>
      <c r="FB236" s="76">
        <v>2778</v>
      </c>
      <c r="FC236" s="76">
        <v>-347</v>
      </c>
      <c r="FD236" s="76">
        <v>0</v>
      </c>
      <c r="FE236" s="76">
        <v>-100</v>
      </c>
      <c r="FF236" s="76">
        <v>0</v>
      </c>
      <c r="FG236" s="76">
        <v>0</v>
      </c>
      <c r="FH236" s="76">
        <v>21846</v>
      </c>
      <c r="FI236" s="76">
        <v>179713</v>
      </c>
      <c r="FJ236" s="76">
        <v>171982</v>
      </c>
      <c r="FK236" s="76">
        <v>118</v>
      </c>
      <c r="FL236" s="76">
        <v>63</v>
      </c>
      <c r="FM236" s="76">
        <v>55</v>
      </c>
      <c r="FN236" s="76">
        <v>269</v>
      </c>
      <c r="FO236" s="76">
        <v>246</v>
      </c>
      <c r="FP236" s="76">
        <v>23</v>
      </c>
      <c r="FQ236" s="76">
        <v>0</v>
      </c>
      <c r="FR236" s="76">
        <v>0</v>
      </c>
      <c r="FS236" s="76">
        <v>0</v>
      </c>
      <c r="FT236" s="76">
        <v>0</v>
      </c>
      <c r="FU236" s="76">
        <v>0</v>
      </c>
      <c r="FV236" s="76">
        <v>0</v>
      </c>
      <c r="FW236" s="76">
        <v>0</v>
      </c>
      <c r="FX236" s="76">
        <v>0</v>
      </c>
      <c r="FY236" s="76">
        <v>0</v>
      </c>
      <c r="FZ236" s="76">
        <v>0</v>
      </c>
      <c r="GA236" s="76">
        <v>0</v>
      </c>
      <c r="GB236" s="76">
        <v>0</v>
      </c>
      <c r="GC236" s="76">
        <v>387</v>
      </c>
      <c r="GD236" s="76">
        <v>309</v>
      </c>
      <c r="GE236" s="76">
        <v>78</v>
      </c>
      <c r="GF236" s="76">
        <v>0</v>
      </c>
      <c r="GG236" s="76">
        <v>0</v>
      </c>
      <c r="GH236" s="76">
        <v>0</v>
      </c>
      <c r="GI236" s="76">
        <v>0</v>
      </c>
      <c r="GJ236" s="76">
        <v>0</v>
      </c>
      <c r="GK236" s="76">
        <v>0</v>
      </c>
      <c r="GL236" s="76">
        <v>0</v>
      </c>
      <c r="GM236" s="76">
        <v>706</v>
      </c>
      <c r="GN236" s="76">
        <v>301</v>
      </c>
      <c r="GO236" s="76">
        <v>0</v>
      </c>
      <c r="GP236" s="76">
        <v>28</v>
      </c>
      <c r="GQ236" s="76">
        <v>492</v>
      </c>
      <c r="GR236" s="76">
        <v>1600</v>
      </c>
      <c r="GS236" s="76">
        <v>0</v>
      </c>
      <c r="GT236" s="76">
        <v>0</v>
      </c>
      <c r="GU236" s="76">
        <v>0</v>
      </c>
      <c r="GV236" s="76">
        <v>0</v>
      </c>
      <c r="GW236" s="76">
        <v>1030</v>
      </c>
      <c r="GX236" s="76">
        <v>4157</v>
      </c>
      <c r="GY236" s="76">
        <v>7</v>
      </c>
      <c r="GZ236" s="76">
        <v>0</v>
      </c>
      <c r="HA236" s="76">
        <v>0</v>
      </c>
      <c r="HB236" s="76">
        <v>0</v>
      </c>
      <c r="HC236" s="76">
        <v>7</v>
      </c>
      <c r="HD236" s="76">
        <v>0</v>
      </c>
      <c r="HE236" s="76">
        <v>0</v>
      </c>
      <c r="HF236" s="76">
        <v>0</v>
      </c>
      <c r="HG236" s="76">
        <v>4580</v>
      </c>
      <c r="HH236" s="76">
        <v>40</v>
      </c>
      <c r="HI236" s="76">
        <v>85</v>
      </c>
      <c r="HJ236" s="76">
        <v>1</v>
      </c>
      <c r="HK236" s="76">
        <v>0</v>
      </c>
      <c r="HL236" s="76">
        <v>-241</v>
      </c>
      <c r="HM236" s="76">
        <v>4465</v>
      </c>
      <c r="HN236" s="76">
        <v>2120</v>
      </c>
      <c r="HO236" s="76">
        <v>3162</v>
      </c>
      <c r="HP236" s="76">
        <v>-347</v>
      </c>
      <c r="HQ236" s="76">
        <v>96</v>
      </c>
      <c r="HR236" s="76">
        <v>-3</v>
      </c>
      <c r="HS236" s="76">
        <v>4</v>
      </c>
      <c r="HT236" s="76">
        <v>3642</v>
      </c>
      <c r="HU236" s="76">
        <v>0</v>
      </c>
      <c r="HV236" s="76">
        <v>0</v>
      </c>
      <c r="HW236" s="76">
        <v>0</v>
      </c>
      <c r="HX236" s="76">
        <v>0</v>
      </c>
    </row>
    <row r="237" spans="1:232" x14ac:dyDescent="0.2">
      <c r="A237" s="74" t="s">
        <v>850</v>
      </c>
      <c r="B237" s="74" t="s">
        <v>851</v>
      </c>
      <c r="C237" s="75" t="s">
        <v>200</v>
      </c>
      <c r="D237" s="75">
        <v>12</v>
      </c>
      <c r="E237" s="76">
        <v>63555</v>
      </c>
      <c r="F237" s="76">
        <v>-3708</v>
      </c>
      <c r="G237" s="76">
        <v>-47041</v>
      </c>
      <c r="H237" s="76">
        <v>12806</v>
      </c>
      <c r="I237" s="76">
        <v>1788</v>
      </c>
      <c r="J237" s="76">
        <v>0</v>
      </c>
      <c r="K237" s="76">
        <v>-613</v>
      </c>
      <c r="L237" s="76">
        <v>0</v>
      </c>
      <c r="M237" s="76">
        <v>118</v>
      </c>
      <c r="N237" s="76">
        <v>-5369</v>
      </c>
      <c r="O237" s="76">
        <v>-97</v>
      </c>
      <c r="P237" s="76">
        <v>-350</v>
      </c>
      <c r="Q237" s="76">
        <v>0</v>
      </c>
      <c r="R237" s="76">
        <v>0</v>
      </c>
      <c r="S237" s="76">
        <v>8283</v>
      </c>
      <c r="T237" s="76">
        <v>0</v>
      </c>
      <c r="U237" s="76">
        <v>8283</v>
      </c>
      <c r="V237" s="76">
        <v>0</v>
      </c>
      <c r="W237" s="76">
        <v>-2521</v>
      </c>
      <c r="X237" s="76">
        <v>0</v>
      </c>
      <c r="Y237" s="76">
        <v>0</v>
      </c>
      <c r="Z237" s="76">
        <v>5762</v>
      </c>
      <c r="AA237" s="76">
        <v>58851</v>
      </c>
      <c r="AB237" s="76">
        <v>368</v>
      </c>
      <c r="AC237" s="76">
        <v>59219</v>
      </c>
      <c r="AD237" s="76">
        <v>169</v>
      </c>
      <c r="AE237" s="76">
        <v>0</v>
      </c>
      <c r="AF237" s="76">
        <v>0</v>
      </c>
      <c r="AG237" s="76">
        <v>231</v>
      </c>
      <c r="AH237" s="76">
        <v>59619</v>
      </c>
      <c r="AI237" s="76">
        <v>9251</v>
      </c>
      <c r="AJ237" s="76">
        <v>5990</v>
      </c>
      <c r="AK237" s="76">
        <v>7690</v>
      </c>
      <c r="AL237" s="76">
        <v>3148</v>
      </c>
      <c r="AM237" s="76">
        <v>3775</v>
      </c>
      <c r="AN237" s="76">
        <v>433</v>
      </c>
      <c r="AO237" s="76">
        <v>12662</v>
      </c>
      <c r="AP237" s="76">
        <v>0</v>
      </c>
      <c r="AQ237" s="76">
        <v>4092</v>
      </c>
      <c r="AR237" s="76">
        <v>47041</v>
      </c>
      <c r="AS237" s="76">
        <v>12578</v>
      </c>
      <c r="AT237" s="76">
        <v>245</v>
      </c>
      <c r="AU237" s="76">
        <v>320369</v>
      </c>
      <c r="AV237" s="76">
        <v>0</v>
      </c>
      <c r="AW237" s="76">
        <v>10604</v>
      </c>
      <c r="AX237" s="76">
        <v>0</v>
      </c>
      <c r="AY237" s="76">
        <v>0</v>
      </c>
      <c r="AZ237" s="76">
        <v>2213</v>
      </c>
      <c r="BA237" s="76">
        <v>0</v>
      </c>
      <c r="BB237" s="76">
        <v>0</v>
      </c>
      <c r="BC237" s="76">
        <v>0</v>
      </c>
      <c r="BD237" s="76">
        <v>0</v>
      </c>
      <c r="BE237" s="76">
        <v>333186</v>
      </c>
      <c r="BF237" s="76">
        <v>9381</v>
      </c>
      <c r="BG237" s="76">
        <v>3010</v>
      </c>
      <c r="BH237" s="76">
        <v>40996</v>
      </c>
      <c r="BI237" s="76">
        <v>0</v>
      </c>
      <c r="BJ237" s="76">
        <v>972</v>
      </c>
      <c r="BK237" s="76">
        <v>54359</v>
      </c>
      <c r="BL237" s="76">
        <v>0</v>
      </c>
      <c r="BM237" s="76">
        <v>0</v>
      </c>
      <c r="BN237" s="76">
        <v>209</v>
      </c>
      <c r="BO237" s="76">
        <v>10036</v>
      </c>
      <c r="BP237" s="76">
        <v>10245</v>
      </c>
      <c r="BQ237" s="76">
        <v>44114</v>
      </c>
      <c r="BR237" s="76">
        <v>377300</v>
      </c>
      <c r="BS237" s="76">
        <v>138872</v>
      </c>
      <c r="BT237" s="76">
        <v>0</v>
      </c>
      <c r="BU237" s="76">
        <v>0</v>
      </c>
      <c r="BV237" s="76">
        <v>9971</v>
      </c>
      <c r="BW237" s="76">
        <v>0</v>
      </c>
      <c r="BX237" s="76">
        <v>0</v>
      </c>
      <c r="BY237" s="76">
        <v>2768</v>
      </c>
      <c r="BZ237" s="76">
        <v>151611</v>
      </c>
      <c r="CA237" s="76">
        <v>20885</v>
      </c>
      <c r="CB237" s="76">
        <v>0</v>
      </c>
      <c r="CC237" s="76">
        <v>204804</v>
      </c>
      <c r="CD237" s="76">
        <v>109617</v>
      </c>
      <c r="CE237" s="76">
        <v>95187</v>
      </c>
      <c r="CF237" s="76">
        <v>0</v>
      </c>
      <c r="CG237" s="76">
        <v>0</v>
      </c>
      <c r="CH237" s="76">
        <v>0</v>
      </c>
      <c r="CI237" s="76">
        <v>204804</v>
      </c>
      <c r="CJ237" s="76">
        <v>1182</v>
      </c>
      <c r="CK237" s="76">
        <v>1288</v>
      </c>
      <c r="CL237" s="76">
        <v>0</v>
      </c>
      <c r="CM237" s="76">
        <v>-106</v>
      </c>
      <c r="CN237" s="76">
        <v>0</v>
      </c>
      <c r="CO237" s="76">
        <v>0</v>
      </c>
      <c r="CP237" s="76">
        <v>0</v>
      </c>
      <c r="CQ237" s="76">
        <v>0</v>
      </c>
      <c r="CR237" s="76">
        <v>0</v>
      </c>
      <c r="CS237" s="76">
        <v>0</v>
      </c>
      <c r="CT237" s="76">
        <v>0</v>
      </c>
      <c r="CU237" s="76">
        <v>0</v>
      </c>
      <c r="CV237" s="76">
        <v>0</v>
      </c>
      <c r="CW237" s="76">
        <v>0</v>
      </c>
      <c r="CX237" s="76">
        <v>0</v>
      </c>
      <c r="CY237" s="76">
        <v>0</v>
      </c>
      <c r="CZ237" s="76">
        <v>0</v>
      </c>
      <c r="DA237" s="76">
        <v>0</v>
      </c>
      <c r="DB237" s="76">
        <v>0</v>
      </c>
      <c r="DC237" s="76">
        <v>0</v>
      </c>
      <c r="DD237" s="76">
        <v>1182</v>
      </c>
      <c r="DE237" s="76">
        <v>1288</v>
      </c>
      <c r="DF237" s="76">
        <v>0</v>
      </c>
      <c r="DG237" s="76">
        <v>-106</v>
      </c>
      <c r="DH237" s="76">
        <v>0</v>
      </c>
      <c r="DI237" s="76">
        <v>0</v>
      </c>
      <c r="DJ237" s="76">
        <v>0</v>
      </c>
      <c r="DK237" s="76">
        <v>0</v>
      </c>
      <c r="DL237" s="76">
        <v>0</v>
      </c>
      <c r="DM237" s="76">
        <v>0</v>
      </c>
      <c r="DN237" s="76">
        <v>0</v>
      </c>
      <c r="DO237" s="76">
        <v>0</v>
      </c>
      <c r="DP237" s="76">
        <v>0</v>
      </c>
      <c r="DQ237" s="76">
        <v>0</v>
      </c>
      <c r="DR237" s="76">
        <v>0</v>
      </c>
      <c r="DS237" s="76">
        <v>0</v>
      </c>
      <c r="DT237" s="76">
        <v>99</v>
      </c>
      <c r="DU237" s="76">
        <v>0</v>
      </c>
      <c r="DV237" s="76">
        <v>0</v>
      </c>
      <c r="DW237" s="76">
        <v>99</v>
      </c>
      <c r="DX237" s="76">
        <v>0</v>
      </c>
      <c r="DY237" s="76">
        <v>0</v>
      </c>
      <c r="DZ237" s="76">
        <v>0</v>
      </c>
      <c r="EA237" s="76">
        <v>0</v>
      </c>
      <c r="EB237" s="76">
        <v>2655</v>
      </c>
      <c r="EC237" s="76">
        <v>2420</v>
      </c>
      <c r="ED237" s="76">
        <v>0</v>
      </c>
      <c r="EE237" s="76">
        <v>235</v>
      </c>
      <c r="EF237" s="76">
        <v>2754</v>
      </c>
      <c r="EG237" s="76">
        <v>2420</v>
      </c>
      <c r="EH237" s="76">
        <v>0</v>
      </c>
      <c r="EI237" s="76">
        <v>334</v>
      </c>
      <c r="EJ237" s="76">
        <v>3936</v>
      </c>
      <c r="EK237" s="76">
        <v>3708</v>
      </c>
      <c r="EL237" s="76">
        <v>0</v>
      </c>
      <c r="EM237" s="76">
        <v>228</v>
      </c>
      <c r="EN237" s="76">
        <v>2958</v>
      </c>
      <c r="EO237" s="76">
        <v>1831</v>
      </c>
      <c r="EP237" s="76">
        <v>787</v>
      </c>
      <c r="EQ237" s="76">
        <v>1831</v>
      </c>
      <c r="ER237" s="76">
        <v>337003</v>
      </c>
      <c r="ES237" s="76">
        <v>0</v>
      </c>
      <c r="ET237" s="76">
        <v>337003</v>
      </c>
      <c r="EU237" s="76">
        <v>26374</v>
      </c>
      <c r="EV237" s="76">
        <v>-5368</v>
      </c>
      <c r="EW237" s="76">
        <v>0</v>
      </c>
      <c r="EX237" s="76">
        <v>0</v>
      </c>
      <c r="EY237" s="76">
        <v>0</v>
      </c>
      <c r="EZ237" s="76">
        <v>358009</v>
      </c>
      <c r="FA237" s="76">
        <v>25651</v>
      </c>
      <c r="FB237" s="76">
        <v>12662</v>
      </c>
      <c r="FC237" s="76">
        <v>0</v>
      </c>
      <c r="FD237" s="76">
        <v>0</v>
      </c>
      <c r="FE237" s="76">
        <v>-673</v>
      </c>
      <c r="FF237" s="76">
        <v>0</v>
      </c>
      <c r="FG237" s="76">
        <v>0</v>
      </c>
      <c r="FH237" s="76">
        <v>37640</v>
      </c>
      <c r="FI237" s="76">
        <v>320369</v>
      </c>
      <c r="FJ237" s="76">
        <v>311352</v>
      </c>
      <c r="FK237" s="76">
        <v>269</v>
      </c>
      <c r="FL237" s="76">
        <v>193</v>
      </c>
      <c r="FM237" s="76">
        <v>76</v>
      </c>
      <c r="FN237" s="76">
        <v>4151</v>
      </c>
      <c r="FO237" s="76">
        <v>2439</v>
      </c>
      <c r="FP237" s="76">
        <v>1712</v>
      </c>
      <c r="FQ237" s="76">
        <v>0</v>
      </c>
      <c r="FR237" s="76">
        <v>0</v>
      </c>
      <c r="FS237" s="76">
        <v>0</v>
      </c>
      <c r="FT237" s="76">
        <v>0</v>
      </c>
      <c r="FU237" s="76">
        <v>0</v>
      </c>
      <c r="FV237" s="76">
        <v>0</v>
      </c>
      <c r="FW237" s="76">
        <v>0</v>
      </c>
      <c r="FX237" s="76">
        <v>0</v>
      </c>
      <c r="FY237" s="76">
        <v>0</v>
      </c>
      <c r="FZ237" s="76">
        <v>0</v>
      </c>
      <c r="GA237" s="76">
        <v>0</v>
      </c>
      <c r="GB237" s="76">
        <v>0</v>
      </c>
      <c r="GC237" s="76">
        <v>4420</v>
      </c>
      <c r="GD237" s="76">
        <v>2632</v>
      </c>
      <c r="GE237" s="76">
        <v>1788</v>
      </c>
      <c r="GF237" s="76">
        <v>0</v>
      </c>
      <c r="GG237" s="76">
        <v>0</v>
      </c>
      <c r="GH237" s="76">
        <v>0</v>
      </c>
      <c r="GI237" s="76">
        <v>0</v>
      </c>
      <c r="GJ237" s="76">
        <v>0</v>
      </c>
      <c r="GK237" s="76">
        <v>972</v>
      </c>
      <c r="GL237" s="76">
        <v>972</v>
      </c>
      <c r="GM237" s="76">
        <v>1194</v>
      </c>
      <c r="GN237" s="76">
        <v>1756</v>
      </c>
      <c r="GO237" s="76">
        <v>0</v>
      </c>
      <c r="GP237" s="76">
        <v>0</v>
      </c>
      <c r="GQ237" s="76">
        <v>5</v>
      </c>
      <c r="GR237" s="76">
        <v>6775</v>
      </c>
      <c r="GS237" s="76">
        <v>0</v>
      </c>
      <c r="GT237" s="76">
        <v>0</v>
      </c>
      <c r="GU237" s="76">
        <v>0</v>
      </c>
      <c r="GV237" s="76">
        <v>0</v>
      </c>
      <c r="GW237" s="76">
        <v>306</v>
      </c>
      <c r="GX237" s="76">
        <v>10036</v>
      </c>
      <c r="GY237" s="76">
        <v>0</v>
      </c>
      <c r="GZ237" s="76">
        <v>2548</v>
      </c>
      <c r="HA237" s="76">
        <v>0</v>
      </c>
      <c r="HB237" s="76">
        <v>220</v>
      </c>
      <c r="HC237" s="76">
        <v>2768</v>
      </c>
      <c r="HD237" s="76">
        <v>0</v>
      </c>
      <c r="HE237" s="76">
        <v>0</v>
      </c>
      <c r="HF237" s="76">
        <v>0</v>
      </c>
      <c r="HG237" s="76">
        <v>5312</v>
      </c>
      <c r="HH237" s="76">
        <v>0</v>
      </c>
      <c r="HI237" s="76">
        <v>0</v>
      </c>
      <c r="HJ237" s="76">
        <v>0</v>
      </c>
      <c r="HK237" s="76">
        <v>57</v>
      </c>
      <c r="HL237" s="76">
        <v>0</v>
      </c>
      <c r="HM237" s="76">
        <v>5369</v>
      </c>
      <c r="HN237" s="76">
        <v>9402</v>
      </c>
      <c r="HO237" s="76">
        <v>15333</v>
      </c>
      <c r="HP237" s="76">
        <v>0</v>
      </c>
      <c r="HQ237" s="76">
        <v>129</v>
      </c>
      <c r="HR237" s="76">
        <v>-110</v>
      </c>
      <c r="HS237" s="76">
        <v>0</v>
      </c>
      <c r="HT237" s="76">
        <v>13520</v>
      </c>
      <c r="HU237" s="76">
        <v>0</v>
      </c>
      <c r="HV237" s="76">
        <v>0</v>
      </c>
      <c r="HW237" s="76">
        <v>0</v>
      </c>
      <c r="HX237" s="76">
        <v>12</v>
      </c>
    </row>
    <row r="238" spans="1:232" x14ac:dyDescent="0.2">
      <c r="A238" s="74" t="s">
        <v>852</v>
      </c>
      <c r="B238" s="74" t="s">
        <v>853</v>
      </c>
      <c r="C238" s="75" t="s">
        <v>200</v>
      </c>
      <c r="D238" s="75">
        <v>12</v>
      </c>
      <c r="E238" s="76">
        <v>58210</v>
      </c>
      <c r="F238" s="76">
        <v>-4258</v>
      </c>
      <c r="G238" s="76">
        <v>-34138</v>
      </c>
      <c r="H238" s="76">
        <v>19814</v>
      </c>
      <c r="I238" s="76">
        <v>2627</v>
      </c>
      <c r="J238" s="76">
        <v>0</v>
      </c>
      <c r="K238" s="76">
        <v>-1091</v>
      </c>
      <c r="L238" s="76">
        <v>9</v>
      </c>
      <c r="M238" s="76">
        <v>38</v>
      </c>
      <c r="N238" s="76">
        <v>-7298</v>
      </c>
      <c r="O238" s="76">
        <v>726</v>
      </c>
      <c r="P238" s="76">
        <v>0</v>
      </c>
      <c r="Q238" s="76">
        <v>0</v>
      </c>
      <c r="R238" s="76">
        <v>0</v>
      </c>
      <c r="S238" s="76">
        <v>14825</v>
      </c>
      <c r="T238" s="76">
        <v>-39</v>
      </c>
      <c r="U238" s="76">
        <v>14786</v>
      </c>
      <c r="V238" s="76">
        <v>0</v>
      </c>
      <c r="W238" s="76">
        <v>-10646</v>
      </c>
      <c r="X238" s="76">
        <v>-431</v>
      </c>
      <c r="Y238" s="76">
        <v>1227</v>
      </c>
      <c r="Z238" s="76">
        <v>4936</v>
      </c>
      <c r="AA238" s="76">
        <v>46277</v>
      </c>
      <c r="AB238" s="76">
        <v>2137</v>
      </c>
      <c r="AC238" s="76">
        <v>48414</v>
      </c>
      <c r="AD238" s="76">
        <v>557</v>
      </c>
      <c r="AE238" s="76">
        <v>0</v>
      </c>
      <c r="AF238" s="76">
        <v>0</v>
      </c>
      <c r="AG238" s="76">
        <v>690</v>
      </c>
      <c r="AH238" s="76">
        <v>49661</v>
      </c>
      <c r="AI238" s="76">
        <v>8692</v>
      </c>
      <c r="AJ238" s="76">
        <v>2137</v>
      </c>
      <c r="AK238" s="76">
        <v>8870</v>
      </c>
      <c r="AL238" s="76">
        <v>0</v>
      </c>
      <c r="AM238" s="76">
        <v>3214</v>
      </c>
      <c r="AN238" s="76">
        <v>80</v>
      </c>
      <c r="AO238" s="76">
        <v>6352</v>
      </c>
      <c r="AP238" s="76">
        <v>0</v>
      </c>
      <c r="AQ238" s="76">
        <v>0</v>
      </c>
      <c r="AR238" s="76">
        <v>29345</v>
      </c>
      <c r="AS238" s="76">
        <v>20316</v>
      </c>
      <c r="AT238" s="76">
        <v>276</v>
      </c>
      <c r="AU238" s="76">
        <v>473949</v>
      </c>
      <c r="AV238" s="76">
        <v>0</v>
      </c>
      <c r="AW238" s="76">
        <v>3697</v>
      </c>
      <c r="AX238" s="76">
        <v>489</v>
      </c>
      <c r="AY238" s="76">
        <v>0</v>
      </c>
      <c r="AZ238" s="76">
        <v>9998</v>
      </c>
      <c r="BA238" s="76">
        <v>107</v>
      </c>
      <c r="BB238" s="76">
        <v>0</v>
      </c>
      <c r="BC238" s="76">
        <v>0</v>
      </c>
      <c r="BD238" s="76">
        <v>0</v>
      </c>
      <c r="BE238" s="76">
        <v>488240</v>
      </c>
      <c r="BF238" s="76">
        <v>8185</v>
      </c>
      <c r="BG238" s="76">
        <v>3171</v>
      </c>
      <c r="BH238" s="76">
        <v>12548</v>
      </c>
      <c r="BI238" s="76">
        <v>75</v>
      </c>
      <c r="BJ238" s="76">
        <v>79</v>
      </c>
      <c r="BK238" s="76">
        <v>24058</v>
      </c>
      <c r="BL238" s="76">
        <v>4499</v>
      </c>
      <c r="BM238" s="76">
        <v>0</v>
      </c>
      <c r="BN238" s="76">
        <v>1</v>
      </c>
      <c r="BO238" s="76">
        <v>13866</v>
      </c>
      <c r="BP238" s="76">
        <v>18366</v>
      </c>
      <c r="BQ238" s="76">
        <v>5692</v>
      </c>
      <c r="BR238" s="76">
        <v>493932</v>
      </c>
      <c r="BS238" s="76">
        <v>184766</v>
      </c>
      <c r="BT238" s="76">
        <v>0</v>
      </c>
      <c r="BU238" s="76">
        <v>0</v>
      </c>
      <c r="BV238" s="76">
        <v>2</v>
      </c>
      <c r="BW238" s="76">
        <v>0</v>
      </c>
      <c r="BX238" s="76">
        <v>8785</v>
      </c>
      <c r="BY238" s="76">
        <v>65002</v>
      </c>
      <c r="BZ238" s="76">
        <v>258555</v>
      </c>
      <c r="CA238" s="76">
        <v>38897</v>
      </c>
      <c r="CB238" s="76">
        <v>133</v>
      </c>
      <c r="CC238" s="76">
        <v>196347</v>
      </c>
      <c r="CD238" s="76">
        <v>61016</v>
      </c>
      <c r="CE238" s="76">
        <v>144116</v>
      </c>
      <c r="CF238" s="76">
        <v>0</v>
      </c>
      <c r="CG238" s="76">
        <v>-8785</v>
      </c>
      <c r="CH238" s="76">
        <v>0</v>
      </c>
      <c r="CI238" s="76">
        <v>196347</v>
      </c>
      <c r="CJ238" s="76">
        <v>5867</v>
      </c>
      <c r="CK238" s="76">
        <v>4258</v>
      </c>
      <c r="CL238" s="76">
        <v>0</v>
      </c>
      <c r="CM238" s="76">
        <v>1609</v>
      </c>
      <c r="CN238" s="76">
        <v>446</v>
      </c>
      <c r="CO238" s="76">
        <v>0</v>
      </c>
      <c r="CP238" s="76">
        <v>726</v>
      </c>
      <c r="CQ238" s="76">
        <v>-280</v>
      </c>
      <c r="CR238" s="76">
        <v>0</v>
      </c>
      <c r="CS238" s="76">
        <v>0</v>
      </c>
      <c r="CT238" s="76">
        <v>0</v>
      </c>
      <c r="CU238" s="76">
        <v>0</v>
      </c>
      <c r="CV238" s="76">
        <v>0</v>
      </c>
      <c r="CW238" s="76">
        <v>0</v>
      </c>
      <c r="CX238" s="76">
        <v>0</v>
      </c>
      <c r="CY238" s="76">
        <v>0</v>
      </c>
      <c r="CZ238" s="76">
        <v>638</v>
      </c>
      <c r="DA238" s="76">
        <v>0</v>
      </c>
      <c r="DB238" s="76">
        <v>0</v>
      </c>
      <c r="DC238" s="76">
        <v>638</v>
      </c>
      <c r="DD238" s="76">
        <v>6951</v>
      </c>
      <c r="DE238" s="76">
        <v>4258</v>
      </c>
      <c r="DF238" s="76">
        <v>726</v>
      </c>
      <c r="DG238" s="76">
        <v>1967</v>
      </c>
      <c r="DH238" s="76">
        <v>0</v>
      </c>
      <c r="DI238" s="76">
        <v>0</v>
      </c>
      <c r="DJ238" s="76">
        <v>0</v>
      </c>
      <c r="DK238" s="76">
        <v>0</v>
      </c>
      <c r="DL238" s="76">
        <v>0</v>
      </c>
      <c r="DM238" s="76">
        <v>0</v>
      </c>
      <c r="DN238" s="76">
        <v>0</v>
      </c>
      <c r="DO238" s="76">
        <v>0</v>
      </c>
      <c r="DP238" s="76">
        <v>0</v>
      </c>
      <c r="DQ238" s="76">
        <v>0</v>
      </c>
      <c r="DR238" s="76">
        <v>0</v>
      </c>
      <c r="DS238" s="76">
        <v>0</v>
      </c>
      <c r="DT238" s="76">
        <v>54</v>
      </c>
      <c r="DU238" s="76">
        <v>0</v>
      </c>
      <c r="DV238" s="76">
        <v>3</v>
      </c>
      <c r="DW238" s="76">
        <v>51</v>
      </c>
      <c r="DX238" s="76">
        <v>65</v>
      </c>
      <c r="DY238" s="76">
        <v>0</v>
      </c>
      <c r="DZ238" s="76">
        <v>65</v>
      </c>
      <c r="EA238" s="76">
        <v>0</v>
      </c>
      <c r="EB238" s="76">
        <v>1479</v>
      </c>
      <c r="EC238" s="76">
        <v>0</v>
      </c>
      <c r="ED238" s="76">
        <v>3999</v>
      </c>
      <c r="EE238" s="76">
        <v>-2520</v>
      </c>
      <c r="EF238" s="76">
        <v>1598</v>
      </c>
      <c r="EG238" s="76">
        <v>0</v>
      </c>
      <c r="EH238" s="76">
        <v>4067</v>
      </c>
      <c r="EI238" s="76">
        <v>-2469</v>
      </c>
      <c r="EJ238" s="76">
        <v>8549</v>
      </c>
      <c r="EK238" s="76">
        <v>4258</v>
      </c>
      <c r="EL238" s="76">
        <v>4793</v>
      </c>
      <c r="EM238" s="76">
        <v>-502</v>
      </c>
      <c r="EN238" s="76">
        <v>836</v>
      </c>
      <c r="EO238" s="76">
        <v>467</v>
      </c>
      <c r="EP238" s="76">
        <v>441</v>
      </c>
      <c r="EQ238" s="76">
        <v>467</v>
      </c>
      <c r="ER238" s="76">
        <v>482095</v>
      </c>
      <c r="ES238" s="76">
        <v>0</v>
      </c>
      <c r="ET238" s="76">
        <v>482095</v>
      </c>
      <c r="EU238" s="76">
        <v>25265</v>
      </c>
      <c r="EV238" s="76">
        <v>-2442</v>
      </c>
      <c r="EW238" s="76">
        <v>0</v>
      </c>
      <c r="EX238" s="76">
        <v>0</v>
      </c>
      <c r="EY238" s="76">
        <v>0</v>
      </c>
      <c r="EZ238" s="76">
        <v>504918</v>
      </c>
      <c r="FA238" s="76">
        <v>25121</v>
      </c>
      <c r="FB238" s="76">
        <v>6201</v>
      </c>
      <c r="FC238" s="76">
        <v>0</v>
      </c>
      <c r="FD238" s="76">
        <v>0</v>
      </c>
      <c r="FE238" s="76">
        <v>-353</v>
      </c>
      <c r="FF238" s="76">
        <v>0</v>
      </c>
      <c r="FG238" s="76">
        <v>0</v>
      </c>
      <c r="FH238" s="76">
        <v>30969</v>
      </c>
      <c r="FI238" s="76">
        <v>473949</v>
      </c>
      <c r="FJ238" s="76">
        <v>456974</v>
      </c>
      <c r="FK238" s="76">
        <v>838</v>
      </c>
      <c r="FL238" s="76">
        <v>588</v>
      </c>
      <c r="FM238" s="76">
        <v>250</v>
      </c>
      <c r="FN238" s="76">
        <v>1595</v>
      </c>
      <c r="FO238" s="76">
        <v>1323</v>
      </c>
      <c r="FP238" s="76">
        <v>272</v>
      </c>
      <c r="FQ238" s="76">
        <v>385</v>
      </c>
      <c r="FR238" s="76">
        <v>412</v>
      </c>
      <c r="FS238" s="76">
        <v>-27</v>
      </c>
      <c r="FT238" s="76">
        <v>0</v>
      </c>
      <c r="FU238" s="76">
        <v>0</v>
      </c>
      <c r="FV238" s="76">
        <v>0</v>
      </c>
      <c r="FW238" s="76">
        <v>0</v>
      </c>
      <c r="FX238" s="76">
        <v>0</v>
      </c>
      <c r="FY238" s="76">
        <v>0</v>
      </c>
      <c r="FZ238" s="76">
        <v>2646</v>
      </c>
      <c r="GA238" s="76">
        <v>514</v>
      </c>
      <c r="GB238" s="76">
        <v>2132</v>
      </c>
      <c r="GC238" s="76">
        <v>5464</v>
      </c>
      <c r="GD238" s="76">
        <v>2837</v>
      </c>
      <c r="GE238" s="76">
        <v>2627</v>
      </c>
      <c r="GF238" s="76">
        <v>0</v>
      </c>
      <c r="GG238" s="76">
        <v>0</v>
      </c>
      <c r="GH238" s="76">
        <v>0</v>
      </c>
      <c r="GI238" s="76">
        <v>0</v>
      </c>
      <c r="GJ238" s="76">
        <v>0</v>
      </c>
      <c r="GK238" s="76">
        <v>79</v>
      </c>
      <c r="GL238" s="76">
        <v>79</v>
      </c>
      <c r="GM238" s="76">
        <v>133</v>
      </c>
      <c r="GN238" s="76">
        <v>1677</v>
      </c>
      <c r="GO238" s="76">
        <v>0</v>
      </c>
      <c r="GP238" s="76">
        <v>427</v>
      </c>
      <c r="GQ238" s="76">
        <v>652</v>
      </c>
      <c r="GR238" s="76">
        <v>2516</v>
      </c>
      <c r="GS238" s="76">
        <v>0</v>
      </c>
      <c r="GT238" s="76">
        <v>0</v>
      </c>
      <c r="GU238" s="76">
        <v>0</v>
      </c>
      <c r="GV238" s="76">
        <v>0</v>
      </c>
      <c r="GW238" s="76">
        <v>8461</v>
      </c>
      <c r="GX238" s="76">
        <v>13866</v>
      </c>
      <c r="GY238" s="76">
        <v>0</v>
      </c>
      <c r="GZ238" s="76">
        <v>0</v>
      </c>
      <c r="HA238" s="76">
        <v>0</v>
      </c>
      <c r="HB238" s="76">
        <v>65002</v>
      </c>
      <c r="HC238" s="76">
        <v>65002</v>
      </c>
      <c r="HD238" s="76">
        <v>0</v>
      </c>
      <c r="HE238" s="76">
        <v>133</v>
      </c>
      <c r="HF238" s="76">
        <v>133</v>
      </c>
      <c r="HG238" s="76">
        <v>6472</v>
      </c>
      <c r="HH238" s="76">
        <v>20</v>
      </c>
      <c r="HI238" s="76">
        <v>997</v>
      </c>
      <c r="HJ238" s="76">
        <v>0</v>
      </c>
      <c r="HK238" s="76">
        <v>0</v>
      </c>
      <c r="HL238" s="76">
        <v>-191</v>
      </c>
      <c r="HM238" s="76">
        <v>7298</v>
      </c>
      <c r="HN238" s="76">
        <v>8197</v>
      </c>
      <c r="HO238" s="76">
        <v>6460</v>
      </c>
      <c r="HP238" s="76">
        <v>0</v>
      </c>
      <c r="HQ238" s="76">
        <v>144</v>
      </c>
      <c r="HR238" s="76">
        <v>-44</v>
      </c>
      <c r="HS238" s="76">
        <v>1</v>
      </c>
      <c r="HT238" s="76">
        <v>9939</v>
      </c>
      <c r="HU238" s="76">
        <v>0</v>
      </c>
      <c r="HV238" s="76">
        <v>0</v>
      </c>
      <c r="HW238" s="76">
        <v>0</v>
      </c>
      <c r="HX238" s="76">
        <v>8</v>
      </c>
    </row>
    <row r="239" spans="1:232" x14ac:dyDescent="0.2">
      <c r="A239" s="74" t="s">
        <v>855</v>
      </c>
      <c r="B239" s="74" t="s">
        <v>856</v>
      </c>
      <c r="C239" s="75" t="s">
        <v>200</v>
      </c>
      <c r="D239" s="75">
        <v>12</v>
      </c>
      <c r="E239" s="76">
        <v>23241</v>
      </c>
      <c r="F239" s="76">
        <v>-1953</v>
      </c>
      <c r="G239" s="76">
        <v>-17536</v>
      </c>
      <c r="H239" s="76">
        <v>3752</v>
      </c>
      <c r="I239" s="76">
        <v>861</v>
      </c>
      <c r="J239" s="76">
        <v>0</v>
      </c>
      <c r="K239" s="76">
        <v>0</v>
      </c>
      <c r="L239" s="76">
        <v>0</v>
      </c>
      <c r="M239" s="76">
        <v>50</v>
      </c>
      <c r="N239" s="76">
        <v>-2045</v>
      </c>
      <c r="O239" s="76">
        <v>0</v>
      </c>
      <c r="P239" s="76">
        <v>0</v>
      </c>
      <c r="Q239" s="76">
        <v>0</v>
      </c>
      <c r="R239" s="76">
        <v>0</v>
      </c>
      <c r="S239" s="76">
        <v>2618</v>
      </c>
      <c r="T239" s="76">
        <v>-32</v>
      </c>
      <c r="U239" s="76">
        <v>2586</v>
      </c>
      <c r="V239" s="76">
        <v>0</v>
      </c>
      <c r="W239" s="76">
        <v>-333</v>
      </c>
      <c r="X239" s="76">
        <v>0</v>
      </c>
      <c r="Y239" s="76">
        <v>0</v>
      </c>
      <c r="Z239" s="76">
        <v>2253</v>
      </c>
      <c r="AA239" s="76">
        <v>19061</v>
      </c>
      <c r="AB239" s="76">
        <v>185</v>
      </c>
      <c r="AC239" s="76">
        <v>19246</v>
      </c>
      <c r="AD239" s="76">
        <v>61</v>
      </c>
      <c r="AE239" s="76">
        <v>0</v>
      </c>
      <c r="AF239" s="76">
        <v>0</v>
      </c>
      <c r="AG239" s="76">
        <v>0</v>
      </c>
      <c r="AH239" s="76">
        <v>19307</v>
      </c>
      <c r="AI239" s="76">
        <v>3870</v>
      </c>
      <c r="AJ239" s="76">
        <v>259</v>
      </c>
      <c r="AK239" s="76">
        <v>2773</v>
      </c>
      <c r="AL239" s="76">
        <v>1295</v>
      </c>
      <c r="AM239" s="76">
        <v>3264</v>
      </c>
      <c r="AN239" s="76">
        <v>204</v>
      </c>
      <c r="AO239" s="76">
        <v>3346</v>
      </c>
      <c r="AP239" s="76">
        <v>73</v>
      </c>
      <c r="AQ239" s="76">
        <v>641</v>
      </c>
      <c r="AR239" s="76">
        <v>15725</v>
      </c>
      <c r="AS239" s="76">
        <v>3582</v>
      </c>
      <c r="AT239" s="76">
        <v>279</v>
      </c>
      <c r="AU239" s="76">
        <v>75077</v>
      </c>
      <c r="AV239" s="76">
        <v>0</v>
      </c>
      <c r="AW239" s="76">
        <v>2498</v>
      </c>
      <c r="AX239" s="76">
        <v>258</v>
      </c>
      <c r="AY239" s="76">
        <v>0</v>
      </c>
      <c r="AZ239" s="76">
        <v>0</v>
      </c>
      <c r="BA239" s="76">
        <v>0</v>
      </c>
      <c r="BB239" s="76">
        <v>0</v>
      </c>
      <c r="BC239" s="76">
        <v>0</v>
      </c>
      <c r="BD239" s="76">
        <v>0</v>
      </c>
      <c r="BE239" s="76">
        <v>77833</v>
      </c>
      <c r="BF239" s="76">
        <v>178</v>
      </c>
      <c r="BG239" s="76">
        <v>1949</v>
      </c>
      <c r="BH239" s="76">
        <v>6792</v>
      </c>
      <c r="BI239" s="76">
        <v>0</v>
      </c>
      <c r="BJ239" s="76">
        <v>0</v>
      </c>
      <c r="BK239" s="76">
        <v>8919</v>
      </c>
      <c r="BL239" s="76">
        <v>0</v>
      </c>
      <c r="BM239" s="76">
        <v>0</v>
      </c>
      <c r="BN239" s="76">
        <v>61</v>
      </c>
      <c r="BO239" s="76">
        <v>2888</v>
      </c>
      <c r="BP239" s="76">
        <v>2949</v>
      </c>
      <c r="BQ239" s="76">
        <v>5970</v>
      </c>
      <c r="BR239" s="76">
        <v>83803</v>
      </c>
      <c r="BS239" s="76">
        <v>45681</v>
      </c>
      <c r="BT239" s="76">
        <v>0</v>
      </c>
      <c r="BU239" s="76">
        <v>0</v>
      </c>
      <c r="BV239" s="76">
        <v>5836</v>
      </c>
      <c r="BW239" s="76">
        <v>0</v>
      </c>
      <c r="BX239" s="76">
        <v>0</v>
      </c>
      <c r="BY239" s="76">
        <v>0</v>
      </c>
      <c r="BZ239" s="76">
        <v>51517</v>
      </c>
      <c r="CA239" s="76">
        <v>-72</v>
      </c>
      <c r="CB239" s="76">
        <v>87</v>
      </c>
      <c r="CC239" s="76">
        <v>32271</v>
      </c>
      <c r="CD239" s="76">
        <v>32271</v>
      </c>
      <c r="CE239" s="76">
        <v>0</v>
      </c>
      <c r="CF239" s="76">
        <v>0</v>
      </c>
      <c r="CG239" s="76">
        <v>0</v>
      </c>
      <c r="CH239" s="76">
        <v>0</v>
      </c>
      <c r="CI239" s="76">
        <v>32271</v>
      </c>
      <c r="CJ239" s="76">
        <v>1156</v>
      </c>
      <c r="CK239" s="76">
        <v>657</v>
      </c>
      <c r="CL239" s="76">
        <v>0</v>
      </c>
      <c r="CM239" s="76">
        <v>499</v>
      </c>
      <c r="CN239" s="76">
        <v>485</v>
      </c>
      <c r="CO239" s="76">
        <v>0</v>
      </c>
      <c r="CP239" s="76">
        <v>990</v>
      </c>
      <c r="CQ239" s="76">
        <v>-505</v>
      </c>
      <c r="CR239" s="76">
        <v>0</v>
      </c>
      <c r="CS239" s="76">
        <v>0</v>
      </c>
      <c r="CT239" s="76">
        <v>0</v>
      </c>
      <c r="CU239" s="76">
        <v>0</v>
      </c>
      <c r="CV239" s="76">
        <v>0</v>
      </c>
      <c r="CW239" s="76">
        <v>0</v>
      </c>
      <c r="CX239" s="76">
        <v>0</v>
      </c>
      <c r="CY239" s="76">
        <v>0</v>
      </c>
      <c r="CZ239" s="76">
        <v>117</v>
      </c>
      <c r="DA239" s="76">
        <v>0</v>
      </c>
      <c r="DB239" s="76">
        <v>83</v>
      </c>
      <c r="DC239" s="76">
        <v>34</v>
      </c>
      <c r="DD239" s="76">
        <v>1758</v>
      </c>
      <c r="DE239" s="76">
        <v>657</v>
      </c>
      <c r="DF239" s="76">
        <v>1073</v>
      </c>
      <c r="DG239" s="76">
        <v>28</v>
      </c>
      <c r="DH239" s="76">
        <v>1455</v>
      </c>
      <c r="DI239" s="76">
        <v>1296</v>
      </c>
      <c r="DJ239" s="76">
        <v>0</v>
      </c>
      <c r="DK239" s="76">
        <v>159</v>
      </c>
      <c r="DL239" s="76">
        <v>0</v>
      </c>
      <c r="DM239" s="76">
        <v>0</v>
      </c>
      <c r="DN239" s="76">
        <v>0</v>
      </c>
      <c r="DO239" s="76">
        <v>0</v>
      </c>
      <c r="DP239" s="76">
        <v>0</v>
      </c>
      <c r="DQ239" s="76">
        <v>0</v>
      </c>
      <c r="DR239" s="76">
        <v>0</v>
      </c>
      <c r="DS239" s="76">
        <v>0</v>
      </c>
      <c r="DT239" s="76">
        <v>0</v>
      </c>
      <c r="DU239" s="76">
        <v>0</v>
      </c>
      <c r="DV239" s="76">
        <v>0</v>
      </c>
      <c r="DW239" s="76">
        <v>0</v>
      </c>
      <c r="DX239" s="76">
        <v>490</v>
      </c>
      <c r="DY239" s="76">
        <v>0</v>
      </c>
      <c r="DZ239" s="76">
        <v>440</v>
      </c>
      <c r="EA239" s="76">
        <v>50</v>
      </c>
      <c r="EB239" s="76">
        <v>231</v>
      </c>
      <c r="EC239" s="76">
        <v>0</v>
      </c>
      <c r="ED239" s="76">
        <v>298</v>
      </c>
      <c r="EE239" s="76">
        <v>-67</v>
      </c>
      <c r="EF239" s="76">
        <v>2176</v>
      </c>
      <c r="EG239" s="76">
        <v>1296</v>
      </c>
      <c r="EH239" s="76">
        <v>738</v>
      </c>
      <c r="EI239" s="76">
        <v>142</v>
      </c>
      <c r="EJ239" s="76">
        <v>3934</v>
      </c>
      <c r="EK239" s="76">
        <v>1953</v>
      </c>
      <c r="EL239" s="76">
        <v>1811</v>
      </c>
      <c r="EM239" s="76">
        <v>170</v>
      </c>
      <c r="EN239" s="76">
        <v>986</v>
      </c>
      <c r="EO239" s="76">
        <v>368</v>
      </c>
      <c r="EP239" s="76">
        <v>79</v>
      </c>
      <c r="EQ239" s="76">
        <v>350</v>
      </c>
      <c r="ER239" s="76">
        <v>92924</v>
      </c>
      <c r="ES239" s="76">
        <v>0</v>
      </c>
      <c r="ET239" s="76">
        <v>92924</v>
      </c>
      <c r="EU239" s="76">
        <v>9255</v>
      </c>
      <c r="EV239" s="76">
        <v>-1480</v>
      </c>
      <c r="EW239" s="76">
        <v>0</v>
      </c>
      <c r="EX239" s="76">
        <v>0</v>
      </c>
      <c r="EY239" s="76">
        <v>0</v>
      </c>
      <c r="EZ239" s="76">
        <v>100699</v>
      </c>
      <c r="FA239" s="76">
        <v>23487</v>
      </c>
      <c r="FB239" s="76">
        <v>3376</v>
      </c>
      <c r="FC239" s="76">
        <v>73</v>
      </c>
      <c r="FD239" s="76">
        <v>0</v>
      </c>
      <c r="FE239" s="76">
        <v>-1314</v>
      </c>
      <c r="FF239" s="76">
        <v>0</v>
      </c>
      <c r="FG239" s="76">
        <v>0</v>
      </c>
      <c r="FH239" s="76">
        <v>25622</v>
      </c>
      <c r="FI239" s="76">
        <v>75077</v>
      </c>
      <c r="FJ239" s="76">
        <v>69437</v>
      </c>
      <c r="FK239" s="76">
        <v>0</v>
      </c>
      <c r="FL239" s="76">
        <v>0</v>
      </c>
      <c r="FM239" s="76">
        <v>0</v>
      </c>
      <c r="FN239" s="76">
        <v>1034</v>
      </c>
      <c r="FO239" s="76">
        <v>173</v>
      </c>
      <c r="FP239" s="76">
        <v>861</v>
      </c>
      <c r="FQ239" s="76">
        <v>0</v>
      </c>
      <c r="FR239" s="76">
        <v>0</v>
      </c>
      <c r="FS239" s="76">
        <v>0</v>
      </c>
      <c r="FT239" s="76">
        <v>0</v>
      </c>
      <c r="FU239" s="76">
        <v>0</v>
      </c>
      <c r="FV239" s="76">
        <v>0</v>
      </c>
      <c r="FW239" s="76">
        <v>0</v>
      </c>
      <c r="FX239" s="76">
        <v>0</v>
      </c>
      <c r="FY239" s="76">
        <v>0</v>
      </c>
      <c r="FZ239" s="76">
        <v>0</v>
      </c>
      <c r="GA239" s="76">
        <v>0</v>
      </c>
      <c r="GB239" s="76">
        <v>0</v>
      </c>
      <c r="GC239" s="76">
        <v>1034</v>
      </c>
      <c r="GD239" s="76">
        <v>173</v>
      </c>
      <c r="GE239" s="76">
        <v>861</v>
      </c>
      <c r="GF239" s="76">
        <v>0</v>
      </c>
      <c r="GG239" s="76">
        <v>0</v>
      </c>
      <c r="GH239" s="76">
        <v>0</v>
      </c>
      <c r="GI239" s="76">
        <v>0</v>
      </c>
      <c r="GJ239" s="76">
        <v>0</v>
      </c>
      <c r="GK239" s="76">
        <v>0</v>
      </c>
      <c r="GL239" s="76">
        <v>0</v>
      </c>
      <c r="GM239" s="76">
        <v>1647</v>
      </c>
      <c r="GN239" s="76">
        <v>143</v>
      </c>
      <c r="GO239" s="76">
        <v>0</v>
      </c>
      <c r="GP239" s="76">
        <v>0</v>
      </c>
      <c r="GQ239" s="76">
        <v>0</v>
      </c>
      <c r="GR239" s="76">
        <v>918</v>
      </c>
      <c r="GS239" s="76">
        <v>0</v>
      </c>
      <c r="GT239" s="76">
        <v>0</v>
      </c>
      <c r="GU239" s="76">
        <v>0</v>
      </c>
      <c r="GV239" s="76">
        <v>0</v>
      </c>
      <c r="GW239" s="76">
        <v>180</v>
      </c>
      <c r="GX239" s="76">
        <v>2888</v>
      </c>
      <c r="GY239" s="76">
        <v>0</v>
      </c>
      <c r="GZ239" s="76">
        <v>0</v>
      </c>
      <c r="HA239" s="76">
        <v>0</v>
      </c>
      <c r="HB239" s="76">
        <v>0</v>
      </c>
      <c r="HC239" s="76">
        <v>0</v>
      </c>
      <c r="HD239" s="76">
        <v>0</v>
      </c>
      <c r="HE239" s="76">
        <v>87</v>
      </c>
      <c r="HF239" s="76">
        <v>87</v>
      </c>
      <c r="HG239" s="76">
        <v>1914</v>
      </c>
      <c r="HH239" s="76">
        <v>41</v>
      </c>
      <c r="HI239" s="76">
        <v>0</v>
      </c>
      <c r="HJ239" s="76">
        <v>0</v>
      </c>
      <c r="HK239" s="76">
        <v>224</v>
      </c>
      <c r="HL239" s="76">
        <v>-134</v>
      </c>
      <c r="HM239" s="76">
        <v>2045</v>
      </c>
      <c r="HN239" s="76">
        <v>3658</v>
      </c>
      <c r="HO239" s="76">
        <v>3592</v>
      </c>
      <c r="HP239" s="76">
        <v>73</v>
      </c>
      <c r="HQ239" s="76">
        <v>60</v>
      </c>
      <c r="HR239" s="76">
        <v>-40</v>
      </c>
      <c r="HS239" s="76">
        <v>0</v>
      </c>
      <c r="HT239" s="76">
        <v>4394</v>
      </c>
      <c r="HU239" s="76">
        <v>0</v>
      </c>
      <c r="HV239" s="76">
        <v>0</v>
      </c>
      <c r="HW239" s="76">
        <v>0</v>
      </c>
      <c r="HX239" s="76">
        <v>0</v>
      </c>
    </row>
    <row r="240" spans="1:232" x14ac:dyDescent="0.2">
      <c r="A240" s="74" t="s">
        <v>857</v>
      </c>
      <c r="B240" s="74" t="s">
        <v>858</v>
      </c>
      <c r="C240" s="75" t="s">
        <v>200</v>
      </c>
      <c r="D240" s="75">
        <v>12</v>
      </c>
      <c r="E240" s="76">
        <v>100883</v>
      </c>
      <c r="F240" s="76">
        <v>-3780</v>
      </c>
      <c r="G240" s="76">
        <v>-60635</v>
      </c>
      <c r="H240" s="76">
        <v>36468</v>
      </c>
      <c r="I240" s="76">
        <v>3830</v>
      </c>
      <c r="J240" s="76">
        <v>0</v>
      </c>
      <c r="K240" s="76">
        <v>0</v>
      </c>
      <c r="L240" s="76">
        <v>192</v>
      </c>
      <c r="M240" s="76">
        <v>248</v>
      </c>
      <c r="N240" s="76">
        <v>-16180</v>
      </c>
      <c r="O240" s="76">
        <v>625</v>
      </c>
      <c r="P240" s="76">
        <v>0</v>
      </c>
      <c r="Q240" s="76">
        <v>0</v>
      </c>
      <c r="R240" s="76">
        <v>13</v>
      </c>
      <c r="S240" s="76">
        <v>25196</v>
      </c>
      <c r="T240" s="76">
        <v>48</v>
      </c>
      <c r="U240" s="76">
        <v>25244</v>
      </c>
      <c r="V240" s="76">
        <v>0</v>
      </c>
      <c r="W240" s="76">
        <v>-5736</v>
      </c>
      <c r="X240" s="76">
        <v>0</v>
      </c>
      <c r="Y240" s="76">
        <v>-528</v>
      </c>
      <c r="Z240" s="76">
        <v>18980</v>
      </c>
      <c r="AA240" s="76">
        <v>72569</v>
      </c>
      <c r="AB240" s="76">
        <v>5789</v>
      </c>
      <c r="AC240" s="76">
        <v>78358</v>
      </c>
      <c r="AD240" s="76">
        <v>4835</v>
      </c>
      <c r="AE240" s="76">
        <v>2082</v>
      </c>
      <c r="AF240" s="76">
        <v>0</v>
      </c>
      <c r="AG240" s="76">
        <v>0</v>
      </c>
      <c r="AH240" s="76">
        <v>85275</v>
      </c>
      <c r="AI240" s="76">
        <v>14149</v>
      </c>
      <c r="AJ240" s="76">
        <v>6716</v>
      </c>
      <c r="AK240" s="76">
        <v>11441</v>
      </c>
      <c r="AL240" s="76">
        <v>4847</v>
      </c>
      <c r="AM240" s="76">
        <v>5316</v>
      </c>
      <c r="AN240" s="76">
        <v>664</v>
      </c>
      <c r="AO240" s="76">
        <v>15229</v>
      </c>
      <c r="AP240" s="76">
        <v>670</v>
      </c>
      <c r="AQ240" s="76">
        <v>186</v>
      </c>
      <c r="AR240" s="76">
        <v>59218</v>
      </c>
      <c r="AS240" s="76">
        <v>26057</v>
      </c>
      <c r="AT240" s="76">
        <v>785</v>
      </c>
      <c r="AU240" s="76">
        <v>798558</v>
      </c>
      <c r="AV240" s="76">
        <v>0</v>
      </c>
      <c r="AW240" s="76">
        <v>6953</v>
      </c>
      <c r="AX240" s="76">
        <v>0</v>
      </c>
      <c r="AY240" s="76">
        <v>0</v>
      </c>
      <c r="AZ240" s="76">
        <v>23282</v>
      </c>
      <c r="BA240" s="76">
        <v>-1782</v>
      </c>
      <c r="BB240" s="76">
        <v>0</v>
      </c>
      <c r="BC240" s="76">
        <v>0</v>
      </c>
      <c r="BD240" s="76">
        <v>0</v>
      </c>
      <c r="BE240" s="76">
        <v>827011</v>
      </c>
      <c r="BF240" s="76">
        <v>3229</v>
      </c>
      <c r="BG240" s="76">
        <v>6290</v>
      </c>
      <c r="BH240" s="76">
        <v>9243</v>
      </c>
      <c r="BI240" s="76">
        <v>0</v>
      </c>
      <c r="BJ240" s="76">
        <v>44</v>
      </c>
      <c r="BK240" s="76">
        <v>18806</v>
      </c>
      <c r="BL240" s="76">
        <v>1832</v>
      </c>
      <c r="BM240" s="76">
        <v>0</v>
      </c>
      <c r="BN240" s="76">
        <v>4387</v>
      </c>
      <c r="BO240" s="76">
        <v>16453</v>
      </c>
      <c r="BP240" s="76">
        <v>22672</v>
      </c>
      <c r="BQ240" s="76">
        <v>-3866</v>
      </c>
      <c r="BR240" s="76">
        <v>823145</v>
      </c>
      <c r="BS240" s="76">
        <v>352286</v>
      </c>
      <c r="BT240" s="76">
        <v>0</v>
      </c>
      <c r="BU240" s="76">
        <v>0</v>
      </c>
      <c r="BV240" s="76">
        <v>273472</v>
      </c>
      <c r="BW240" s="76">
        <v>0</v>
      </c>
      <c r="BX240" s="76">
        <v>0</v>
      </c>
      <c r="BY240" s="76">
        <v>8717</v>
      </c>
      <c r="BZ240" s="76">
        <v>634475</v>
      </c>
      <c r="CA240" s="76">
        <v>0</v>
      </c>
      <c r="CB240" s="76">
        <v>719</v>
      </c>
      <c r="CC240" s="76">
        <v>187951</v>
      </c>
      <c r="CD240" s="76">
        <v>159392</v>
      </c>
      <c r="CE240" s="76">
        <v>28546</v>
      </c>
      <c r="CF240" s="76">
        <v>13</v>
      </c>
      <c r="CG240" s="76">
        <v>0</v>
      </c>
      <c r="CH240" s="76">
        <v>0</v>
      </c>
      <c r="CI240" s="76">
        <v>187951</v>
      </c>
      <c r="CJ240" s="76">
        <v>2398</v>
      </c>
      <c r="CK240" s="76">
        <v>1156</v>
      </c>
      <c r="CL240" s="76">
        <v>0</v>
      </c>
      <c r="CM240" s="76">
        <v>1242</v>
      </c>
      <c r="CN240" s="76">
        <v>1033</v>
      </c>
      <c r="CO240" s="76">
        <v>0</v>
      </c>
      <c r="CP240" s="76">
        <v>1340</v>
      </c>
      <c r="CQ240" s="76">
        <v>-307</v>
      </c>
      <c r="CR240" s="76">
        <v>0</v>
      </c>
      <c r="CS240" s="76">
        <v>0</v>
      </c>
      <c r="CT240" s="76">
        <v>0</v>
      </c>
      <c r="CU240" s="76">
        <v>0</v>
      </c>
      <c r="CV240" s="76">
        <v>0</v>
      </c>
      <c r="CW240" s="76">
        <v>0</v>
      </c>
      <c r="CX240" s="76">
        <v>0</v>
      </c>
      <c r="CY240" s="76">
        <v>0</v>
      </c>
      <c r="CZ240" s="76">
        <v>7354</v>
      </c>
      <c r="DA240" s="76">
        <v>0</v>
      </c>
      <c r="DB240" s="76">
        <v>-1590</v>
      </c>
      <c r="DC240" s="76">
        <v>8944</v>
      </c>
      <c r="DD240" s="76">
        <v>10785</v>
      </c>
      <c r="DE240" s="76">
        <v>1156</v>
      </c>
      <c r="DF240" s="76">
        <v>-250</v>
      </c>
      <c r="DG240" s="76">
        <v>9879</v>
      </c>
      <c r="DH240" s="76">
        <v>2808</v>
      </c>
      <c r="DI240" s="76">
        <v>2624</v>
      </c>
      <c r="DJ240" s="76">
        <v>0</v>
      </c>
      <c r="DK240" s="76">
        <v>184</v>
      </c>
      <c r="DL240" s="76">
        <v>0</v>
      </c>
      <c r="DM240" s="76">
        <v>0</v>
      </c>
      <c r="DN240" s="76">
        <v>0</v>
      </c>
      <c r="DO240" s="76">
        <v>0</v>
      </c>
      <c r="DP240" s="76">
        <v>0</v>
      </c>
      <c r="DQ240" s="76">
        <v>0</v>
      </c>
      <c r="DR240" s="76">
        <v>0</v>
      </c>
      <c r="DS240" s="76">
        <v>0</v>
      </c>
      <c r="DT240" s="76">
        <v>2015</v>
      </c>
      <c r="DU240" s="76">
        <v>0</v>
      </c>
      <c r="DV240" s="76">
        <v>1667</v>
      </c>
      <c r="DW240" s="76">
        <v>348</v>
      </c>
      <c r="DX240" s="76">
        <v>0</v>
      </c>
      <c r="DY240" s="76">
        <v>0</v>
      </c>
      <c r="DZ240" s="76">
        <v>0</v>
      </c>
      <c r="EA240" s="76">
        <v>0</v>
      </c>
      <c r="EB240" s="76">
        <v>0</v>
      </c>
      <c r="EC240" s="76">
        <v>0</v>
      </c>
      <c r="ED240" s="76">
        <v>0</v>
      </c>
      <c r="EE240" s="76">
        <v>0</v>
      </c>
      <c r="EF240" s="76">
        <v>4823</v>
      </c>
      <c r="EG240" s="76">
        <v>2624</v>
      </c>
      <c r="EH240" s="76">
        <v>1667</v>
      </c>
      <c r="EI240" s="76">
        <v>532</v>
      </c>
      <c r="EJ240" s="76">
        <v>15608</v>
      </c>
      <c r="EK240" s="76">
        <v>3780</v>
      </c>
      <c r="EL240" s="76">
        <v>1417</v>
      </c>
      <c r="EM240" s="76">
        <v>10411</v>
      </c>
      <c r="EN240" s="76">
        <v>2109</v>
      </c>
      <c r="EO240" s="76">
        <v>729</v>
      </c>
      <c r="EP240" s="76">
        <v>420</v>
      </c>
      <c r="EQ240" s="76">
        <v>513</v>
      </c>
      <c r="ER240" s="76">
        <v>897134</v>
      </c>
      <c r="ES240" s="76">
        <v>0</v>
      </c>
      <c r="ET240" s="76">
        <v>897134</v>
      </c>
      <c r="EU240" s="76">
        <v>45223</v>
      </c>
      <c r="EV240" s="76">
        <v>-11048</v>
      </c>
      <c r="EW240" s="76">
        <v>0</v>
      </c>
      <c r="EX240" s="76">
        <v>0</v>
      </c>
      <c r="EY240" s="76">
        <v>0</v>
      </c>
      <c r="EZ240" s="76">
        <v>931309</v>
      </c>
      <c r="FA240" s="76">
        <v>120890</v>
      </c>
      <c r="FB240" s="76">
        <v>15240</v>
      </c>
      <c r="FC240" s="76">
        <v>670</v>
      </c>
      <c r="FD240" s="76">
        <v>0</v>
      </c>
      <c r="FE240" s="76">
        <v>-4049</v>
      </c>
      <c r="FF240" s="76">
        <v>0</v>
      </c>
      <c r="FG240" s="76">
        <v>0</v>
      </c>
      <c r="FH240" s="76">
        <v>132751</v>
      </c>
      <c r="FI240" s="76">
        <v>798558</v>
      </c>
      <c r="FJ240" s="76">
        <v>776244</v>
      </c>
      <c r="FK240" s="76">
        <v>522</v>
      </c>
      <c r="FL240" s="76">
        <v>341</v>
      </c>
      <c r="FM240" s="76">
        <v>181</v>
      </c>
      <c r="FN240" s="76">
        <v>993</v>
      </c>
      <c r="FO240" s="76">
        <v>700</v>
      </c>
      <c r="FP240" s="76">
        <v>293</v>
      </c>
      <c r="FQ240" s="76">
        <v>0</v>
      </c>
      <c r="FR240" s="76">
        <v>0</v>
      </c>
      <c r="FS240" s="76">
        <v>0</v>
      </c>
      <c r="FT240" s="76">
        <v>10127</v>
      </c>
      <c r="FU240" s="76">
        <v>6780</v>
      </c>
      <c r="FV240" s="76">
        <v>3347</v>
      </c>
      <c r="FW240" s="76">
        <v>0</v>
      </c>
      <c r="FX240" s="76">
        <v>0</v>
      </c>
      <c r="FY240" s="76">
        <v>0</v>
      </c>
      <c r="FZ240" s="76">
        <v>117</v>
      </c>
      <c r="GA240" s="76">
        <v>108</v>
      </c>
      <c r="GB240" s="76">
        <v>9</v>
      </c>
      <c r="GC240" s="76">
        <v>11759</v>
      </c>
      <c r="GD240" s="76">
        <v>7929</v>
      </c>
      <c r="GE240" s="76">
        <v>3830</v>
      </c>
      <c r="GF240" s="76">
        <v>0</v>
      </c>
      <c r="GG240" s="76">
        <v>44</v>
      </c>
      <c r="GH240" s="76">
        <v>0</v>
      </c>
      <c r="GI240" s="76">
        <v>0</v>
      </c>
      <c r="GJ240" s="76">
        <v>0</v>
      </c>
      <c r="GK240" s="76">
        <v>0</v>
      </c>
      <c r="GL240" s="76">
        <v>44</v>
      </c>
      <c r="GM240" s="76">
        <v>5794</v>
      </c>
      <c r="GN240" s="76">
        <v>2285</v>
      </c>
      <c r="GO240" s="76">
        <v>0</v>
      </c>
      <c r="GP240" s="76">
        <v>0</v>
      </c>
      <c r="GQ240" s="76">
        <v>0</v>
      </c>
      <c r="GR240" s="76">
        <v>4270</v>
      </c>
      <c r="GS240" s="76">
        <v>0</v>
      </c>
      <c r="GT240" s="76">
        <v>0</v>
      </c>
      <c r="GU240" s="76">
        <v>983</v>
      </c>
      <c r="GV240" s="76">
        <v>0</v>
      </c>
      <c r="GW240" s="76">
        <v>3121</v>
      </c>
      <c r="GX240" s="76">
        <v>16453</v>
      </c>
      <c r="GY240" s="76">
        <v>7682</v>
      </c>
      <c r="GZ240" s="76">
        <v>945</v>
      </c>
      <c r="HA240" s="76">
        <v>6577</v>
      </c>
      <c r="HB240" s="76">
        <v>-6487</v>
      </c>
      <c r="HC240" s="76">
        <v>8717</v>
      </c>
      <c r="HD240" s="76">
        <v>0</v>
      </c>
      <c r="HE240" s="76">
        <v>719</v>
      </c>
      <c r="HF240" s="76">
        <v>719</v>
      </c>
      <c r="HG240" s="76">
        <v>16762</v>
      </c>
      <c r="HH240" s="76">
        <v>46</v>
      </c>
      <c r="HI240" s="76">
        <v>176</v>
      </c>
      <c r="HJ240" s="76">
        <v>0</v>
      </c>
      <c r="HK240" s="76">
        <v>0</v>
      </c>
      <c r="HL240" s="76">
        <v>-804</v>
      </c>
      <c r="HM240" s="76">
        <v>16180</v>
      </c>
      <c r="HN240" s="76">
        <v>14207</v>
      </c>
      <c r="HO240" s="76">
        <v>16029</v>
      </c>
      <c r="HP240" s="76">
        <v>904</v>
      </c>
      <c r="HQ240" s="76">
        <v>502</v>
      </c>
      <c r="HR240" s="76">
        <v>-210</v>
      </c>
      <c r="HS240" s="76">
        <v>-322</v>
      </c>
      <c r="HT240" s="76">
        <v>16427</v>
      </c>
      <c r="HU240" s="76">
        <v>0</v>
      </c>
      <c r="HV240" s="76">
        <v>-1</v>
      </c>
      <c r="HW240" s="76">
        <v>-4</v>
      </c>
      <c r="HX240" s="76">
        <v>300</v>
      </c>
    </row>
    <row r="241" spans="1:232" x14ac:dyDescent="0.2">
      <c r="A241" s="74" t="s">
        <v>860</v>
      </c>
      <c r="B241" s="74" t="s">
        <v>861</v>
      </c>
      <c r="C241" s="75" t="s">
        <v>200</v>
      </c>
      <c r="D241" s="75">
        <v>12</v>
      </c>
      <c r="E241" s="76">
        <v>185304</v>
      </c>
      <c r="F241" s="76">
        <v>-6852</v>
      </c>
      <c r="G241" s="76">
        <v>-128188</v>
      </c>
      <c r="H241" s="76">
        <v>50264</v>
      </c>
      <c r="I241" s="76">
        <v>2663</v>
      </c>
      <c r="J241" s="76">
        <v>0</v>
      </c>
      <c r="K241" s="76">
        <v>386</v>
      </c>
      <c r="L241" s="76">
        <v>0</v>
      </c>
      <c r="M241" s="76">
        <v>384</v>
      </c>
      <c r="N241" s="76">
        <v>-19622</v>
      </c>
      <c r="O241" s="76">
        <v>2518</v>
      </c>
      <c r="P241" s="76">
        <v>-38</v>
      </c>
      <c r="Q241" s="76">
        <v>0</v>
      </c>
      <c r="R241" s="76">
        <v>0</v>
      </c>
      <c r="S241" s="76">
        <v>36555</v>
      </c>
      <c r="T241" s="76">
        <v>-821</v>
      </c>
      <c r="U241" s="76">
        <v>35734</v>
      </c>
      <c r="V241" s="76">
        <v>0</v>
      </c>
      <c r="W241" s="76">
        <v>-3293</v>
      </c>
      <c r="X241" s="76">
        <v>96</v>
      </c>
      <c r="Y241" s="76">
        <v>0</v>
      </c>
      <c r="Z241" s="76">
        <v>32537</v>
      </c>
      <c r="AA241" s="76">
        <v>132608</v>
      </c>
      <c r="AB241" s="76">
        <v>23290</v>
      </c>
      <c r="AC241" s="76">
        <v>155898</v>
      </c>
      <c r="AD241" s="76">
        <v>5225</v>
      </c>
      <c r="AE241" s="76">
        <v>0</v>
      </c>
      <c r="AF241" s="76">
        <v>0</v>
      </c>
      <c r="AG241" s="76">
        <v>6027</v>
      </c>
      <c r="AH241" s="76">
        <v>167150</v>
      </c>
      <c r="AI241" s="76">
        <v>49126</v>
      </c>
      <c r="AJ241" s="76">
        <v>16683</v>
      </c>
      <c r="AK241" s="76">
        <v>16293</v>
      </c>
      <c r="AL241" s="76">
        <v>8753</v>
      </c>
      <c r="AM241" s="76">
        <v>1942</v>
      </c>
      <c r="AN241" s="76">
        <v>1695</v>
      </c>
      <c r="AO241" s="76">
        <v>18980</v>
      </c>
      <c r="AP241" s="76">
        <v>1348</v>
      </c>
      <c r="AQ241" s="76">
        <v>5620</v>
      </c>
      <c r="AR241" s="76">
        <v>120440</v>
      </c>
      <c r="AS241" s="76">
        <v>46710</v>
      </c>
      <c r="AT241" s="76">
        <v>3921</v>
      </c>
      <c r="AU241" s="76">
        <v>1104524</v>
      </c>
      <c r="AV241" s="76">
        <v>0</v>
      </c>
      <c r="AW241" s="76">
        <v>27410</v>
      </c>
      <c r="AX241" s="76">
        <v>0</v>
      </c>
      <c r="AY241" s="76">
        <v>0</v>
      </c>
      <c r="AZ241" s="76">
        <v>29308</v>
      </c>
      <c r="BA241" s="76">
        <v>3441</v>
      </c>
      <c r="BB241" s="76">
        <v>2841</v>
      </c>
      <c r="BC241" s="76">
        <v>0</v>
      </c>
      <c r="BD241" s="76">
        <v>478</v>
      </c>
      <c r="BE241" s="76">
        <v>1168002</v>
      </c>
      <c r="BF241" s="76">
        <v>39918</v>
      </c>
      <c r="BG241" s="76">
        <v>4957</v>
      </c>
      <c r="BH241" s="76">
        <v>77185</v>
      </c>
      <c r="BI241" s="76">
        <v>0</v>
      </c>
      <c r="BJ241" s="76">
        <v>6912</v>
      </c>
      <c r="BK241" s="76">
        <v>128972</v>
      </c>
      <c r="BL241" s="76">
        <v>51407</v>
      </c>
      <c r="BM241" s="76">
        <v>32</v>
      </c>
      <c r="BN241" s="76">
        <v>5196</v>
      </c>
      <c r="BO241" s="76">
        <v>58616</v>
      </c>
      <c r="BP241" s="76">
        <v>115251</v>
      </c>
      <c r="BQ241" s="76">
        <v>13721</v>
      </c>
      <c r="BR241" s="76">
        <v>1181723</v>
      </c>
      <c r="BS241" s="76">
        <v>390483</v>
      </c>
      <c r="BT241" s="76">
        <v>0</v>
      </c>
      <c r="BU241" s="76">
        <v>1053</v>
      </c>
      <c r="BV241" s="76">
        <v>454674</v>
      </c>
      <c r="BW241" s="76">
        <v>0</v>
      </c>
      <c r="BX241" s="76">
        <v>1754</v>
      </c>
      <c r="BY241" s="76">
        <v>23271</v>
      </c>
      <c r="BZ241" s="76">
        <v>871235</v>
      </c>
      <c r="CA241" s="76">
        <v>9767</v>
      </c>
      <c r="CB241" s="76">
        <v>1211</v>
      </c>
      <c r="CC241" s="76">
        <v>299510</v>
      </c>
      <c r="CD241" s="76">
        <v>297631</v>
      </c>
      <c r="CE241" s="76">
        <v>3831</v>
      </c>
      <c r="CF241" s="76">
        <v>0</v>
      </c>
      <c r="CG241" s="76">
        <v>-1754</v>
      </c>
      <c r="CH241" s="76">
        <v>-198</v>
      </c>
      <c r="CI241" s="76">
        <v>299510</v>
      </c>
      <c r="CJ241" s="76">
        <v>4140</v>
      </c>
      <c r="CK241" s="76">
        <v>3006</v>
      </c>
      <c r="CL241" s="76">
        <v>0</v>
      </c>
      <c r="CM241" s="76">
        <v>1134</v>
      </c>
      <c r="CN241" s="76">
        <v>2155</v>
      </c>
      <c r="CO241" s="76">
        <v>0</v>
      </c>
      <c r="CP241" s="76">
        <v>1505</v>
      </c>
      <c r="CQ241" s="76">
        <v>650</v>
      </c>
      <c r="CR241" s="76">
        <v>0</v>
      </c>
      <c r="CS241" s="76">
        <v>0</v>
      </c>
      <c r="CT241" s="76">
        <v>709</v>
      </c>
      <c r="CU241" s="76">
        <v>-709</v>
      </c>
      <c r="CV241" s="76">
        <v>0</v>
      </c>
      <c r="CW241" s="76">
        <v>0</v>
      </c>
      <c r="CX241" s="76">
        <v>3</v>
      </c>
      <c r="CY241" s="76">
        <v>-3</v>
      </c>
      <c r="CZ241" s="76">
        <v>2613</v>
      </c>
      <c r="DA241" s="76">
        <v>0</v>
      </c>
      <c r="DB241" s="76">
        <v>3720</v>
      </c>
      <c r="DC241" s="76">
        <v>-1107</v>
      </c>
      <c r="DD241" s="76">
        <v>8908</v>
      </c>
      <c r="DE241" s="76">
        <v>3006</v>
      </c>
      <c r="DF241" s="76">
        <v>5937</v>
      </c>
      <c r="DG241" s="76">
        <v>-35</v>
      </c>
      <c r="DH241" s="76">
        <v>4763</v>
      </c>
      <c r="DI241" s="76">
        <v>3846</v>
      </c>
      <c r="DJ241" s="76">
        <v>0</v>
      </c>
      <c r="DK241" s="76">
        <v>917</v>
      </c>
      <c r="DL241" s="76">
        <v>0</v>
      </c>
      <c r="DM241" s="76">
        <v>0</v>
      </c>
      <c r="DN241" s="76">
        <v>0</v>
      </c>
      <c r="DO241" s="76">
        <v>0</v>
      </c>
      <c r="DP241" s="76">
        <v>0</v>
      </c>
      <c r="DQ241" s="76">
        <v>0</v>
      </c>
      <c r="DR241" s="76">
        <v>0</v>
      </c>
      <c r="DS241" s="76">
        <v>0</v>
      </c>
      <c r="DT241" s="76">
        <v>2707</v>
      </c>
      <c r="DU241" s="76">
        <v>0</v>
      </c>
      <c r="DV241" s="76">
        <v>1094</v>
      </c>
      <c r="DW241" s="76">
        <v>1613</v>
      </c>
      <c r="DX241" s="76">
        <v>0</v>
      </c>
      <c r="DY241" s="76">
        <v>0</v>
      </c>
      <c r="DZ241" s="76">
        <v>0</v>
      </c>
      <c r="EA241" s="76">
        <v>0</v>
      </c>
      <c r="EB241" s="76">
        <v>1776</v>
      </c>
      <c r="EC241" s="76">
        <v>0</v>
      </c>
      <c r="ED241" s="76">
        <v>717</v>
      </c>
      <c r="EE241" s="76">
        <v>1059</v>
      </c>
      <c r="EF241" s="76">
        <v>9246</v>
      </c>
      <c r="EG241" s="76">
        <v>3846</v>
      </c>
      <c r="EH241" s="76">
        <v>1811</v>
      </c>
      <c r="EI241" s="76">
        <v>3589</v>
      </c>
      <c r="EJ241" s="76">
        <v>18154</v>
      </c>
      <c r="EK241" s="76">
        <v>6852</v>
      </c>
      <c r="EL241" s="76">
        <v>7748</v>
      </c>
      <c r="EM241" s="76">
        <v>3554</v>
      </c>
      <c r="EN241" s="76">
        <v>6515</v>
      </c>
      <c r="EO241" s="76">
        <v>2742</v>
      </c>
      <c r="EP241" s="76">
        <v>1558</v>
      </c>
      <c r="EQ241" s="76">
        <v>2742</v>
      </c>
      <c r="ER241" s="76">
        <v>1360998</v>
      </c>
      <c r="ES241" s="76">
        <v>0</v>
      </c>
      <c r="ET241" s="76">
        <v>1360998</v>
      </c>
      <c r="EU241" s="76">
        <v>19810</v>
      </c>
      <c r="EV241" s="76">
        <v>-13100</v>
      </c>
      <c r="EW241" s="76">
        <v>0</v>
      </c>
      <c r="EX241" s="76">
        <v>0</v>
      </c>
      <c r="EY241" s="76">
        <v>-43766</v>
      </c>
      <c r="EZ241" s="76">
        <v>1323942</v>
      </c>
      <c r="FA241" s="76">
        <v>214012</v>
      </c>
      <c r="FB241" s="76">
        <v>17462</v>
      </c>
      <c r="FC241" s="76">
        <v>1303</v>
      </c>
      <c r="FD241" s="76">
        <v>0</v>
      </c>
      <c r="FE241" s="76">
        <v>-5560</v>
      </c>
      <c r="FF241" s="76">
        <v>0</v>
      </c>
      <c r="FG241" s="76">
        <v>-7799</v>
      </c>
      <c r="FH241" s="76">
        <v>219418</v>
      </c>
      <c r="FI241" s="76">
        <v>1104524</v>
      </c>
      <c r="FJ241" s="76">
        <v>1146986</v>
      </c>
      <c r="FK241" s="76">
        <v>2625</v>
      </c>
      <c r="FL241" s="76">
        <v>1356</v>
      </c>
      <c r="FM241" s="76">
        <v>1269</v>
      </c>
      <c r="FN241" s="76">
        <v>1583</v>
      </c>
      <c r="FO241" s="76">
        <v>757</v>
      </c>
      <c r="FP241" s="76">
        <v>826</v>
      </c>
      <c r="FQ241" s="76">
        <v>702</v>
      </c>
      <c r="FR241" s="76">
        <v>605</v>
      </c>
      <c r="FS241" s="76">
        <v>97</v>
      </c>
      <c r="FT241" s="76">
        <v>3222</v>
      </c>
      <c r="FU241" s="76">
        <v>2751</v>
      </c>
      <c r="FV241" s="76">
        <v>471</v>
      </c>
      <c r="FW241" s="76">
        <v>0</v>
      </c>
      <c r="FX241" s="76">
        <v>0</v>
      </c>
      <c r="FY241" s="76">
        <v>0</v>
      </c>
      <c r="FZ241" s="76">
        <v>0</v>
      </c>
      <c r="GA241" s="76">
        <v>0</v>
      </c>
      <c r="GB241" s="76">
        <v>0</v>
      </c>
      <c r="GC241" s="76">
        <v>8132</v>
      </c>
      <c r="GD241" s="76">
        <v>5469</v>
      </c>
      <c r="GE241" s="76">
        <v>2663</v>
      </c>
      <c r="GF241" s="76">
        <v>0</v>
      </c>
      <c r="GG241" s="76">
        <v>0</v>
      </c>
      <c r="GH241" s="76">
        <v>0</v>
      </c>
      <c r="GI241" s="76">
        <v>0</v>
      </c>
      <c r="GJ241" s="76">
        <v>0</v>
      </c>
      <c r="GK241" s="76">
        <v>6912</v>
      </c>
      <c r="GL241" s="76">
        <v>6912</v>
      </c>
      <c r="GM241" s="76">
        <v>5017</v>
      </c>
      <c r="GN241" s="76">
        <v>5791</v>
      </c>
      <c r="GO241" s="76">
        <v>0</v>
      </c>
      <c r="GP241" s="76">
        <v>1769</v>
      </c>
      <c r="GQ241" s="76">
        <v>1069</v>
      </c>
      <c r="GR241" s="76">
        <v>24481</v>
      </c>
      <c r="GS241" s="76">
        <v>0</v>
      </c>
      <c r="GT241" s="76">
        <v>0</v>
      </c>
      <c r="GU241" s="76">
        <v>0</v>
      </c>
      <c r="GV241" s="76">
        <v>0</v>
      </c>
      <c r="GW241" s="76">
        <v>20489</v>
      </c>
      <c r="GX241" s="76">
        <v>58616</v>
      </c>
      <c r="GY241" s="76">
        <v>2342</v>
      </c>
      <c r="GZ241" s="76">
        <v>1144</v>
      </c>
      <c r="HA241" s="76">
        <v>19785</v>
      </c>
      <c r="HB241" s="76">
        <v>0</v>
      </c>
      <c r="HC241" s="76">
        <v>23271</v>
      </c>
      <c r="HD241" s="76">
        <v>0</v>
      </c>
      <c r="HE241" s="76">
        <v>1211</v>
      </c>
      <c r="HF241" s="76">
        <v>1211</v>
      </c>
      <c r="HG241" s="76">
        <v>18663</v>
      </c>
      <c r="HH241" s="76">
        <v>0</v>
      </c>
      <c r="HI241" s="76">
        <v>1006</v>
      </c>
      <c r="HJ241" s="76">
        <v>0</v>
      </c>
      <c r="HK241" s="76">
        <v>95</v>
      </c>
      <c r="HL241" s="76">
        <v>-142</v>
      </c>
      <c r="HM241" s="76">
        <v>19622</v>
      </c>
      <c r="HN241" s="76">
        <v>17130</v>
      </c>
      <c r="HO241" s="76">
        <v>21318</v>
      </c>
      <c r="HP241" s="76">
        <v>1348</v>
      </c>
      <c r="HQ241" s="76">
        <v>29</v>
      </c>
      <c r="HR241" s="76">
        <v>-182</v>
      </c>
      <c r="HS241" s="76">
        <v>623</v>
      </c>
      <c r="HT241" s="76">
        <v>32942</v>
      </c>
      <c r="HU241" s="76">
        <v>0</v>
      </c>
      <c r="HV241" s="76">
        <v>0</v>
      </c>
      <c r="HW241" s="76">
        <v>-196</v>
      </c>
      <c r="HX241" s="76">
        <v>335</v>
      </c>
    </row>
    <row r="242" spans="1:232" x14ac:dyDescent="0.2"/>
  </sheetData>
  <conditionalFormatting sqref="C6:C241">
    <cfRule type="expression" dxfId="1026" priority="2">
      <formula xml:space="preserve"> ( MONTH( C6 ) &lt;&gt; 3 )</formula>
    </cfRule>
  </conditionalFormatting>
  <conditionalFormatting sqref="D6:D241">
    <cfRule type="cellIs" dxfId="1025" priority="1" operator="notEqual">
      <formula>12</formula>
    </cfRule>
  </conditionalFormatting>
  <hyperlinks>
    <hyperlink ref="N1" location="GA2017_Consolidated!HM3" display="[Breakdown]"/>
    <hyperlink ref="BJ1" location="GA2017_Consolidated!GL3" display="[Breakdown]"/>
    <hyperlink ref="BO1" location="GA2017_Consolidated!GX3" display="[Breakdown]"/>
    <hyperlink ref="BY1" location="GA2017_Consolidated!HC3" display="[Breakdown]"/>
    <hyperlink ref="CB1" location="GA2017_Consolidated!HF3" display="[Breakdown]"/>
    <hyperlink ref="HS5" location="Introduction!C34" display="Social housing units transferred and other movements (~)"/>
    <hyperlink ref="EW5" location="Introduction!C33" display="Transfer treated as acquisition (#)"/>
  </hyperlinks>
  <printOptions horizontalCentered="1" verticalCentered="1"/>
  <pageMargins left="0.31496062992125984" right="0.31496062992125984" top="0.35433070866141736" bottom="0.35433070866141736" header="0.11811023622047245" footer="0.11811023622047245"/>
  <pageSetup scale="66" pageOrder="overThenDown" orientation="landscape" r:id="rId1"/>
  <headerFooter>
    <oddFooter>&amp;C&amp;P / &amp;N</oddFooter>
    <evenFooter>&amp;C&amp;P / &amp;N</evenFooter>
    <firstFooter>&amp;C&amp;P / &amp;N</first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59999389629810485"/>
    <pageSetUpPr autoPageBreaks="0"/>
  </sheetPr>
  <dimension ref="A1:II325"/>
  <sheetViews>
    <sheetView showGridLines="0" zoomScale="85" zoomScaleNormal="85" workbookViewId="0">
      <pane xSplit="2" ySplit="5" topLeftCell="C6" activePane="bottomRight" state="frozen"/>
      <selection activeCell="C24" sqref="C24"/>
      <selection pane="topRight" activeCell="C24" sqref="C24"/>
      <selection pane="bottomLeft" activeCell="C24" sqref="C24"/>
      <selection pane="bottomRight" activeCell="C6" sqref="C6"/>
    </sheetView>
  </sheetViews>
  <sheetFormatPr defaultColWidth="0" defaultRowHeight="14.25" zeroHeight="1" x14ac:dyDescent="0.2"/>
  <cols>
    <col min="1" max="1" width="8.625" style="2" customWidth="1"/>
    <col min="2" max="2" width="31.375" style="2" customWidth="1"/>
    <col min="3" max="3" width="11.625" style="2" customWidth="1"/>
    <col min="4" max="4" width="9.5" style="2" customWidth="1"/>
    <col min="5" max="7" width="12.625" style="2" customWidth="1"/>
    <col min="9" max="144" width="12.625" style="2" customWidth="1"/>
    <col min="145" max="155" width="12.625" customWidth="1"/>
    <col min="156" max="233" width="12.625" style="2" customWidth="1"/>
    <col min="234" max="234" width="3.875" style="2" customWidth="1"/>
    <col min="235" max="243" width="11.625" style="2" hidden="1" customWidth="1"/>
    <col min="244" max="16384" width="9" style="2" hidden="1"/>
  </cols>
  <sheetData>
    <row r="1" spans="1:232" ht="27.75" x14ac:dyDescent="0.4">
      <c r="A1" s="209" t="s">
        <v>1100</v>
      </c>
      <c r="H1" s="2"/>
      <c r="N1" s="79" t="s">
        <v>1189</v>
      </c>
      <c r="BJ1" s="79" t="s">
        <v>1189</v>
      </c>
      <c r="BO1" s="79" t="s">
        <v>1189</v>
      </c>
      <c r="BY1" s="79" t="s">
        <v>1189</v>
      </c>
      <c r="CB1" s="79" t="s">
        <v>1189</v>
      </c>
      <c r="EO1" s="2"/>
      <c r="EP1" s="2"/>
      <c r="EQ1" s="2"/>
      <c r="ER1" s="2"/>
      <c r="ES1" s="2"/>
      <c r="ET1" s="2"/>
      <c r="EU1" s="2"/>
      <c r="EV1" s="2"/>
      <c r="EW1" s="2"/>
      <c r="EX1" s="2"/>
      <c r="EY1" s="2"/>
    </row>
    <row r="2" spans="1:232" ht="51" x14ac:dyDescent="0.2">
      <c r="A2" s="210" t="s">
        <v>1154</v>
      </c>
      <c r="E2" s="7" t="s">
        <v>869</v>
      </c>
      <c r="F2" s="7" t="s">
        <v>869</v>
      </c>
      <c r="G2" s="7" t="s">
        <v>869</v>
      </c>
      <c r="H2" s="7" t="s">
        <v>869</v>
      </c>
      <c r="I2" s="7" t="s">
        <v>869</v>
      </c>
      <c r="J2" s="7" t="s">
        <v>869</v>
      </c>
      <c r="K2" s="7" t="s">
        <v>869</v>
      </c>
      <c r="L2" s="7" t="s">
        <v>869</v>
      </c>
      <c r="M2" s="7" t="s">
        <v>869</v>
      </c>
      <c r="N2" s="7" t="s">
        <v>869</v>
      </c>
      <c r="O2" s="7" t="s">
        <v>869</v>
      </c>
      <c r="P2" s="7" t="s">
        <v>869</v>
      </c>
      <c r="Q2" s="7" t="s">
        <v>869</v>
      </c>
      <c r="R2" s="7" t="s">
        <v>869</v>
      </c>
      <c r="S2" s="7" t="s">
        <v>869</v>
      </c>
      <c r="T2" s="7" t="s">
        <v>869</v>
      </c>
      <c r="U2" s="7" t="s">
        <v>869</v>
      </c>
      <c r="V2" s="7" t="s">
        <v>869</v>
      </c>
      <c r="W2" s="7" t="s">
        <v>869</v>
      </c>
      <c r="X2" s="7" t="s">
        <v>869</v>
      </c>
      <c r="Y2" s="7" t="s">
        <v>869</v>
      </c>
      <c r="Z2" s="7" t="s">
        <v>869</v>
      </c>
      <c r="AA2" s="7" t="s">
        <v>1054</v>
      </c>
      <c r="AB2" s="7" t="s">
        <v>1054</v>
      </c>
      <c r="AC2" s="7" t="s">
        <v>1054</v>
      </c>
      <c r="AD2" s="7" t="s">
        <v>1054</v>
      </c>
      <c r="AE2" s="7" t="s">
        <v>1054</v>
      </c>
      <c r="AF2" s="7" t="s">
        <v>1054</v>
      </c>
      <c r="AG2" s="7" t="s">
        <v>1054</v>
      </c>
      <c r="AH2" s="7" t="s">
        <v>1054</v>
      </c>
      <c r="AI2" s="7" t="s">
        <v>1054</v>
      </c>
      <c r="AJ2" s="7" t="s">
        <v>1054</v>
      </c>
      <c r="AK2" s="7" t="s">
        <v>1054</v>
      </c>
      <c r="AL2" s="7" t="s">
        <v>1054</v>
      </c>
      <c r="AM2" s="7" t="s">
        <v>1054</v>
      </c>
      <c r="AN2" s="7" t="s">
        <v>1054</v>
      </c>
      <c r="AO2" s="7" t="s">
        <v>1054</v>
      </c>
      <c r="AP2" s="7" t="s">
        <v>1054</v>
      </c>
      <c r="AQ2" s="7" t="s">
        <v>1054</v>
      </c>
      <c r="AR2" s="7" t="s">
        <v>1054</v>
      </c>
      <c r="AS2" s="7" t="s">
        <v>1054</v>
      </c>
      <c r="AT2" s="7" t="s">
        <v>1054</v>
      </c>
      <c r="AU2" s="7" t="s">
        <v>870</v>
      </c>
      <c r="AV2" s="7" t="s">
        <v>870</v>
      </c>
      <c r="AW2" s="7" t="s">
        <v>870</v>
      </c>
      <c r="AX2" s="7" t="s">
        <v>870</v>
      </c>
      <c r="AY2" s="7" t="s">
        <v>870</v>
      </c>
      <c r="AZ2" s="7" t="s">
        <v>870</v>
      </c>
      <c r="BA2" s="7" t="s">
        <v>870</v>
      </c>
      <c r="BB2" s="7" t="s">
        <v>870</v>
      </c>
      <c r="BC2" s="7" t="s">
        <v>870</v>
      </c>
      <c r="BD2" s="7" t="s">
        <v>870</v>
      </c>
      <c r="BE2" s="7" t="s">
        <v>870</v>
      </c>
      <c r="BF2" s="7" t="s">
        <v>870</v>
      </c>
      <c r="BG2" s="7" t="s">
        <v>870</v>
      </c>
      <c r="BH2" s="7" t="s">
        <v>870</v>
      </c>
      <c r="BI2" s="7" t="s">
        <v>870</v>
      </c>
      <c r="BJ2" s="7" t="s">
        <v>870</v>
      </c>
      <c r="BK2" s="7" t="s">
        <v>870</v>
      </c>
      <c r="BL2" s="7" t="s">
        <v>870</v>
      </c>
      <c r="BM2" s="7" t="s">
        <v>870</v>
      </c>
      <c r="BN2" s="7" t="s">
        <v>870</v>
      </c>
      <c r="BO2" s="7" t="s">
        <v>870</v>
      </c>
      <c r="BP2" s="7" t="s">
        <v>870</v>
      </c>
      <c r="BQ2" s="7" t="s">
        <v>870</v>
      </c>
      <c r="BR2" s="7" t="s">
        <v>870</v>
      </c>
      <c r="BS2" s="7" t="s">
        <v>870</v>
      </c>
      <c r="BT2" s="7" t="s">
        <v>870</v>
      </c>
      <c r="BU2" s="7" t="s">
        <v>870</v>
      </c>
      <c r="BV2" s="7" t="s">
        <v>870</v>
      </c>
      <c r="BW2" s="7" t="s">
        <v>870</v>
      </c>
      <c r="BX2" s="7" t="s">
        <v>870</v>
      </c>
      <c r="BY2" s="7" t="s">
        <v>870</v>
      </c>
      <c r="BZ2" s="7" t="s">
        <v>870</v>
      </c>
      <c r="CA2" s="7" t="s">
        <v>870</v>
      </c>
      <c r="CB2" s="7" t="s">
        <v>870</v>
      </c>
      <c r="CC2" s="7" t="s">
        <v>870</v>
      </c>
      <c r="CD2" s="7" t="s">
        <v>870</v>
      </c>
      <c r="CE2" s="7" t="s">
        <v>870</v>
      </c>
      <c r="CF2" s="7" t="s">
        <v>870</v>
      </c>
      <c r="CG2" s="7" t="s">
        <v>870</v>
      </c>
      <c r="CH2" s="7" t="s">
        <v>870</v>
      </c>
      <c r="CI2" s="7" t="s">
        <v>870</v>
      </c>
      <c r="CJ2" s="7" t="s">
        <v>1055</v>
      </c>
      <c r="CK2" s="7" t="s">
        <v>1055</v>
      </c>
      <c r="CL2" s="7" t="s">
        <v>1055</v>
      </c>
      <c r="CM2" s="7" t="s">
        <v>1055</v>
      </c>
      <c r="CN2" s="7" t="s">
        <v>1055</v>
      </c>
      <c r="CO2" s="103" t="s">
        <v>1055</v>
      </c>
      <c r="CP2" s="7" t="s">
        <v>1055</v>
      </c>
      <c r="CQ2" s="7" t="s">
        <v>1055</v>
      </c>
      <c r="CR2" s="7" t="s">
        <v>1055</v>
      </c>
      <c r="CS2" s="7" t="s">
        <v>1055</v>
      </c>
      <c r="CT2" s="7" t="s">
        <v>1055</v>
      </c>
      <c r="CU2" s="7" t="s">
        <v>1055</v>
      </c>
      <c r="CV2" s="7" t="s">
        <v>1055</v>
      </c>
      <c r="CW2" s="7" t="s">
        <v>1055</v>
      </c>
      <c r="CX2" s="7" t="s">
        <v>1055</v>
      </c>
      <c r="CY2" s="7" t="s">
        <v>1055</v>
      </c>
      <c r="CZ2" s="7" t="s">
        <v>1055</v>
      </c>
      <c r="DA2" s="7" t="s">
        <v>1055</v>
      </c>
      <c r="DB2" s="7" t="s">
        <v>1055</v>
      </c>
      <c r="DC2" s="7" t="s">
        <v>1055</v>
      </c>
      <c r="DD2" s="7" t="s">
        <v>1055</v>
      </c>
      <c r="DE2" s="7" t="s">
        <v>1055</v>
      </c>
      <c r="DF2" s="7" t="s">
        <v>1055</v>
      </c>
      <c r="DG2" s="7" t="s">
        <v>1055</v>
      </c>
      <c r="DH2" s="7" t="s">
        <v>1055</v>
      </c>
      <c r="DI2" s="7" t="s">
        <v>1055</v>
      </c>
      <c r="DJ2" s="7" t="s">
        <v>1055</v>
      </c>
      <c r="DK2" s="7" t="s">
        <v>1055</v>
      </c>
      <c r="DL2" s="7" t="s">
        <v>1055</v>
      </c>
      <c r="DM2" s="7" t="s">
        <v>1055</v>
      </c>
      <c r="DN2" s="7" t="s">
        <v>1055</v>
      </c>
      <c r="DO2" s="7" t="s">
        <v>1055</v>
      </c>
      <c r="DP2" s="7" t="s">
        <v>1055</v>
      </c>
      <c r="DQ2" s="7" t="s">
        <v>1055</v>
      </c>
      <c r="DR2" s="7" t="s">
        <v>1055</v>
      </c>
      <c r="DS2" s="7" t="s">
        <v>1055</v>
      </c>
      <c r="DT2" s="7" t="s">
        <v>1055</v>
      </c>
      <c r="DU2" s="7" t="s">
        <v>1055</v>
      </c>
      <c r="DV2" s="7" t="s">
        <v>1055</v>
      </c>
      <c r="DW2" s="7" t="s">
        <v>1055</v>
      </c>
      <c r="DX2" s="7" t="s">
        <v>1055</v>
      </c>
      <c r="DY2" s="7" t="s">
        <v>1055</v>
      </c>
      <c r="DZ2" s="7" t="s">
        <v>1055</v>
      </c>
      <c r="EA2" s="7" t="s">
        <v>1055</v>
      </c>
      <c r="EB2" s="7" t="s">
        <v>1055</v>
      </c>
      <c r="EC2" s="7" t="s">
        <v>1055</v>
      </c>
      <c r="ED2" s="7" t="s">
        <v>1055</v>
      </c>
      <c r="EE2" s="7" t="s">
        <v>1055</v>
      </c>
      <c r="EF2" s="7" t="s">
        <v>1055</v>
      </c>
      <c r="EG2" s="7" t="s">
        <v>1055</v>
      </c>
      <c r="EH2" s="7" t="s">
        <v>1055</v>
      </c>
      <c r="EI2" s="7" t="s">
        <v>1055</v>
      </c>
      <c r="EJ2" s="7" t="s">
        <v>1055</v>
      </c>
      <c r="EK2" s="7" t="s">
        <v>1055</v>
      </c>
      <c r="EL2" s="7" t="s">
        <v>1055</v>
      </c>
      <c r="EM2" s="7" t="s">
        <v>1055</v>
      </c>
      <c r="EN2" s="7" t="s">
        <v>1057</v>
      </c>
      <c r="EO2" s="7" t="s">
        <v>1057</v>
      </c>
      <c r="EP2" s="7" t="s">
        <v>1057</v>
      </c>
      <c r="EQ2" s="7" t="s">
        <v>1057</v>
      </c>
      <c r="ER2" s="7" t="s">
        <v>1058</v>
      </c>
      <c r="ES2" s="7" t="s">
        <v>1058</v>
      </c>
      <c r="ET2" s="7" t="s">
        <v>1058</v>
      </c>
      <c r="EU2" s="7" t="s">
        <v>1058</v>
      </c>
      <c r="EV2" s="7" t="s">
        <v>1058</v>
      </c>
      <c r="EW2" s="7" t="s">
        <v>1058</v>
      </c>
      <c r="EX2" s="7" t="s">
        <v>1058</v>
      </c>
      <c r="EY2" s="7" t="s">
        <v>1058</v>
      </c>
      <c r="EZ2" s="7" t="s">
        <v>1058</v>
      </c>
      <c r="FA2" s="7" t="s">
        <v>1058</v>
      </c>
      <c r="FB2" s="7" t="s">
        <v>1058</v>
      </c>
      <c r="FC2" s="7" t="s">
        <v>1058</v>
      </c>
      <c r="FD2" s="7" t="s">
        <v>1058</v>
      </c>
      <c r="FE2" s="7" t="s">
        <v>1058</v>
      </c>
      <c r="FF2" s="7" t="s">
        <v>1058</v>
      </c>
      <c r="FG2" s="7" t="s">
        <v>1058</v>
      </c>
      <c r="FH2" s="7" t="s">
        <v>1058</v>
      </c>
      <c r="FI2" s="7" t="s">
        <v>1058</v>
      </c>
      <c r="FJ2" s="7" t="s">
        <v>1058</v>
      </c>
      <c r="FK2" s="7" t="s">
        <v>1059</v>
      </c>
      <c r="FL2" s="7" t="s">
        <v>1059</v>
      </c>
      <c r="FM2" s="7" t="s">
        <v>1059</v>
      </c>
      <c r="FN2" s="7" t="s">
        <v>1059</v>
      </c>
      <c r="FO2" s="7" t="s">
        <v>1059</v>
      </c>
      <c r="FP2" s="7" t="s">
        <v>1059</v>
      </c>
      <c r="FQ2" s="7" t="s">
        <v>1059</v>
      </c>
      <c r="FR2" s="7" t="s">
        <v>1059</v>
      </c>
      <c r="FS2" s="7" t="s">
        <v>1059</v>
      </c>
      <c r="FT2" s="7" t="s">
        <v>1059</v>
      </c>
      <c r="FU2" s="7" t="s">
        <v>1059</v>
      </c>
      <c r="FV2" s="7" t="s">
        <v>1059</v>
      </c>
      <c r="FW2" s="7" t="s">
        <v>1059</v>
      </c>
      <c r="FX2" s="7" t="s">
        <v>1059</v>
      </c>
      <c r="FY2" s="7" t="s">
        <v>1059</v>
      </c>
      <c r="FZ2" s="7" t="s">
        <v>1059</v>
      </c>
      <c r="GA2" s="7" t="s">
        <v>1059</v>
      </c>
      <c r="GB2" s="7" t="s">
        <v>1059</v>
      </c>
      <c r="GC2" s="7" t="s">
        <v>1059</v>
      </c>
      <c r="GD2" s="7" t="s">
        <v>1059</v>
      </c>
      <c r="GE2" s="7" t="s">
        <v>1059</v>
      </c>
      <c r="GF2" s="7" t="s">
        <v>1060</v>
      </c>
      <c r="GG2" s="7" t="s">
        <v>1060</v>
      </c>
      <c r="GH2" s="7" t="s">
        <v>1060</v>
      </c>
      <c r="GI2" s="7" t="s">
        <v>1060</v>
      </c>
      <c r="GJ2" s="7" t="s">
        <v>1060</v>
      </c>
      <c r="GK2" s="7" t="s">
        <v>1060</v>
      </c>
      <c r="GL2" s="7" t="s">
        <v>1060</v>
      </c>
      <c r="GM2" s="7" t="s">
        <v>927</v>
      </c>
      <c r="GN2" s="7" t="s">
        <v>927</v>
      </c>
      <c r="GO2" s="7" t="s">
        <v>927</v>
      </c>
      <c r="GP2" s="7" t="s">
        <v>927</v>
      </c>
      <c r="GQ2" s="7" t="s">
        <v>927</v>
      </c>
      <c r="GR2" s="7" t="s">
        <v>927</v>
      </c>
      <c r="GS2" s="7" t="s">
        <v>927</v>
      </c>
      <c r="GT2" s="7" t="s">
        <v>927</v>
      </c>
      <c r="GU2" s="7" t="s">
        <v>927</v>
      </c>
      <c r="GV2" s="7" t="s">
        <v>927</v>
      </c>
      <c r="GW2" s="7" t="s">
        <v>927</v>
      </c>
      <c r="GX2" s="7" t="s">
        <v>927</v>
      </c>
      <c r="GY2" s="7" t="s">
        <v>936</v>
      </c>
      <c r="GZ2" s="7" t="s">
        <v>936</v>
      </c>
      <c r="HA2" s="7" t="s">
        <v>936</v>
      </c>
      <c r="HB2" s="7" t="s">
        <v>936</v>
      </c>
      <c r="HC2" s="7" t="s">
        <v>936</v>
      </c>
      <c r="HD2" s="7" t="s">
        <v>1061</v>
      </c>
      <c r="HE2" s="7" t="s">
        <v>1061</v>
      </c>
      <c r="HF2" s="7" t="s">
        <v>1061</v>
      </c>
      <c r="HG2" s="7" t="s">
        <v>1087</v>
      </c>
      <c r="HH2" s="7" t="s">
        <v>1087</v>
      </c>
      <c r="HI2" s="7" t="s">
        <v>1087</v>
      </c>
      <c r="HJ2" s="7" t="s">
        <v>1087</v>
      </c>
      <c r="HK2" s="7" t="s">
        <v>1087</v>
      </c>
      <c r="HL2" s="7" t="s">
        <v>1087</v>
      </c>
      <c r="HM2" s="7" t="s">
        <v>1087</v>
      </c>
      <c r="HN2" s="7" t="s">
        <v>1062</v>
      </c>
      <c r="HO2" s="7" t="s">
        <v>1062</v>
      </c>
      <c r="HP2" s="7" t="s">
        <v>1062</v>
      </c>
      <c r="HQ2" s="7" t="s">
        <v>1184</v>
      </c>
      <c r="HR2" s="7" t="s">
        <v>1184</v>
      </c>
      <c r="HS2" s="7" t="s">
        <v>1184</v>
      </c>
      <c r="HT2" s="7" t="s">
        <v>1184</v>
      </c>
      <c r="HU2" s="7" t="s">
        <v>1185</v>
      </c>
      <c r="HV2" s="7" t="s">
        <v>1185</v>
      </c>
      <c r="HW2" s="7" t="s">
        <v>1185</v>
      </c>
      <c r="HX2" s="7" t="s">
        <v>1185</v>
      </c>
    </row>
    <row r="3" spans="1:232" x14ac:dyDescent="0.2">
      <c r="B3" s="1" t="s">
        <v>1102</v>
      </c>
      <c r="E3" s="5">
        <f xml:space="preserve"> E4 * 0.001</f>
        <v>17986.776000000002</v>
      </c>
      <c r="F3" s="5">
        <f xml:space="preserve"> F4 * 0.001</f>
        <v>-1047.9100000000001</v>
      </c>
      <c r="G3" s="5">
        <f t="shared" ref="G3:BP3" si="0" xml:space="preserve"> G4 * 0.001</f>
        <v>-11423.195</v>
      </c>
      <c r="H3" s="5">
        <f t="shared" si="0"/>
        <v>5515.6710000000003</v>
      </c>
      <c r="I3" s="5">
        <f t="shared" si="0"/>
        <v>826.048</v>
      </c>
      <c r="J3" s="5">
        <f t="shared" si="0"/>
        <v>311.94900000000001</v>
      </c>
      <c r="K3" s="5">
        <f t="shared" si="0"/>
        <v>53.197000000000003</v>
      </c>
      <c r="L3" s="5">
        <f t="shared" si="0"/>
        <v>0.54600000000000004</v>
      </c>
      <c r="M3" s="5">
        <f t="shared" si="0"/>
        <v>269.77499999999998</v>
      </c>
      <c r="N3" s="5">
        <f t="shared" si="0"/>
        <v>-3581.694</v>
      </c>
      <c r="O3" s="5">
        <f t="shared" si="0"/>
        <v>157.88499999999999</v>
      </c>
      <c r="P3" s="5">
        <f t="shared" si="0"/>
        <v>-46.298000000000002</v>
      </c>
      <c r="Q3" s="5">
        <f t="shared" si="0"/>
        <v>-7.73</v>
      </c>
      <c r="R3" s="5">
        <f t="shared" si="0"/>
        <v>1.9080000000000001</v>
      </c>
      <c r="S3" s="5">
        <f t="shared" si="0"/>
        <v>3501.2570000000001</v>
      </c>
      <c r="T3" s="5">
        <f t="shared" si="0"/>
        <v>-9.7910000000000004</v>
      </c>
      <c r="U3" s="5">
        <f t="shared" si="0"/>
        <v>3491.4659999999999</v>
      </c>
      <c r="V3" s="5">
        <f t="shared" si="0"/>
        <v>24.760999999999999</v>
      </c>
      <c r="W3" s="5">
        <f t="shared" si="0"/>
        <v>-496.14400000000001</v>
      </c>
      <c r="X3" s="5">
        <f t="shared" si="0"/>
        <v>151.982</v>
      </c>
      <c r="Y3" s="5">
        <f t="shared" si="0"/>
        <v>8.1980000000000004</v>
      </c>
      <c r="Z3" s="5">
        <f t="shared" si="0"/>
        <v>3180.2629999999999</v>
      </c>
      <c r="AA3" s="5">
        <f t="shared" si="0"/>
        <v>12864.746000000001</v>
      </c>
      <c r="AB3" s="5">
        <f t="shared" si="0"/>
        <v>1274.5620000000001</v>
      </c>
      <c r="AC3" s="5">
        <f t="shared" si="0"/>
        <v>14139.308000000001</v>
      </c>
      <c r="AD3" s="5">
        <f t="shared" si="0"/>
        <v>430.19600000000003</v>
      </c>
      <c r="AE3" s="5">
        <f t="shared" si="0"/>
        <v>20.445</v>
      </c>
      <c r="AF3" s="5">
        <f t="shared" si="0"/>
        <v>100.38500000000001</v>
      </c>
      <c r="AG3" s="5">
        <f t="shared" si="0"/>
        <v>191.50300000000001</v>
      </c>
      <c r="AH3" s="5">
        <f t="shared" si="0"/>
        <v>14881.837</v>
      </c>
      <c r="AI3" s="5">
        <f t="shared" si="0"/>
        <v>2599.212</v>
      </c>
      <c r="AJ3" s="5">
        <f t="shared" si="0"/>
        <v>1482.2360000000001</v>
      </c>
      <c r="AK3" s="5">
        <f t="shared" si="0"/>
        <v>1889.7460000000001</v>
      </c>
      <c r="AL3" s="5">
        <f t="shared" si="0"/>
        <v>825.09900000000005</v>
      </c>
      <c r="AM3" s="5">
        <f t="shared" si="0"/>
        <v>456.36099999999999</v>
      </c>
      <c r="AN3" s="5">
        <f t="shared" si="0"/>
        <v>96.954999999999998</v>
      </c>
      <c r="AO3" s="5">
        <f t="shared" si="0"/>
        <v>2051.7249999999999</v>
      </c>
      <c r="AP3" s="5">
        <f t="shared" si="0"/>
        <v>33.881999999999998</v>
      </c>
      <c r="AQ3" s="5">
        <f t="shared" si="0"/>
        <v>402.935</v>
      </c>
      <c r="AR3" s="5">
        <f t="shared" si="0"/>
        <v>9838.1509999999998</v>
      </c>
      <c r="AS3" s="5">
        <f t="shared" si="0"/>
        <v>5043.6859999999997</v>
      </c>
      <c r="AT3" s="5">
        <f t="shared" si="0"/>
        <v>193.82</v>
      </c>
      <c r="AU3" s="5">
        <f t="shared" si="0"/>
        <v>133501.103</v>
      </c>
      <c r="AV3" s="5">
        <f t="shared" si="0"/>
        <v>2018.3530000000001</v>
      </c>
      <c r="AW3" s="5">
        <f t="shared" si="0"/>
        <v>1635.7170000000001</v>
      </c>
      <c r="AX3" s="5">
        <f t="shared" si="0"/>
        <v>72.727999999999994</v>
      </c>
      <c r="AY3" s="5">
        <f t="shared" si="0"/>
        <v>824.85400000000004</v>
      </c>
      <c r="AZ3" s="5">
        <f t="shared" si="0"/>
        <v>3115.616</v>
      </c>
      <c r="BA3" s="5">
        <f t="shared" si="0"/>
        <v>59.414999999999999</v>
      </c>
      <c r="BB3" s="5">
        <f t="shared" si="0"/>
        <v>283.24799999999999</v>
      </c>
      <c r="BC3" s="5">
        <f t="shared" si="0"/>
        <v>2619.049</v>
      </c>
      <c r="BD3" s="5">
        <f t="shared" si="0"/>
        <v>2550.7670000000003</v>
      </c>
      <c r="BE3" s="5">
        <f t="shared" si="0"/>
        <v>146680.85</v>
      </c>
      <c r="BF3" s="5">
        <f t="shared" si="0"/>
        <v>1760.8500000000001</v>
      </c>
      <c r="BG3" s="5">
        <f t="shared" si="0"/>
        <v>2154.8220000000001</v>
      </c>
      <c r="BH3" s="5">
        <f t="shared" si="0"/>
        <v>4656.6090000000004</v>
      </c>
      <c r="BI3" s="5">
        <f t="shared" si="0"/>
        <v>872.94299999999998</v>
      </c>
      <c r="BJ3" s="5">
        <f t="shared" si="0"/>
        <v>3775.6440000000002</v>
      </c>
      <c r="BK3" s="5">
        <f t="shared" si="0"/>
        <v>13220.868</v>
      </c>
      <c r="BL3" s="5">
        <f t="shared" si="0"/>
        <v>1559.133</v>
      </c>
      <c r="BM3" s="5">
        <f t="shared" si="0"/>
        <v>13.181000000000001</v>
      </c>
      <c r="BN3" s="5">
        <f t="shared" si="0"/>
        <v>368.30599999999998</v>
      </c>
      <c r="BO3" s="5">
        <f t="shared" si="0"/>
        <v>4927.4870000000001</v>
      </c>
      <c r="BP3" s="5">
        <f t="shared" si="0"/>
        <v>6868.107</v>
      </c>
      <c r="BQ3" s="5">
        <f t="shared" ref="BQ3:EB3" si="1" xml:space="preserve"> BQ4 * 0.001</f>
        <v>6352.7610000000004</v>
      </c>
      <c r="BR3" s="5">
        <f t="shared" si="1"/>
        <v>153033.611</v>
      </c>
      <c r="BS3" s="5">
        <f t="shared" si="1"/>
        <v>54073.726999999999</v>
      </c>
      <c r="BT3" s="5">
        <f t="shared" si="1"/>
        <v>12012.092000000001</v>
      </c>
      <c r="BU3" s="5">
        <f t="shared" si="1"/>
        <v>270.108</v>
      </c>
      <c r="BV3" s="5">
        <f t="shared" si="1"/>
        <v>34188.207000000002</v>
      </c>
      <c r="BW3" s="5">
        <f t="shared" si="1"/>
        <v>567.13400000000001</v>
      </c>
      <c r="BX3" s="5">
        <f t="shared" si="1"/>
        <v>2500.6089999999999</v>
      </c>
      <c r="BY3" s="5">
        <f t="shared" si="1"/>
        <v>2360.2159999999999</v>
      </c>
      <c r="BZ3" s="5">
        <f t="shared" si="1"/>
        <v>105972.09300000001</v>
      </c>
      <c r="CA3" s="5">
        <f t="shared" si="1"/>
        <v>2016.7670000000001</v>
      </c>
      <c r="CB3" s="5">
        <f t="shared" si="1"/>
        <v>1134.692</v>
      </c>
      <c r="CC3" s="5">
        <f t="shared" si="1"/>
        <v>43910.059000000001</v>
      </c>
      <c r="CD3" s="5">
        <f t="shared" si="1"/>
        <v>31735.452000000001</v>
      </c>
      <c r="CE3" s="5">
        <f t="shared" si="1"/>
        <v>12684.557000000001</v>
      </c>
      <c r="CF3" s="5">
        <f t="shared" si="1"/>
        <v>567.88800000000003</v>
      </c>
      <c r="CG3" s="5">
        <f t="shared" si="1"/>
        <v>-1220.4359999999999</v>
      </c>
      <c r="CH3" s="5">
        <f t="shared" si="1"/>
        <v>142.59700000000001</v>
      </c>
      <c r="CI3" s="5">
        <f t="shared" si="1"/>
        <v>43910.058000000005</v>
      </c>
      <c r="CJ3" s="5">
        <f t="shared" si="1"/>
        <v>1164.4470000000001</v>
      </c>
      <c r="CK3" s="5">
        <f t="shared" si="1"/>
        <v>717.67700000000002</v>
      </c>
      <c r="CL3" s="5">
        <f t="shared" si="1"/>
        <v>81.637</v>
      </c>
      <c r="CM3" s="5">
        <f t="shared" si="1"/>
        <v>365.13299999999998</v>
      </c>
      <c r="CN3" s="5">
        <f t="shared" si="1"/>
        <v>325.19600000000003</v>
      </c>
      <c r="CO3" s="5">
        <f t="shared" si="1"/>
        <v>0.54400000000000004</v>
      </c>
      <c r="CP3" s="5">
        <f t="shared" si="1"/>
        <v>374.86400000000003</v>
      </c>
      <c r="CQ3" s="5">
        <f t="shared" si="1"/>
        <v>-50.212000000000003</v>
      </c>
      <c r="CR3" s="5">
        <f t="shared" si="1"/>
        <v>90.537000000000006</v>
      </c>
      <c r="CS3" s="5">
        <f t="shared" si="1"/>
        <v>78.637</v>
      </c>
      <c r="CT3" s="5">
        <f t="shared" si="1"/>
        <v>72.302999999999997</v>
      </c>
      <c r="CU3" s="5">
        <f t="shared" si="1"/>
        <v>-60.402999999999999</v>
      </c>
      <c r="CV3" s="5">
        <f t="shared" si="1"/>
        <v>10.471</v>
      </c>
      <c r="CW3" s="5">
        <f t="shared" si="1"/>
        <v>0</v>
      </c>
      <c r="CX3" s="5">
        <f t="shared" si="1"/>
        <v>54.866</v>
      </c>
      <c r="CY3" s="5">
        <f t="shared" si="1"/>
        <v>-44.395000000000003</v>
      </c>
      <c r="CZ3" s="5">
        <f t="shared" si="1"/>
        <v>343.24</v>
      </c>
      <c r="DA3" s="5">
        <f t="shared" si="1"/>
        <v>12.787000000000001</v>
      </c>
      <c r="DB3" s="5">
        <f t="shared" si="1"/>
        <v>286.93400000000003</v>
      </c>
      <c r="DC3" s="5">
        <f t="shared" si="1"/>
        <v>43.518999999999998</v>
      </c>
      <c r="DD3" s="5">
        <f t="shared" si="1"/>
        <v>1933.8910000000001</v>
      </c>
      <c r="DE3" s="5">
        <f t="shared" si="1"/>
        <v>809.64499999999998</v>
      </c>
      <c r="DF3" s="5">
        <f t="shared" si="1"/>
        <v>870.60400000000004</v>
      </c>
      <c r="DG3" s="5">
        <f t="shared" si="1"/>
        <v>253.642</v>
      </c>
      <c r="DH3" s="5">
        <f t="shared" si="1"/>
        <v>227.51</v>
      </c>
      <c r="DI3" s="5">
        <f t="shared" si="1"/>
        <v>197.12800000000001</v>
      </c>
      <c r="DJ3" s="5">
        <f t="shared" si="1"/>
        <v>11.728</v>
      </c>
      <c r="DK3" s="5">
        <f t="shared" si="1"/>
        <v>18.654</v>
      </c>
      <c r="DL3" s="5">
        <f t="shared" si="1"/>
        <v>69.191000000000003</v>
      </c>
      <c r="DM3" s="5">
        <f t="shared" si="1"/>
        <v>0</v>
      </c>
      <c r="DN3" s="5">
        <f t="shared" si="1"/>
        <v>50.158000000000001</v>
      </c>
      <c r="DO3" s="5">
        <f t="shared" si="1"/>
        <v>19.033000000000001</v>
      </c>
      <c r="DP3" s="5">
        <f t="shared" si="1"/>
        <v>38.56</v>
      </c>
      <c r="DQ3" s="5">
        <f t="shared" si="1"/>
        <v>0</v>
      </c>
      <c r="DR3" s="5">
        <f t="shared" si="1"/>
        <v>37.387999999999998</v>
      </c>
      <c r="DS3" s="5">
        <f t="shared" si="1"/>
        <v>1.1719999999999999</v>
      </c>
      <c r="DT3" s="5">
        <f t="shared" si="1"/>
        <v>143.38</v>
      </c>
      <c r="DU3" s="5">
        <f t="shared" si="1"/>
        <v>0.01</v>
      </c>
      <c r="DV3" s="5">
        <f t="shared" si="1"/>
        <v>68.188000000000002</v>
      </c>
      <c r="DW3" s="5">
        <f t="shared" si="1"/>
        <v>75.182000000000002</v>
      </c>
      <c r="DX3" s="5">
        <f t="shared" si="1"/>
        <v>52.648000000000003</v>
      </c>
      <c r="DY3" s="5">
        <f t="shared" si="1"/>
        <v>0</v>
      </c>
      <c r="DZ3" s="5">
        <f t="shared" si="1"/>
        <v>53.396999999999998</v>
      </c>
      <c r="EA3" s="5">
        <f t="shared" si="1"/>
        <v>-0.749</v>
      </c>
      <c r="EB3" s="5">
        <f t="shared" si="1"/>
        <v>639.75099999999998</v>
      </c>
      <c r="EC3" s="5">
        <f t="shared" ref="EC3:GN3" si="2" xml:space="preserve"> EC4 * 0.001</f>
        <v>41.127000000000002</v>
      </c>
      <c r="ED3" s="5">
        <f t="shared" si="2"/>
        <v>493.57499999999999</v>
      </c>
      <c r="EE3" s="5">
        <f t="shared" si="2"/>
        <v>105.04900000000001</v>
      </c>
      <c r="EF3" s="5">
        <f t="shared" si="2"/>
        <v>1171.04</v>
      </c>
      <c r="EG3" s="5">
        <f t="shared" si="2"/>
        <v>238.26500000000001</v>
      </c>
      <c r="EH3" s="5">
        <f t="shared" si="2"/>
        <v>714.43399999999997</v>
      </c>
      <c r="EI3" s="5">
        <f t="shared" si="2"/>
        <v>218.34100000000001</v>
      </c>
      <c r="EJ3" s="5">
        <f t="shared" si="2"/>
        <v>3104.931</v>
      </c>
      <c r="EK3" s="5">
        <f t="shared" si="2"/>
        <v>1047.9100000000001</v>
      </c>
      <c r="EL3" s="5">
        <f t="shared" si="2"/>
        <v>1585.038</v>
      </c>
      <c r="EM3" s="5">
        <f t="shared" si="2"/>
        <v>471.983</v>
      </c>
      <c r="EN3" s="5">
        <f t="shared" si="2"/>
        <v>582.86199999999997</v>
      </c>
      <c r="EO3" s="5">
        <f t="shared" si="2"/>
        <v>251.77</v>
      </c>
      <c r="EP3" s="5">
        <f t="shared" si="2"/>
        <v>162.33500000000001</v>
      </c>
      <c r="EQ3" s="5">
        <f t="shared" si="2"/>
        <v>243.44200000000001</v>
      </c>
      <c r="ER3" s="5">
        <f t="shared" si="2"/>
        <v>140400.28</v>
      </c>
      <c r="ES3" s="5">
        <f t="shared" si="2"/>
        <v>4479.8209999999999</v>
      </c>
      <c r="ET3" s="5">
        <f t="shared" si="2"/>
        <v>144880.101</v>
      </c>
      <c r="EU3" s="5">
        <f t="shared" si="2"/>
        <v>7669.7260000000006</v>
      </c>
      <c r="EV3" s="5">
        <f t="shared" si="2"/>
        <v>-1469.893</v>
      </c>
      <c r="EW3" s="5">
        <f t="shared" si="2"/>
        <v>506.05099999999999</v>
      </c>
      <c r="EX3" s="5">
        <f t="shared" si="2"/>
        <v>1438.729</v>
      </c>
      <c r="EY3" s="5">
        <f xml:space="preserve"> EY4 * 0.001</f>
        <v>-443.084</v>
      </c>
      <c r="EZ3" s="5">
        <f t="shared" si="2"/>
        <v>152581.63</v>
      </c>
      <c r="FA3" s="5">
        <f t="shared" si="2"/>
        <v>15254.259</v>
      </c>
      <c r="FB3" s="5">
        <f t="shared" si="2"/>
        <v>2011.6570000000002</v>
      </c>
      <c r="FC3" s="5">
        <f t="shared" si="2"/>
        <v>43.381999999999998</v>
      </c>
      <c r="FD3" s="5">
        <f t="shared" si="2"/>
        <v>-24.347999999999999</v>
      </c>
      <c r="FE3" s="5">
        <f t="shared" si="2"/>
        <v>-338.08600000000001</v>
      </c>
      <c r="FF3" s="5">
        <f t="shared" si="2"/>
        <v>144.72900000000001</v>
      </c>
      <c r="FG3" s="5">
        <f t="shared" si="2"/>
        <v>-29.411000000000001</v>
      </c>
      <c r="FH3" s="5">
        <f t="shared" si="2"/>
        <v>17062.182000000001</v>
      </c>
      <c r="FI3" s="5">
        <f t="shared" si="2"/>
        <v>135519.448</v>
      </c>
      <c r="FJ3" s="5">
        <f t="shared" si="2"/>
        <v>129625.842</v>
      </c>
      <c r="FK3" s="5">
        <f t="shared" si="2"/>
        <v>744.11300000000006</v>
      </c>
      <c r="FL3" s="5">
        <f t="shared" si="2"/>
        <v>429.41300000000001</v>
      </c>
      <c r="FM3" s="5">
        <f t="shared" si="2"/>
        <v>314.7</v>
      </c>
      <c r="FN3" s="5">
        <f t="shared" si="2"/>
        <v>306.50299999999999</v>
      </c>
      <c r="FO3" s="5">
        <f t="shared" si="2"/>
        <v>200.18899999999999</v>
      </c>
      <c r="FP3" s="5">
        <f t="shared" si="2"/>
        <v>106.31400000000001</v>
      </c>
      <c r="FQ3" s="5">
        <f t="shared" si="2"/>
        <v>58.889000000000003</v>
      </c>
      <c r="FR3" s="5">
        <f t="shared" si="2"/>
        <v>53.978000000000002</v>
      </c>
      <c r="FS3" s="5">
        <f t="shared" si="2"/>
        <v>4.9110000000000005</v>
      </c>
      <c r="FT3" s="5">
        <f t="shared" si="2"/>
        <v>605.71900000000005</v>
      </c>
      <c r="FU3" s="5">
        <f t="shared" si="2"/>
        <v>344.97</v>
      </c>
      <c r="FV3" s="5">
        <f t="shared" si="2"/>
        <v>260.74900000000002</v>
      </c>
      <c r="FW3" s="5">
        <f t="shared" si="2"/>
        <v>278.15699999999998</v>
      </c>
      <c r="FX3" s="5">
        <f t="shared" si="2"/>
        <v>181.97</v>
      </c>
      <c r="FY3" s="5">
        <f t="shared" si="2"/>
        <v>96.186999999999998</v>
      </c>
      <c r="FZ3" s="5">
        <f t="shared" si="2"/>
        <v>177.44300000000001</v>
      </c>
      <c r="GA3" s="5">
        <f t="shared" si="2"/>
        <v>134.25800000000001</v>
      </c>
      <c r="GB3" s="5">
        <f t="shared" si="2"/>
        <v>43.185000000000002</v>
      </c>
      <c r="GC3" s="5">
        <f t="shared" si="2"/>
        <v>2170.8240000000001</v>
      </c>
      <c r="GD3" s="5">
        <f t="shared" si="2"/>
        <v>1344.778</v>
      </c>
      <c r="GE3" s="5">
        <f t="shared" si="2"/>
        <v>826.04600000000005</v>
      </c>
      <c r="GF3" s="5">
        <f t="shared" si="2"/>
        <v>2050.1240000000003</v>
      </c>
      <c r="GG3" s="5">
        <f t="shared" si="2"/>
        <v>1.7290000000000001</v>
      </c>
      <c r="GH3" s="5">
        <f t="shared" si="2"/>
        <v>44.182000000000002</v>
      </c>
      <c r="GI3" s="5">
        <f t="shared" si="2"/>
        <v>913.00800000000004</v>
      </c>
      <c r="GJ3" s="5">
        <f t="shared" si="2"/>
        <v>47.975999999999999</v>
      </c>
      <c r="GK3" s="5">
        <f t="shared" si="2"/>
        <v>718.62900000000002</v>
      </c>
      <c r="GL3" s="5">
        <f t="shared" si="2"/>
        <v>3775.6480000000001</v>
      </c>
      <c r="GM3" s="5">
        <f t="shared" si="2"/>
        <v>415.988</v>
      </c>
      <c r="GN3" s="5">
        <f t="shared" si="2"/>
        <v>416.892</v>
      </c>
      <c r="GO3" s="5">
        <f t="shared" ref="GO3:HP3" si="3" xml:space="preserve"> GO4 * 0.001</f>
        <v>1086.3020000000001</v>
      </c>
      <c r="GP3" s="5">
        <f t="shared" si="3"/>
        <v>211.10400000000001</v>
      </c>
      <c r="GQ3" s="5">
        <f t="shared" si="3"/>
        <v>53.283999999999999</v>
      </c>
      <c r="GR3" s="5">
        <f t="shared" si="3"/>
        <v>1601.473</v>
      </c>
      <c r="GS3" s="5">
        <f t="shared" si="3"/>
        <v>3.9830000000000001</v>
      </c>
      <c r="GT3" s="5">
        <f t="shared" si="3"/>
        <v>31.869</v>
      </c>
      <c r="GU3" s="5">
        <f t="shared" si="3"/>
        <v>67.611999999999995</v>
      </c>
      <c r="GV3" s="5">
        <f t="shared" si="3"/>
        <v>28.491</v>
      </c>
      <c r="GW3" s="5">
        <f t="shared" si="3"/>
        <v>1010.495</v>
      </c>
      <c r="GX3" s="5">
        <f t="shared" si="3"/>
        <v>4927.4930000000004</v>
      </c>
      <c r="GY3" s="5">
        <f t="shared" si="3"/>
        <v>801.03399999999999</v>
      </c>
      <c r="GZ3" s="5">
        <f t="shared" si="3"/>
        <v>116.861</v>
      </c>
      <c r="HA3" s="5">
        <f t="shared" si="3"/>
        <v>447.13900000000001</v>
      </c>
      <c r="HB3" s="5">
        <f t="shared" si="3"/>
        <v>995.18100000000004</v>
      </c>
      <c r="HC3" s="5">
        <f t="shared" si="3"/>
        <v>2360.2150000000001</v>
      </c>
      <c r="HD3" s="5">
        <f t="shared" si="3"/>
        <v>882.15300000000002</v>
      </c>
      <c r="HE3" s="5">
        <f t="shared" si="3"/>
        <v>252.53900000000002</v>
      </c>
      <c r="HF3" s="5">
        <f t="shared" si="3"/>
        <v>1134.692</v>
      </c>
      <c r="HG3" s="5">
        <f t="shared" si="3"/>
        <v>2930.7739999999999</v>
      </c>
      <c r="HH3" s="5">
        <f t="shared" si="3"/>
        <v>35.29</v>
      </c>
      <c r="HI3" s="5">
        <f t="shared" si="3"/>
        <v>58.301000000000002</v>
      </c>
      <c r="HJ3" s="5">
        <f t="shared" si="3"/>
        <v>2.4550000000000001</v>
      </c>
      <c r="HK3" s="5">
        <f t="shared" si="3"/>
        <v>725.20299999999997</v>
      </c>
      <c r="HL3" s="5">
        <f t="shared" si="3"/>
        <v>-170.327</v>
      </c>
      <c r="HM3" s="5">
        <f t="shared" si="3"/>
        <v>3581.6959999999999</v>
      </c>
      <c r="HN3" s="5">
        <f t="shared" si="3"/>
        <v>1588.877</v>
      </c>
      <c r="HO3" s="5">
        <f t="shared" si="3"/>
        <v>2223.0819999999999</v>
      </c>
      <c r="HP3" s="5">
        <f t="shared" si="3"/>
        <v>77.305000000000007</v>
      </c>
      <c r="HQ3" s="8" t="s">
        <v>1056</v>
      </c>
      <c r="HR3" s="8" t="s">
        <v>1056</v>
      </c>
      <c r="HS3" s="8" t="s">
        <v>1056</v>
      </c>
      <c r="HT3" s="8" t="s">
        <v>1056</v>
      </c>
      <c r="HU3" s="8" t="s">
        <v>1056</v>
      </c>
      <c r="HV3" s="8" t="s">
        <v>1056</v>
      </c>
      <c r="HW3" s="8" t="s">
        <v>1056</v>
      </c>
      <c r="HX3" s="8" t="s">
        <v>1056</v>
      </c>
    </row>
    <row r="4" spans="1:232" x14ac:dyDescent="0.2">
      <c r="B4" s="1" t="s">
        <v>1103</v>
      </c>
      <c r="E4" s="5">
        <f xml:space="preserve"> SUM( Data_Entity[Turnover] )</f>
        <v>17986776</v>
      </c>
      <c r="F4" s="5">
        <f xml:space="preserve"> SUM( Data_Entity[Cost of sales] )</f>
        <v>-1047910</v>
      </c>
      <c r="G4" s="5">
        <f xml:space="preserve"> SUM( Data_Entity[Operating expenditure] )</f>
        <v>-11423195</v>
      </c>
      <c r="H4" s="5">
        <f xml:space="preserve"> SUM( Data_Entity[Operating Surplus/(Deficit)] )</f>
        <v>5515671</v>
      </c>
      <c r="I4" s="5">
        <f xml:space="preserve"> SUM( Data_Entity[Gain/(Loss) on disposal of fixed assets] )</f>
        <v>826048</v>
      </c>
      <c r="J4" s="5">
        <f xml:space="preserve"> SUM( Data_Entity[Gift aid] )</f>
        <v>311949</v>
      </c>
      <c r="K4" s="5">
        <f xml:space="preserve"> SUM( Data_Entity[Other items] )</f>
        <v>53197</v>
      </c>
      <c r="L4" s="5">
        <f xml:space="preserve"> SUM( Data_Entity[Share of Op Surplus/(Deficit) in JV or Assoc] )</f>
        <v>546</v>
      </c>
      <c r="M4" s="5">
        <f xml:space="preserve"> SUM( Data_Entity[Interest receivable] )</f>
        <v>269775</v>
      </c>
      <c r="N4" s="5">
        <f xml:space="preserve"> SUM( Data_Entity[Interest payable &amp; financing costs] )</f>
        <v>-3581694</v>
      </c>
      <c r="O4" s="5">
        <f xml:space="preserve"> SUM( Data_Entity[Movement in fair value - investment properties] )</f>
        <v>157885</v>
      </c>
      <c r="P4" s="5">
        <f xml:space="preserve"> SUM( Data_Entity[Movement in fair value - fin. Instruments] )</f>
        <v>-46298</v>
      </c>
      <c r="Q4" s="5">
        <f xml:space="preserve"> SUM( Data_Entity[Movement in valuation of housing properties] )</f>
        <v>-7730</v>
      </c>
      <c r="R4" s="5">
        <f xml:space="preserve"> SUM( Data_Entity[Reversal of previous decrease in val. housing props.] )</f>
        <v>1908</v>
      </c>
      <c r="S4" s="5">
        <f xml:space="preserve"> SUM( Data_Entity[Surplus/(Deficit) before tax] )</f>
        <v>3501257</v>
      </c>
      <c r="T4" s="5">
        <f xml:space="preserve"> SUM( Data_Entity[Taxation] )</f>
        <v>-9791</v>
      </c>
      <c r="U4" s="5">
        <f xml:space="preserve"> SUM( Data_Entity[Surplus/(Deficit) for the period] )</f>
        <v>3491466</v>
      </c>
      <c r="V4" s="5">
        <f xml:space="preserve"> SUM( Data_Entity[Unrealised Sur/(Def) on reval. Housing Props] )</f>
        <v>24761</v>
      </c>
      <c r="W4" s="5">
        <f xml:space="preserve"> SUM( Data_Entity[Actuarial Gain/(Loss) pension schemes] )</f>
        <v>-496144</v>
      </c>
      <c r="X4" s="5">
        <f xml:space="preserve"> SUM( Data_Entity[Change in fair value of hedged inst] )</f>
        <v>151982</v>
      </c>
      <c r="Y4" s="5">
        <f xml:space="preserve"> SUM( Data_Entity[Other remeasurements] )</f>
        <v>8198</v>
      </c>
      <c r="Z4" s="5">
        <f xml:space="preserve"> SUM( Data_Entity[Total Comp Income] )</f>
        <v>3180263</v>
      </c>
      <c r="AA4" s="5">
        <f xml:space="preserve"> SUM( Data_Entity[Rents] )</f>
        <v>12864746</v>
      </c>
      <c r="AB4" s="5">
        <f xml:space="preserve"> SUM( Data_Entity[Service charge income] )</f>
        <v>1274562</v>
      </c>
      <c r="AC4" s="5">
        <f xml:space="preserve"> SUM( Data_Entity[Net rental income] )</f>
        <v>14139308</v>
      </c>
      <c r="AD4" s="5">
        <f xml:space="preserve"> SUM( Data_Entity[Amortised gov. grants] )</f>
        <v>430196</v>
      </c>
      <c r="AE4" s="5">
        <f xml:space="preserve"> SUM( Data_Entity[Gov grants taken to income] )</f>
        <v>20445</v>
      </c>
      <c r="AF4" s="5">
        <f xml:space="preserve"> SUM( Data_Entity[Other grants] )</f>
        <v>100385</v>
      </c>
      <c r="AG4" s="5">
        <f xml:space="preserve"> SUM( Data_Entity[Other SHL income] )</f>
        <v>191503</v>
      </c>
      <c r="AH4" s="5">
        <f xml:space="preserve"> SUM( Data_Entity[Turnover from SHL] )</f>
        <v>14881837</v>
      </c>
      <c r="AI4" s="5">
        <f xml:space="preserve"> SUM( Data_Entity[Management] )</f>
        <v>2599212</v>
      </c>
      <c r="AJ4" s="5">
        <f xml:space="preserve"> SUM( Data_Entity[Service charge costs] )</f>
        <v>1482236</v>
      </c>
      <c r="AK4" s="5">
        <f xml:space="preserve"> SUM( Data_Entity[Routine maintenance] )</f>
        <v>1889746</v>
      </c>
      <c r="AL4" s="5">
        <f xml:space="preserve"> SUM( Data_Entity[Planned maintenance] )</f>
        <v>825099</v>
      </c>
      <c r="AM4" s="5">
        <f xml:space="preserve"> SUM( Data_Entity[Major repairs expenditure] )</f>
        <v>456361</v>
      </c>
      <c r="AN4" s="5">
        <f xml:space="preserve"> SUM( Data_Entity[Bad debts] )</f>
        <v>96955</v>
      </c>
      <c r="AO4" s="5">
        <f xml:space="preserve"> SUM( Data_Entity[Depreciation of housing properties] )</f>
        <v>2051725</v>
      </c>
      <c r="AP4" s="5">
        <f xml:space="preserve"> SUM( Data_Entity[Impairment of housing properties] )</f>
        <v>33882</v>
      </c>
      <c r="AQ4" s="5">
        <f xml:space="preserve"> SUM( Data_Entity[Other costs] )</f>
        <v>402935</v>
      </c>
      <c r="AR4" s="5">
        <f xml:space="preserve"> SUM( Data_Entity[Expenditure on SHL] )</f>
        <v>9838151</v>
      </c>
      <c r="AS4" s="5">
        <f xml:space="preserve"> SUM( Data_Entity[Operating Surplus/(Def) on SHL] )</f>
        <v>5043686</v>
      </c>
      <c r="AT4" s="5">
        <f xml:space="preserve"> SUM( Data_Entity[Void Losses] )</f>
        <v>193820</v>
      </c>
      <c r="AU4" s="5">
        <f xml:space="preserve"> SUM( Data_Entity[Housing properties at cost] )</f>
        <v>133501103</v>
      </c>
      <c r="AV4" s="5">
        <f xml:space="preserve"> SUM( Data_Entity[Housing properties at valuation] )</f>
        <v>2018353</v>
      </c>
      <c r="AW4" s="5">
        <f xml:space="preserve"> SUM( Data_Entity[Other tangible fixed assets] )</f>
        <v>1635717</v>
      </c>
      <c r="AX4" s="5">
        <f xml:space="preserve"> SUM( Data_Entity[Intangible fixed assets &amp; goodwill] )</f>
        <v>72728</v>
      </c>
      <c r="AY4" s="5">
        <f xml:space="preserve"> SUM( Data_Entity[HomeBuy loans receivable] )</f>
        <v>824854</v>
      </c>
      <c r="AZ4" s="5">
        <f xml:space="preserve"> SUM( Data_Entity[Investment properties] )</f>
        <v>3115616</v>
      </c>
      <c r="BA4" s="5">
        <f xml:space="preserve"> SUM( Data_Entity[Investment in Joint Ventures] )</f>
        <v>59415</v>
      </c>
      <c r="BB4" s="5">
        <f xml:space="preserve"> SUM( Data_Entity[Investment in associates] )</f>
        <v>283248</v>
      </c>
      <c r="BC4" s="5">
        <f xml:space="preserve"> SUM( Data_Entity[Amounts owed by group undertakings] )</f>
        <v>2619049</v>
      </c>
      <c r="BD4" s="5">
        <f xml:space="preserve"> SUM( Data_Entity[Other investments] )</f>
        <v>2550767</v>
      </c>
      <c r="BE4" s="5">
        <f xml:space="preserve"> SUM( Data_Entity[Total fixed assets] )</f>
        <v>146680850</v>
      </c>
      <c r="BF4" s="5">
        <f xml:space="preserve"> SUM( Data_Entity[Properties held for sale] )</f>
        <v>1760850</v>
      </c>
      <c r="BG4" s="5">
        <f xml:space="preserve"> SUM( Data_Entity[Trade &amp; other debtors] )</f>
        <v>2154822</v>
      </c>
      <c r="BH4" s="5">
        <f xml:space="preserve"> SUM( Data_Entity[Cash &amp; cash equiv.] )</f>
        <v>4656609</v>
      </c>
      <c r="BI4" s="5">
        <f xml:space="preserve"> SUM( Data_Entity[Short term investments] )</f>
        <v>872943</v>
      </c>
      <c r="BJ4" s="5">
        <f xml:space="preserve"> SUM( Data_Entity[Other current assets] )</f>
        <v>3775644</v>
      </c>
      <c r="BK4" s="5">
        <f xml:space="preserve"> SUM( Data_Entity[Total current assets] )</f>
        <v>13220868</v>
      </c>
      <c r="BL4" s="5">
        <f xml:space="preserve"> SUM( Data_Entity[Short term loans] )</f>
        <v>1559133</v>
      </c>
      <c r="BM4" s="5">
        <f xml:space="preserve"> SUM( Data_Entity[Bank overdrafts] )</f>
        <v>13181</v>
      </c>
      <c r="BN4" s="5">
        <f xml:space="preserve"> SUM( Data_Entity[Deferred capital grant (short term)] )</f>
        <v>368306</v>
      </c>
      <c r="BO4" s="5">
        <f xml:space="preserve"> SUM( Data_Entity[Other creditors due within 1 year] )</f>
        <v>4927487</v>
      </c>
      <c r="BP4" s="5">
        <f xml:space="preserve"> SUM( Data_Entity[Total creditors due within 1 year] )</f>
        <v>6868107</v>
      </c>
      <c r="BQ4" s="5">
        <f xml:space="preserve"> SUM( Data_Entity[Net Current Assets/Liabilities] )</f>
        <v>6352761</v>
      </c>
      <c r="BR4" s="5">
        <f xml:space="preserve"> SUM( Data_Entity[Total assets less current liabilities] )</f>
        <v>153033611</v>
      </c>
      <c r="BS4" s="5">
        <f xml:space="preserve"> SUM( Data_Entity[Long term loans] )</f>
        <v>54073727</v>
      </c>
      <c r="BT4" s="5">
        <f xml:space="preserve"> SUM( Data_Entity[Amounts owed to group undertakings] )</f>
        <v>12012092</v>
      </c>
      <c r="BU4" s="5">
        <f xml:space="preserve"> SUM( Data_Entity[Finance lease obligations] )</f>
        <v>270108</v>
      </c>
      <c r="BV4" s="5">
        <f xml:space="preserve"> SUM( Data_Entity[Deferred capital grant (long term)] )</f>
        <v>34188207</v>
      </c>
      <c r="BW4" s="5">
        <f xml:space="preserve"> SUM( Data_Entity[HomeBuy grant deferred income] )</f>
        <v>567134</v>
      </c>
      <c r="BX4" s="5">
        <f xml:space="preserve"> SUM( Data_Entity[Fair value of derivative financial instruments - SOFP] )</f>
        <v>2500609</v>
      </c>
      <c r="BY4" s="5">
        <f xml:space="preserve"> SUM( Data_Entity[Other long term creditors] )</f>
        <v>2360216</v>
      </c>
      <c r="BZ4" s="5">
        <f xml:space="preserve"> SUM( Data_Entity[Total creditors due after 1 year] )</f>
        <v>105972093</v>
      </c>
      <c r="CA4" s="5">
        <f xml:space="preserve"> SUM( Data_Entity[Pension provision] )</f>
        <v>2016767</v>
      </c>
      <c r="CB4" s="5">
        <f xml:space="preserve"> SUM( Data_Entity[Other provisions] )</f>
        <v>1134692</v>
      </c>
      <c r="CC4" s="5">
        <f xml:space="preserve"> SUM( Data_Entity[Total net assets] )</f>
        <v>43910059</v>
      </c>
      <c r="CD4" s="5">
        <f xml:space="preserve"> SUM( Data_Entity[Income &amp; expenditure reserve] )</f>
        <v>31735452</v>
      </c>
      <c r="CE4" s="5">
        <f xml:space="preserve"> SUM( Data_Entity[Revaluation reserve] )</f>
        <v>12684557</v>
      </c>
      <c r="CF4" s="5">
        <f xml:space="preserve"> SUM( Data_Entity[Restricted reserve] )</f>
        <v>567888</v>
      </c>
      <c r="CG4" s="5">
        <f xml:space="preserve"> SUM( Data_Entity[Cashflow Hedge Reserve] )</f>
        <v>-1220436</v>
      </c>
      <c r="CH4" s="5">
        <f xml:space="preserve"> SUM( Data_Entity[Other reserves] )</f>
        <v>142597</v>
      </c>
      <c r="CI4" s="5">
        <f xml:space="preserve"> SUM( Data_Entity[Total reserves] )</f>
        <v>43910058</v>
      </c>
      <c r="CJ4" s="5">
        <f xml:space="preserve"> SUM( Data_Entity[Other social housing activities - 1st Tranche LCHO Sales - Turnover] )</f>
        <v>1164447</v>
      </c>
      <c r="CK4" s="5">
        <f xml:space="preserve"> SUM( Data_Entity[Other social housing activities - 1st Tranche LCHO Sales - Cost of Sales] )</f>
        <v>717677</v>
      </c>
      <c r="CL4" s="5">
        <f xml:space="preserve"> SUM( Data_Entity[Other social housing activities - 1st Tranche LCHO Sales - Operating Expenditure] )</f>
        <v>81637</v>
      </c>
      <c r="CM4" s="5">
        <f xml:space="preserve"> SUM( Data_Entity[Other social housing activities - 1st Tranche LCHO Sales - Op. Surplus/(Def.)] )</f>
        <v>365133</v>
      </c>
      <c r="CN4" s="5">
        <f xml:space="preserve"> SUM( Data_Entity[Other social housing activities - Charges for Support Services - Turnover] )</f>
        <v>325196</v>
      </c>
      <c r="CO4" s="5">
        <f xml:space="preserve"> SUM( Data_Entity[Other social housing activities - Charges for Support Services - Cost of Sales] )</f>
        <v>544</v>
      </c>
      <c r="CP4" s="5">
        <f xml:space="preserve"> SUM( Data_Entity[Other social housing activities - Charges for Support Services - Operating Expenditure] )</f>
        <v>374864</v>
      </c>
      <c r="CQ4" s="5">
        <f xml:space="preserve"> SUM( Data_Entity[Other social housing activities - Charges for Support Services - Op. Surplus/(Def.)] )</f>
        <v>-50212</v>
      </c>
      <c r="CR4" s="5">
        <f xml:space="preserve"> SUM( Data_Entity[Other social housing activities - Development Services - Turnover] )</f>
        <v>90537</v>
      </c>
      <c r="CS4" s="5">
        <f xml:space="preserve"> SUM( Data_Entity[Other social housing activities - Development Services - Cost of Sales] )</f>
        <v>78637</v>
      </c>
      <c r="CT4" s="5">
        <f xml:space="preserve"> SUM( Data_Entity[Other social housing activities - Development Services - Operating Expenditure] )</f>
        <v>72303</v>
      </c>
      <c r="CU4" s="5">
        <f xml:space="preserve"> SUM( Data_Entity[Other social housing activities - Development Services - Op. Surplus/(Def.)] )</f>
        <v>-60403</v>
      </c>
      <c r="CV4" s="5">
        <f xml:space="preserve"> SUM( Data_Entity[Other social housing activities - Neighbourhood Services - Turnover] )</f>
        <v>10471</v>
      </c>
      <c r="CW4" s="5">
        <f xml:space="preserve"> SUM( Data_Entity[Other social housing activities - Neighbourhood Services - Cost of Sales] )</f>
        <v>0</v>
      </c>
      <c r="CX4" s="5">
        <f xml:space="preserve"> SUM( Data_Entity[Other social housing activities - Neighbourhood Services - Operating Expenditure] )</f>
        <v>54866</v>
      </c>
      <c r="CY4" s="5">
        <f xml:space="preserve"> SUM( Data_Entity[Other social housing activities - Neighbourhood Services - Op. Surplus/(Def.)] )</f>
        <v>-44395</v>
      </c>
      <c r="CZ4" s="5">
        <f xml:space="preserve"> SUM( Data_Entity[Other social housing activities - Other - Turnover] )</f>
        <v>343240</v>
      </c>
      <c r="DA4" s="5">
        <f xml:space="preserve"> SUM( Data_Entity[Other social housing activities - Other - Cost of Sales] )</f>
        <v>12787</v>
      </c>
      <c r="DB4" s="5">
        <f xml:space="preserve"> SUM( Data_Entity[Other social housing activities - Other - Operating Costs] )</f>
        <v>286934</v>
      </c>
      <c r="DC4" s="5">
        <f xml:space="preserve"> SUM( Data_Entity[Other social housing activities - Other - Op. Surplus/(Def.)] )</f>
        <v>43519</v>
      </c>
      <c r="DD4" s="5">
        <f xml:space="preserve"> SUM( Data_Entity[Total other social housing activities - Turnover] )</f>
        <v>1933891</v>
      </c>
      <c r="DE4" s="5">
        <f xml:space="preserve"> SUM( Data_Entity[Total other social housing activities - Cost of sales] )</f>
        <v>809645</v>
      </c>
      <c r="DF4" s="5">
        <f xml:space="preserve"> SUM( Data_Entity[Total other social housing activities - Operating expenditure] )</f>
        <v>870604</v>
      </c>
      <c r="DG4" s="5">
        <f xml:space="preserve"> SUM( Data_Entity[Total other social housing activities - Op. Surplus/{Def.)] )</f>
        <v>253642</v>
      </c>
      <c r="DH4" s="5">
        <f xml:space="preserve"> SUM( Data_Entity[Non-social housing - Prop. built for sale - Turnover] )</f>
        <v>227510</v>
      </c>
      <c r="DI4" s="5">
        <f xml:space="preserve"> SUM( Data_Entity[Non-social housing - Prop. built for sale - Cost of sales] )</f>
        <v>197128</v>
      </c>
      <c r="DJ4" s="5">
        <f xml:space="preserve"> SUM( Data_Entity[Non-social housing - Prop. built for sale - Operating expenditure] )</f>
        <v>11728</v>
      </c>
      <c r="DK4" s="5">
        <f xml:space="preserve"> SUM( Data_Entity[Non-social housing - Prop. built for sale - Op. Surplus/(Def.)] )</f>
        <v>18654</v>
      </c>
      <c r="DL4" s="5">
        <f xml:space="preserve"> SUM( Data_Entity[Non-social housing - Student accom. - Turnover] )</f>
        <v>69191</v>
      </c>
      <c r="DM4" s="5">
        <f xml:space="preserve"> SUM( Data_Entity[Non-social housing - Student accom. - Cost of sales] )</f>
        <v>0</v>
      </c>
      <c r="DN4" s="5">
        <f xml:space="preserve"> SUM( Data_Entity[Non-social housing - Student accom. - Operating expenditure] )</f>
        <v>50158</v>
      </c>
      <c r="DO4" s="5">
        <f xml:space="preserve"> SUM( Data_Entity[Non-social housing - Student accom. - Op. Surplus/(Def.)] )</f>
        <v>19033</v>
      </c>
      <c r="DP4" s="5">
        <f xml:space="preserve"> SUM( Data_Entity[Non-social housing - Nursing homes - Turnover] )</f>
        <v>38560</v>
      </c>
      <c r="DQ4" s="5">
        <f xml:space="preserve"> SUM( Data_Entity[Non-social housing - Nursing homes - Cost of sales] )</f>
        <v>0</v>
      </c>
      <c r="DR4" s="5">
        <f xml:space="preserve"> SUM( Data_Entity[Non-social housing - Nursing homes - Operating expenditure] )</f>
        <v>37388</v>
      </c>
      <c r="DS4" s="5">
        <f xml:space="preserve"> SUM( Data_Entity[Non-social housing - Nursing homes - Op. Surplus/(Def.)] )</f>
        <v>1172</v>
      </c>
      <c r="DT4" s="5">
        <f xml:space="preserve"> SUM( Data_Entity[Non-social housing - Market rent - Turnover] )</f>
        <v>143380</v>
      </c>
      <c r="DU4" s="5">
        <f xml:space="preserve"> SUM( Data_Entity[Non-social housing - Market rent - Cost of sales] )</f>
        <v>10</v>
      </c>
      <c r="DV4" s="5">
        <f xml:space="preserve"> SUM( Data_Entity[Non-social housing - Market rent - Operating expenditure] )</f>
        <v>68188</v>
      </c>
      <c r="DW4" s="5">
        <f xml:space="preserve"> SUM( Data_Entity[Non-social housing - Market rent - Op. Surplus/(Def.)] )</f>
        <v>75182</v>
      </c>
      <c r="DX4" s="5">
        <f xml:space="preserve"> SUM( Data_Entity[Non-social housing - Support services - Turnover] )</f>
        <v>52648</v>
      </c>
      <c r="DY4" s="5">
        <f xml:space="preserve"> SUM( Data_Entity[Non-social housing - Support services - Cost of sales] )</f>
        <v>0</v>
      </c>
      <c r="DZ4" s="5">
        <f xml:space="preserve"> SUM( Data_Entity[Non-social housing - Support services - Operating expenditure] )</f>
        <v>53397</v>
      </c>
      <c r="EA4" s="5">
        <f xml:space="preserve"> SUM( Data_Entity[Non-social housing - Support services - Op. Surplus/(Def.)] )</f>
        <v>-749</v>
      </c>
      <c r="EB4" s="5">
        <f xml:space="preserve"> SUM( Data_Entity[Non-social housing - Other - Turnover] )</f>
        <v>639751</v>
      </c>
      <c r="EC4" s="5">
        <f xml:space="preserve"> SUM( Data_Entity[Non-social housing - Other - Cost of sales] )</f>
        <v>41127</v>
      </c>
      <c r="ED4" s="5">
        <f xml:space="preserve"> SUM( Data_Entity[Non-social housing - Other - Operating expenditure] )</f>
        <v>493575</v>
      </c>
      <c r="EE4" s="5">
        <f xml:space="preserve"> SUM( Data_Entity[Non-social housing - Other - Op. Surplus/(Def.)] )</f>
        <v>105049</v>
      </c>
      <c r="EF4" s="5">
        <f xml:space="preserve"> SUM( Data_Entity[Total non-social housing activity - Turnover] )</f>
        <v>1171040</v>
      </c>
      <c r="EG4" s="5">
        <f xml:space="preserve"> SUM( Data_Entity[Total non-social housing activity - Cost of sales] )</f>
        <v>238265</v>
      </c>
      <c r="EH4" s="5">
        <f xml:space="preserve"> SUM( Data_Entity[Total non-social housing activity - Operating expenditure] )</f>
        <v>714434</v>
      </c>
      <c r="EI4" s="5">
        <f xml:space="preserve"> SUM( Data_Entity[Total non-social housing activity - Op. Surplus/(Def.)] )</f>
        <v>218341</v>
      </c>
      <c r="EJ4" s="5">
        <f xml:space="preserve"> SUM( Data_Entity[Total activity other than SHL - Turnover] )</f>
        <v>3104931</v>
      </c>
      <c r="EK4" s="5">
        <f xml:space="preserve"> SUM( Data_Entity[Total activity other than SHL - Cost of sales] )</f>
        <v>1047910</v>
      </c>
      <c r="EL4" s="5">
        <f xml:space="preserve"> SUM( Data_Entity[Total activity other than SHL - Operating expenditure] )</f>
        <v>1585038</v>
      </c>
      <c r="EM4" s="5">
        <f xml:space="preserve"> SUM( Data_Entity[Total activity other than SHL - Op. Surplus/(Def.)] )</f>
        <v>471983</v>
      </c>
      <c r="EN4" s="5">
        <f xml:space="preserve"> SUM( Data_Entity[Gross arrears Current] )</f>
        <v>582862</v>
      </c>
      <c r="EO4" s="5">
        <f xml:space="preserve"> SUM( Data_Entity[Gross arrears Former] )</f>
        <v>251770</v>
      </c>
      <c r="EP4" s="5">
        <f xml:space="preserve"> SUM( Data_Entity[Provision for bad/doubtful debts Current] )</f>
        <v>162335</v>
      </c>
      <c r="EQ4" s="5">
        <f xml:space="preserve"> SUM( Data_Entity[Provision for bad/doubtful debts Former] )</f>
        <v>243442</v>
      </c>
      <c r="ER4" s="5">
        <f xml:space="preserve"> SUM( Data_Entity[Properties held at cost (opening)] )</f>
        <v>140400280</v>
      </c>
      <c r="ES4" s="5">
        <f xml:space="preserve"> SUM( Data_Entity[Properties held at valuation (opening)] )</f>
        <v>4479821</v>
      </c>
      <c r="ET4" s="5">
        <f xml:space="preserve"> SUM( Data_Entity[Total properties held at start of period] )</f>
        <v>144880101</v>
      </c>
      <c r="EU4" s="5">
        <f xml:space="preserve"> SUM( Data_Entity[Additions] )</f>
        <v>7669726</v>
      </c>
      <c r="EV4" s="5">
        <f xml:space="preserve"> SUM( Data_Entity[Disposals] )</f>
        <v>-1469893</v>
      </c>
      <c r="EW4" s="5">
        <f xml:space="preserve"> SUM( Data_Entity[Transfer treated as acquisition ('#)] )</f>
        <v>506051</v>
      </c>
      <c r="EX4" s="5">
        <f xml:space="preserve"> SUM( Data_Entity[Inter-company transfers] )</f>
        <v>1438729</v>
      </c>
      <c r="EY4" s="5">
        <f xml:space="preserve"> SUM( Data_Entity[Revaluation and Other] )</f>
        <v>-443084</v>
      </c>
      <c r="EZ4" s="5">
        <f xml:space="preserve"> SUM( Data_Entity[Total properties held at end of period] )</f>
        <v>152581630</v>
      </c>
      <c r="FA4" s="5">
        <f xml:space="preserve"> SUM( Data_Entity[Depreciation &amp; Impairment at start of period] )</f>
        <v>15254259</v>
      </c>
      <c r="FB4" s="5">
        <f xml:space="preserve"> SUM( Data_Entity[Depreciation charged in period] )</f>
        <v>2011657</v>
      </c>
      <c r="FC4" s="5">
        <f xml:space="preserve"> SUM( Data_Entity[Impairment charged in period] )</f>
        <v>43382</v>
      </c>
      <c r="FD4" s="5">
        <f xml:space="preserve"> SUM( Data_Entity[Revaluation (dep. &amp; imp.)] )</f>
        <v>-24348</v>
      </c>
      <c r="FE4" s="5">
        <f xml:space="preserve"> SUM( Data_Entity[Released on disposal] )</f>
        <v>-338086</v>
      </c>
      <c r="FF4" s="5">
        <f xml:space="preserve"> SUM( Data_Entity[Inter-company transfers (depn. &amp; imp.)] )</f>
        <v>144729</v>
      </c>
      <c r="FG4" s="5">
        <f xml:space="preserve"> SUM( Data_Entity[Other Dep. &amp; Imp.] )</f>
        <v>-29411</v>
      </c>
      <c r="FH4" s="5">
        <f xml:space="preserve"> SUM( Data_Entity[Depreciation &amp; Impairment at end of period] )</f>
        <v>17062182</v>
      </c>
      <c r="FI4" s="5">
        <f xml:space="preserve"> SUM( Data_Entity[Net book value at end of period] )</f>
        <v>135519448</v>
      </c>
      <c r="FJ4" s="5">
        <f xml:space="preserve"> SUM( Data_Entity[Net book value at start of period] )</f>
        <v>129625842</v>
      </c>
      <c r="FK4" s="5">
        <f xml:space="preserve"> SUM( Data_Entity[Shared ownership staircasing - Proceeds] )</f>
        <v>744113</v>
      </c>
      <c r="FL4" s="5">
        <f xml:space="preserve"> SUM( Data_Entity[Shared ownership staircasing - Cost of sales] )</f>
        <v>429413</v>
      </c>
      <c r="FM4" s="5">
        <f xml:space="preserve"> SUM( Data_Entity[Shared ownership staircasing - Surplus] )</f>
        <v>314700</v>
      </c>
      <c r="FN4" s="5">
        <f xml:space="preserve"> SUM( Data_Entity[Right to Buy - Proceeds] )</f>
        <v>306503</v>
      </c>
      <c r="FO4" s="5">
        <f xml:space="preserve"> SUM( Data_Entity[Right to Buy - Cost of sales] )</f>
        <v>200189</v>
      </c>
      <c r="FP4" s="5">
        <f xml:space="preserve"> SUM( Data_Entity[Right to Buy - Surplus] )</f>
        <v>106314</v>
      </c>
      <c r="FQ4" s="5">
        <f xml:space="preserve"> SUM( Data_Entity[Right to Acquire - Proceeds] )</f>
        <v>58889</v>
      </c>
      <c r="FR4" s="5">
        <f xml:space="preserve"> SUM( Data_Entity[Right to Acquire - Cost of sales] )</f>
        <v>53978</v>
      </c>
      <c r="FS4" s="5">
        <f xml:space="preserve"> SUM( Data_Entity[Right to Acquire - Surplus] )</f>
        <v>4911</v>
      </c>
      <c r="FT4" s="5">
        <f xml:space="preserve"> SUM( Data_Entity[Other social housing sales - Proceeds] )</f>
        <v>605719</v>
      </c>
      <c r="FU4" s="5">
        <f xml:space="preserve"> SUM( Data_Entity[Other social housing sales - Cost of sales] )</f>
        <v>344970</v>
      </c>
      <c r="FV4" s="5">
        <f xml:space="preserve"> SUM( Data_Entity[Other social housing sales - Surplus] )</f>
        <v>260749</v>
      </c>
      <c r="FW4" s="5">
        <f xml:space="preserve"> SUM( Data_Entity[Sale to other RPs - Proceeds] )</f>
        <v>278157</v>
      </c>
      <c r="FX4" s="5">
        <f xml:space="preserve"> SUM( Data_Entity[Sale to other RPs - Cost of sales] )</f>
        <v>181970</v>
      </c>
      <c r="FY4" s="5">
        <f xml:space="preserve"> SUM( Data_Entity[Sale to other RPs - Surplus] )</f>
        <v>96187</v>
      </c>
      <c r="FZ4" s="5">
        <f xml:space="preserve"> SUM( Data_Entity[Sale of other assets - Proceeds] )</f>
        <v>177443</v>
      </c>
      <c r="GA4" s="5">
        <f xml:space="preserve"> SUM( Data_Entity[Sale of other assets - Cost of sales] )</f>
        <v>134258</v>
      </c>
      <c r="GB4" s="5">
        <f xml:space="preserve"> SUM( Data_Entity[Sale of other assets - Surplus] )</f>
        <v>43185</v>
      </c>
      <c r="GC4" s="5">
        <f xml:space="preserve"> SUM( Data_Entity[Profit/(Loss) on sale of fixed assets - Proceeds] )</f>
        <v>2170824</v>
      </c>
      <c r="GD4" s="5">
        <f xml:space="preserve"> SUM( Data_Entity[Profit/(Loss) on sale of fixed assets - Cost of sales] )</f>
        <v>1344778</v>
      </c>
      <c r="GE4" s="5">
        <f xml:space="preserve"> SUM( Data_Entity[Profit/(Loss) on sale of fixed assets - Surplus] )</f>
        <v>826046</v>
      </c>
      <c r="GF4" s="5">
        <f xml:space="preserve"> SUM( Data_Entity[Amounts owed by group undertakings (within 1 year)] )</f>
        <v>2050124</v>
      </c>
      <c r="GG4" s="5">
        <f xml:space="preserve"> SUM( Data_Entity[Loans to employees] )</f>
        <v>1729</v>
      </c>
      <c r="GH4" s="5">
        <f xml:space="preserve"> SUM( Data_Entity[Grants receivable] )</f>
        <v>44182</v>
      </c>
      <c r="GI4" s="5">
        <f xml:space="preserve"> SUM( Data_Entity[Refurbishment obligation] )</f>
        <v>913008</v>
      </c>
      <c r="GJ4" s="5">
        <f xml:space="preserve"> SUM( Data_Entity[Fair value of derivative financial instruments - Current Assets] )</f>
        <v>47976</v>
      </c>
      <c r="GK4" s="5">
        <f xml:space="preserve"> SUM( Data_Entity[Other debtors and prepayments] )</f>
        <v>718629</v>
      </c>
      <c r="GL4" s="5">
        <f xml:space="preserve"> SUM( Data_Entity[Total other current assets] )</f>
        <v>3775648</v>
      </c>
      <c r="GM4" s="5">
        <f xml:space="preserve"> SUM( Data_Entity[Trade creditors] )</f>
        <v>415988</v>
      </c>
      <c r="GN4" s="5">
        <f xml:space="preserve"> SUM( Data_Entity[Rent and service charges received in advance] )</f>
        <v>416892</v>
      </c>
      <c r="GO4" s="5">
        <f xml:space="preserve"> SUM( Data_Entity[Amount owed to group undertakings (within 1 year)] )</f>
        <v>1086302</v>
      </c>
      <c r="GP4" s="5">
        <f xml:space="preserve"> SUM( Data_Entity[Recycled capital grant fund] )</f>
        <v>211104</v>
      </c>
      <c r="GQ4" s="5">
        <f xml:space="preserve"> SUM( Data_Entity[Disposal proceeds fund] )</f>
        <v>53284</v>
      </c>
      <c r="GR4" s="5">
        <f xml:space="preserve"> SUM( Data_Entity[Accruals and deferred income] )</f>
        <v>1601473</v>
      </c>
      <c r="GS4" s="5">
        <f xml:space="preserve"> SUM( Data_Entity[Obligations under finance leases] )</f>
        <v>3983</v>
      </c>
      <c r="GT4" s="5">
        <f xml:space="preserve"> SUM( Data_Entity[Short term refurbishment liability] )</f>
        <v>31869</v>
      </c>
      <c r="GU4" s="5">
        <f xml:space="preserve"> SUM( Data_Entity[Pension deficit contribution liability - current] )</f>
        <v>67612</v>
      </c>
      <c r="GV4" s="5">
        <f xml:space="preserve"> SUM( Data_Entity[Fair value of derivative financial instruments - Current Liabilities] )</f>
        <v>28491</v>
      </c>
      <c r="GW4" s="5">
        <f xml:space="preserve"> SUM( Data_Entity[Other creditors] )</f>
        <v>1010495</v>
      </c>
      <c r="GX4" s="5">
        <f xml:space="preserve"> SUM( Data_Entity[Total other current liabilities] )</f>
        <v>4927493</v>
      </c>
      <c r="GY4" s="5">
        <f xml:space="preserve"> SUM( Data_Entity[OLTC - Recycled capital grant fund] )</f>
        <v>801034</v>
      </c>
      <c r="GZ4" s="5">
        <f xml:space="preserve"> SUM( Data_Entity[OLTC - Disposal proceeds fund] )</f>
        <v>116861</v>
      </c>
      <c r="HA4" s="5">
        <f xml:space="preserve"> SUM( Data_Entity[Pension deficit contribution liability - Long Term] )</f>
        <v>447139</v>
      </c>
      <c r="HB4" s="5">
        <f xml:space="preserve"> SUM( Data_Entity[OLTC - Other creditors] )</f>
        <v>995181</v>
      </c>
      <c r="HC4" s="5">
        <f xml:space="preserve"> SUM( Data_Entity[Total other long term creditors] )</f>
        <v>2360215</v>
      </c>
      <c r="HD4" s="5">
        <f xml:space="preserve"> SUM( Data_Entity[Refurbishment provision] )</f>
        <v>882153</v>
      </c>
      <c r="HE4" s="5">
        <f xml:space="preserve"> SUM( Data_Entity[Other provisions - other] )</f>
        <v>252539</v>
      </c>
      <c r="HF4" s="5">
        <f xml:space="preserve"> SUM( Data_Entity[Total other provisions] )</f>
        <v>1134692</v>
      </c>
      <c r="HG4" s="5">
        <f xml:space="preserve"> SUM( Data_Entity[Interest payable on liabilities] )</f>
        <v>2930774</v>
      </c>
      <c r="HH4" s="5">
        <f xml:space="preserve"> SUM( Data_Entity[Amortisation of loan premiums and arrangement costs] )</f>
        <v>35290</v>
      </c>
      <c r="HI4" s="5">
        <f xml:space="preserve"> SUM( Data_Entity[Defined benefit pension charges] )</f>
        <v>58301</v>
      </c>
      <c r="HJ4" s="5">
        <f xml:space="preserve"> SUM( Data_Entity[Accruals on DPF and RCGF] )</f>
        <v>2455</v>
      </c>
      <c r="HK4" s="5">
        <f xml:space="preserve"> SUM( Data_Entity[Other amounts payable] )</f>
        <v>725203</v>
      </c>
      <c r="HL4" s="5">
        <f xml:space="preserve"> SUM( Data_Entity[Less: interest capitalised in housing properties] )</f>
        <v>-170327</v>
      </c>
      <c r="HM4" s="5">
        <f xml:space="preserve"> SUM( Data_Entity[Total interest payable and financing costs] )</f>
        <v>3581696</v>
      </c>
      <c r="HN4" s="5">
        <f xml:space="preserve"> SUM( Data_Entity[Capitalised major repairs expenditure for period] )</f>
        <v>1588877</v>
      </c>
      <c r="HO4" s="5">
        <f xml:space="preserve"> SUM( Data_Entity[Total depreciation charge for period] )</f>
        <v>2223082</v>
      </c>
      <c r="HP4" s="5">
        <f xml:space="preserve"> SUM( Data_Entity[Total impairment charged/(released) for the period] )</f>
        <v>77305</v>
      </c>
      <c r="HQ4" s="5">
        <f xml:space="preserve"> SUM( Data_Entity[Social housing units acquired or developed] )</f>
        <v>40747</v>
      </c>
      <c r="HR4" s="5">
        <f xml:space="preserve"> SUM( Data_Entity[Social housing units sold / demolished] )</f>
        <v>-18361</v>
      </c>
      <c r="HS4" s="5">
        <f xml:space="preserve"> SUM( Data_Entity[Social housing units transferred and other movements (~)] )</f>
        <v>39426</v>
      </c>
      <c r="HT4" s="5">
        <f xml:space="preserve"> SUM( Data_Entity[Closing social housing units managed] )</f>
        <v>2717200</v>
      </c>
      <c r="HU4" s="5">
        <f xml:space="preserve"> SUM( Data_Entity[Non-social housing units acquired or developed] )</f>
        <v>2765</v>
      </c>
      <c r="HV4" s="5">
        <f xml:space="preserve"> SUM( Data_Entity[Non-social housing units sold / demolished] )</f>
        <v>-1762</v>
      </c>
      <c r="HW4" s="5">
        <f xml:space="preserve"> SUM( Data_Entity[Non-social housing units transferred and other movements] )</f>
        <v>-7742</v>
      </c>
      <c r="HX4" s="5">
        <f xml:space="preserve"> SUM( Data_Entity[Closing non-social housing units managed] )</f>
        <v>96036</v>
      </c>
    </row>
    <row r="5" spans="1:232" s="6" customFormat="1" ht="102" customHeight="1" x14ac:dyDescent="0.2">
      <c r="A5" s="3" t="s">
        <v>1095</v>
      </c>
      <c r="B5" s="3" t="s">
        <v>1096</v>
      </c>
      <c r="C5" s="3" t="s">
        <v>1097</v>
      </c>
      <c r="D5" s="3" t="s">
        <v>1099</v>
      </c>
      <c r="E5" s="3" t="s">
        <v>871</v>
      </c>
      <c r="F5" s="3" t="s">
        <v>873</v>
      </c>
      <c r="G5" s="3" t="s">
        <v>872</v>
      </c>
      <c r="H5" s="3" t="s">
        <v>874</v>
      </c>
      <c r="I5" s="3" t="s">
        <v>875</v>
      </c>
      <c r="J5" s="3" t="s">
        <v>876</v>
      </c>
      <c r="K5" s="3" t="s">
        <v>877</v>
      </c>
      <c r="L5" s="3" t="s">
        <v>878</v>
      </c>
      <c r="M5" s="3" t="s">
        <v>879</v>
      </c>
      <c r="N5" s="3" t="s">
        <v>880</v>
      </c>
      <c r="O5" s="3" t="s">
        <v>1063</v>
      </c>
      <c r="P5" s="3" t="s">
        <v>881</v>
      </c>
      <c r="Q5" s="3" t="s">
        <v>1108</v>
      </c>
      <c r="R5" s="3" t="s">
        <v>1186</v>
      </c>
      <c r="S5" s="3" t="s">
        <v>882</v>
      </c>
      <c r="T5" s="3" t="s">
        <v>883</v>
      </c>
      <c r="U5" s="3" t="s">
        <v>884</v>
      </c>
      <c r="V5" s="3" t="s">
        <v>885</v>
      </c>
      <c r="W5" s="3" t="s">
        <v>886</v>
      </c>
      <c r="X5" s="3" t="s">
        <v>887</v>
      </c>
      <c r="Y5" s="3" t="s">
        <v>1064</v>
      </c>
      <c r="Z5" s="3" t="s">
        <v>888</v>
      </c>
      <c r="AA5" s="3" t="s">
        <v>889</v>
      </c>
      <c r="AB5" s="3" t="s">
        <v>890</v>
      </c>
      <c r="AC5" s="3" t="s">
        <v>891</v>
      </c>
      <c r="AD5" s="3" t="s">
        <v>892</v>
      </c>
      <c r="AE5" s="3" t="s">
        <v>893</v>
      </c>
      <c r="AF5" s="3" t="s">
        <v>894</v>
      </c>
      <c r="AG5" s="3" t="s">
        <v>895</v>
      </c>
      <c r="AH5" s="3" t="s">
        <v>896</v>
      </c>
      <c r="AI5" s="3" t="s">
        <v>897</v>
      </c>
      <c r="AJ5" s="3" t="s">
        <v>898</v>
      </c>
      <c r="AK5" s="3" t="s">
        <v>899</v>
      </c>
      <c r="AL5" s="3" t="s">
        <v>900</v>
      </c>
      <c r="AM5" s="3" t="s">
        <v>901</v>
      </c>
      <c r="AN5" s="3" t="s">
        <v>902</v>
      </c>
      <c r="AO5" s="3" t="s">
        <v>903</v>
      </c>
      <c r="AP5" s="3" t="s">
        <v>904</v>
      </c>
      <c r="AQ5" s="3" t="s">
        <v>905</v>
      </c>
      <c r="AR5" s="3" t="s">
        <v>906</v>
      </c>
      <c r="AS5" s="3" t="s">
        <v>907</v>
      </c>
      <c r="AT5" s="3" t="s">
        <v>196</v>
      </c>
      <c r="AU5" s="3" t="s">
        <v>908</v>
      </c>
      <c r="AV5" s="3" t="s">
        <v>909</v>
      </c>
      <c r="AW5" s="3" t="s">
        <v>910</v>
      </c>
      <c r="AX5" s="3" t="s">
        <v>911</v>
      </c>
      <c r="AY5" s="3" t="s">
        <v>912</v>
      </c>
      <c r="AZ5" s="3" t="s">
        <v>913</v>
      </c>
      <c r="BA5" s="3" t="s">
        <v>914</v>
      </c>
      <c r="BB5" s="3" t="s">
        <v>915</v>
      </c>
      <c r="BC5" s="3" t="s">
        <v>1155</v>
      </c>
      <c r="BD5" s="3" t="s">
        <v>916</v>
      </c>
      <c r="BE5" s="3" t="s">
        <v>917</v>
      </c>
      <c r="BF5" s="3" t="s">
        <v>918</v>
      </c>
      <c r="BG5" s="3" t="s">
        <v>919</v>
      </c>
      <c r="BH5" s="3" t="s">
        <v>920</v>
      </c>
      <c r="BI5" s="3" t="s">
        <v>921</v>
      </c>
      <c r="BJ5" s="3" t="s">
        <v>922</v>
      </c>
      <c r="BK5" s="3" t="s">
        <v>923</v>
      </c>
      <c r="BL5" s="3" t="s">
        <v>924</v>
      </c>
      <c r="BM5" s="3" t="s">
        <v>925</v>
      </c>
      <c r="BN5" s="3" t="s">
        <v>926</v>
      </c>
      <c r="BO5" s="3" t="s">
        <v>1065</v>
      </c>
      <c r="BP5" s="3" t="s">
        <v>928</v>
      </c>
      <c r="BQ5" s="3" t="s">
        <v>929</v>
      </c>
      <c r="BR5" s="3" t="s">
        <v>930</v>
      </c>
      <c r="BS5" s="3" t="s">
        <v>931</v>
      </c>
      <c r="BT5" s="3" t="s">
        <v>932</v>
      </c>
      <c r="BU5" s="3" t="s">
        <v>933</v>
      </c>
      <c r="BV5" s="3" t="s">
        <v>934</v>
      </c>
      <c r="BW5" s="3" t="s">
        <v>935</v>
      </c>
      <c r="BX5" s="3" t="s">
        <v>1156</v>
      </c>
      <c r="BY5" s="3" t="s">
        <v>936</v>
      </c>
      <c r="BZ5" s="3" t="s">
        <v>937</v>
      </c>
      <c r="CA5" s="3" t="s">
        <v>938</v>
      </c>
      <c r="CB5" s="3" t="s">
        <v>939</v>
      </c>
      <c r="CC5" s="3" t="s">
        <v>940</v>
      </c>
      <c r="CD5" s="3" t="s">
        <v>941</v>
      </c>
      <c r="CE5" s="3" t="s">
        <v>942</v>
      </c>
      <c r="CF5" s="3" t="s">
        <v>943</v>
      </c>
      <c r="CG5" s="3" t="s">
        <v>1098</v>
      </c>
      <c r="CH5" s="3" t="s">
        <v>944</v>
      </c>
      <c r="CI5" s="3" t="s">
        <v>945</v>
      </c>
      <c r="CJ5" s="3" t="s">
        <v>946</v>
      </c>
      <c r="CK5" s="3" t="s">
        <v>947</v>
      </c>
      <c r="CL5" s="3" t="s">
        <v>948</v>
      </c>
      <c r="CM5" s="3" t="s">
        <v>949</v>
      </c>
      <c r="CN5" s="3" t="s">
        <v>950</v>
      </c>
      <c r="CO5" s="3" t="s">
        <v>951</v>
      </c>
      <c r="CP5" s="3" t="s">
        <v>952</v>
      </c>
      <c r="CQ5" s="3" t="s">
        <v>953</v>
      </c>
      <c r="CR5" s="3" t="s">
        <v>1073</v>
      </c>
      <c r="CS5" s="3" t="s">
        <v>1074</v>
      </c>
      <c r="CT5" s="3" t="s">
        <v>1075</v>
      </c>
      <c r="CU5" s="3" t="s">
        <v>1076</v>
      </c>
      <c r="CV5" s="3" t="s">
        <v>1077</v>
      </c>
      <c r="CW5" s="3" t="s">
        <v>1078</v>
      </c>
      <c r="CX5" s="3" t="s">
        <v>1079</v>
      </c>
      <c r="CY5" s="3" t="s">
        <v>1080</v>
      </c>
      <c r="CZ5" s="3" t="s">
        <v>954</v>
      </c>
      <c r="DA5" s="3" t="s">
        <v>955</v>
      </c>
      <c r="DB5" s="3" t="s">
        <v>956</v>
      </c>
      <c r="DC5" s="3" t="s">
        <v>957</v>
      </c>
      <c r="DD5" s="3" t="s">
        <v>958</v>
      </c>
      <c r="DE5" s="3" t="s">
        <v>959</v>
      </c>
      <c r="DF5" s="3" t="s">
        <v>960</v>
      </c>
      <c r="DG5" s="3" t="s">
        <v>961</v>
      </c>
      <c r="DH5" s="3" t="s">
        <v>962</v>
      </c>
      <c r="DI5" s="3" t="s">
        <v>963</v>
      </c>
      <c r="DJ5" s="3" t="s">
        <v>964</v>
      </c>
      <c r="DK5" s="3" t="s">
        <v>965</v>
      </c>
      <c r="DL5" s="3" t="s">
        <v>966</v>
      </c>
      <c r="DM5" s="3" t="s">
        <v>967</v>
      </c>
      <c r="DN5" s="3" t="s">
        <v>968</v>
      </c>
      <c r="DO5" s="3" t="s">
        <v>969</v>
      </c>
      <c r="DP5" s="3" t="s">
        <v>970</v>
      </c>
      <c r="DQ5" s="3" t="s">
        <v>971</v>
      </c>
      <c r="DR5" s="3" t="s">
        <v>972</v>
      </c>
      <c r="DS5" s="3" t="s">
        <v>973</v>
      </c>
      <c r="DT5" s="3" t="s">
        <v>974</v>
      </c>
      <c r="DU5" s="3" t="s">
        <v>975</v>
      </c>
      <c r="DV5" s="3" t="s">
        <v>976</v>
      </c>
      <c r="DW5" s="3" t="s">
        <v>977</v>
      </c>
      <c r="DX5" s="3" t="s">
        <v>1066</v>
      </c>
      <c r="DY5" s="3" t="s">
        <v>1069</v>
      </c>
      <c r="DZ5" s="3" t="s">
        <v>1068</v>
      </c>
      <c r="EA5" s="3" t="s">
        <v>1067</v>
      </c>
      <c r="EB5" s="3" t="s">
        <v>978</v>
      </c>
      <c r="EC5" s="3" t="s">
        <v>979</v>
      </c>
      <c r="ED5" s="3" t="s">
        <v>980</v>
      </c>
      <c r="EE5" s="3" t="s">
        <v>981</v>
      </c>
      <c r="EF5" s="3" t="s">
        <v>982</v>
      </c>
      <c r="EG5" s="3" t="s">
        <v>983</v>
      </c>
      <c r="EH5" s="3" t="s">
        <v>984</v>
      </c>
      <c r="EI5" s="3" t="s">
        <v>985</v>
      </c>
      <c r="EJ5" s="3" t="s">
        <v>986</v>
      </c>
      <c r="EK5" s="3" t="s">
        <v>987</v>
      </c>
      <c r="EL5" s="3" t="s">
        <v>988</v>
      </c>
      <c r="EM5" s="3" t="s">
        <v>989</v>
      </c>
      <c r="EN5" s="3" t="s">
        <v>992</v>
      </c>
      <c r="EO5" s="3" t="s">
        <v>993</v>
      </c>
      <c r="EP5" s="3" t="s">
        <v>994</v>
      </c>
      <c r="EQ5" s="3" t="s">
        <v>995</v>
      </c>
      <c r="ER5" s="3" t="s">
        <v>1187</v>
      </c>
      <c r="ES5" s="3" t="s">
        <v>1188</v>
      </c>
      <c r="ET5" s="3" t="s">
        <v>996</v>
      </c>
      <c r="EU5" s="3" t="s">
        <v>997</v>
      </c>
      <c r="EV5" s="3" t="s">
        <v>998</v>
      </c>
      <c r="EW5" s="86" t="s">
        <v>1191</v>
      </c>
      <c r="EX5" s="3" t="s">
        <v>1085</v>
      </c>
      <c r="EY5" s="3" t="s">
        <v>1183</v>
      </c>
      <c r="EZ5" s="3" t="s">
        <v>999</v>
      </c>
      <c r="FA5" s="3" t="s">
        <v>1000</v>
      </c>
      <c r="FB5" s="3" t="s">
        <v>1001</v>
      </c>
      <c r="FC5" s="3" t="s">
        <v>1002</v>
      </c>
      <c r="FD5" s="3" t="s">
        <v>1003</v>
      </c>
      <c r="FE5" s="3" t="s">
        <v>1004</v>
      </c>
      <c r="FF5" s="3" t="s">
        <v>1086</v>
      </c>
      <c r="FG5" s="3" t="s">
        <v>1005</v>
      </c>
      <c r="FH5" s="3" t="s">
        <v>1006</v>
      </c>
      <c r="FI5" s="3" t="s">
        <v>1007</v>
      </c>
      <c r="FJ5" s="3" t="s">
        <v>1008</v>
      </c>
      <c r="FK5" s="3" t="s">
        <v>1009</v>
      </c>
      <c r="FL5" s="3" t="s">
        <v>1010</v>
      </c>
      <c r="FM5" s="3" t="s">
        <v>1011</v>
      </c>
      <c r="FN5" s="3" t="s">
        <v>1012</v>
      </c>
      <c r="FO5" s="3" t="s">
        <v>1013</v>
      </c>
      <c r="FP5" s="3" t="s">
        <v>1014</v>
      </c>
      <c r="FQ5" s="3" t="s">
        <v>1015</v>
      </c>
      <c r="FR5" s="3" t="s">
        <v>1016</v>
      </c>
      <c r="FS5" s="3" t="s">
        <v>1017</v>
      </c>
      <c r="FT5" s="3" t="s">
        <v>1018</v>
      </c>
      <c r="FU5" s="3" t="s">
        <v>1019</v>
      </c>
      <c r="FV5" s="3" t="s">
        <v>1020</v>
      </c>
      <c r="FW5" s="3" t="s">
        <v>1021</v>
      </c>
      <c r="FX5" s="3" t="s">
        <v>1022</v>
      </c>
      <c r="FY5" s="3" t="s">
        <v>1023</v>
      </c>
      <c r="FZ5" s="3" t="s">
        <v>1024</v>
      </c>
      <c r="GA5" s="3" t="s">
        <v>1025</v>
      </c>
      <c r="GB5" s="3" t="s">
        <v>1026</v>
      </c>
      <c r="GC5" s="3" t="s">
        <v>1027</v>
      </c>
      <c r="GD5" s="3" t="s">
        <v>1028</v>
      </c>
      <c r="GE5" s="3" t="s">
        <v>1029</v>
      </c>
      <c r="GF5" s="3" t="s">
        <v>1071</v>
      </c>
      <c r="GG5" s="3" t="s">
        <v>1030</v>
      </c>
      <c r="GH5" s="3" t="s">
        <v>1031</v>
      </c>
      <c r="GI5" s="3" t="s">
        <v>1032</v>
      </c>
      <c r="GJ5" s="3" t="s">
        <v>1157</v>
      </c>
      <c r="GK5" s="3" t="s">
        <v>1033</v>
      </c>
      <c r="GL5" s="3" t="s">
        <v>1034</v>
      </c>
      <c r="GM5" s="3" t="s">
        <v>1035</v>
      </c>
      <c r="GN5" s="3" t="s">
        <v>1036</v>
      </c>
      <c r="GO5" s="3" t="s">
        <v>1072</v>
      </c>
      <c r="GP5" s="3" t="s">
        <v>1037</v>
      </c>
      <c r="GQ5" s="3" t="s">
        <v>1038</v>
      </c>
      <c r="GR5" s="3" t="s">
        <v>1039</v>
      </c>
      <c r="GS5" s="3" t="s">
        <v>1040</v>
      </c>
      <c r="GT5" s="3" t="s">
        <v>1041</v>
      </c>
      <c r="GU5" s="3" t="s">
        <v>1159</v>
      </c>
      <c r="GV5" s="3" t="s">
        <v>1158</v>
      </c>
      <c r="GW5" s="3" t="s">
        <v>1042</v>
      </c>
      <c r="GX5" s="3" t="s">
        <v>1043</v>
      </c>
      <c r="GY5" s="3" t="s">
        <v>1044</v>
      </c>
      <c r="GZ5" s="3" t="s">
        <v>1045</v>
      </c>
      <c r="HA5" s="3" t="s">
        <v>1160</v>
      </c>
      <c r="HB5" s="3" t="s">
        <v>1046</v>
      </c>
      <c r="HC5" s="3" t="s">
        <v>1047</v>
      </c>
      <c r="HD5" s="3" t="s">
        <v>1048</v>
      </c>
      <c r="HE5" s="3" t="s">
        <v>1049</v>
      </c>
      <c r="HF5" s="3" t="s">
        <v>1050</v>
      </c>
      <c r="HG5" s="3" t="s">
        <v>1088</v>
      </c>
      <c r="HH5" s="3" t="s">
        <v>1089</v>
      </c>
      <c r="HI5" s="3" t="s">
        <v>1090</v>
      </c>
      <c r="HJ5" s="3" t="s">
        <v>1091</v>
      </c>
      <c r="HK5" s="3" t="s">
        <v>1092</v>
      </c>
      <c r="HL5" s="3" t="s">
        <v>1093</v>
      </c>
      <c r="HM5" s="3" t="s">
        <v>1094</v>
      </c>
      <c r="HN5" s="3" t="s">
        <v>1051</v>
      </c>
      <c r="HO5" s="3" t="s">
        <v>1052</v>
      </c>
      <c r="HP5" s="3" t="s">
        <v>1053</v>
      </c>
      <c r="HQ5" s="3" t="s">
        <v>1070</v>
      </c>
      <c r="HR5" s="3" t="s">
        <v>990</v>
      </c>
      <c r="HS5" s="86" t="s">
        <v>1193</v>
      </c>
      <c r="HT5" s="3" t="s">
        <v>991</v>
      </c>
      <c r="HU5" s="3" t="s">
        <v>1081</v>
      </c>
      <c r="HV5" s="3" t="s">
        <v>1082</v>
      </c>
      <c r="HW5" s="3" t="s">
        <v>1083</v>
      </c>
      <c r="HX5" s="3" t="s">
        <v>1084</v>
      </c>
    </row>
    <row r="6" spans="1:232" x14ac:dyDescent="0.2">
      <c r="A6" s="71" t="s">
        <v>205</v>
      </c>
      <c r="B6" s="71" t="s">
        <v>206</v>
      </c>
      <c r="C6" s="72" t="s">
        <v>200</v>
      </c>
      <c r="D6" s="72">
        <v>12</v>
      </c>
      <c r="E6" s="73">
        <v>153597</v>
      </c>
      <c r="F6" s="73">
        <v>-7592</v>
      </c>
      <c r="G6" s="73">
        <v>-84000</v>
      </c>
      <c r="H6" s="73">
        <v>62005</v>
      </c>
      <c r="I6" s="73">
        <v>11887</v>
      </c>
      <c r="J6" s="73">
        <v>0</v>
      </c>
      <c r="K6" s="73">
        <v>300</v>
      </c>
      <c r="L6" s="73">
        <v>0</v>
      </c>
      <c r="M6" s="73">
        <v>7374</v>
      </c>
      <c r="N6" s="73">
        <v>-27539</v>
      </c>
      <c r="O6" s="73">
        <v>741</v>
      </c>
      <c r="P6" s="73">
        <v>581</v>
      </c>
      <c r="Q6" s="73">
        <v>0</v>
      </c>
      <c r="R6" s="73">
        <v>0</v>
      </c>
      <c r="S6" s="73">
        <v>55349</v>
      </c>
      <c r="T6" s="73">
        <v>0</v>
      </c>
      <c r="U6" s="73">
        <v>55349</v>
      </c>
      <c r="V6" s="73">
        <v>0</v>
      </c>
      <c r="W6" s="73">
        <v>-560</v>
      </c>
      <c r="X6" s="73">
        <v>1730</v>
      </c>
      <c r="Y6" s="73">
        <v>0</v>
      </c>
      <c r="Z6" s="73">
        <v>56519</v>
      </c>
      <c r="AA6" s="73">
        <v>83567</v>
      </c>
      <c r="AB6" s="73">
        <v>11063</v>
      </c>
      <c r="AC6" s="73">
        <v>94630</v>
      </c>
      <c r="AD6" s="73">
        <v>10727</v>
      </c>
      <c r="AE6" s="73">
        <v>0</v>
      </c>
      <c r="AF6" s="73">
        <v>0</v>
      </c>
      <c r="AG6" s="73">
        <v>1549</v>
      </c>
      <c r="AH6" s="73">
        <v>106906</v>
      </c>
      <c r="AI6" s="73">
        <v>21222</v>
      </c>
      <c r="AJ6" s="73">
        <v>14240</v>
      </c>
      <c r="AK6" s="73">
        <v>9362</v>
      </c>
      <c r="AL6" s="73">
        <v>10370</v>
      </c>
      <c r="AM6" s="73">
        <v>0</v>
      </c>
      <c r="AN6" s="73">
        <v>586</v>
      </c>
      <c r="AO6" s="73">
        <v>16819</v>
      </c>
      <c r="AP6" s="73">
        <v>0</v>
      </c>
      <c r="AQ6" s="73">
        <v>2098</v>
      </c>
      <c r="AR6" s="73">
        <v>74697</v>
      </c>
      <c r="AS6" s="73">
        <v>32209</v>
      </c>
      <c r="AT6" s="73">
        <v>669</v>
      </c>
      <c r="AU6" s="73">
        <v>1239578</v>
      </c>
      <c r="AV6" s="73">
        <v>0</v>
      </c>
      <c r="AW6" s="73">
        <v>14836</v>
      </c>
      <c r="AX6" s="73">
        <v>0</v>
      </c>
      <c r="AY6" s="73">
        <v>2537</v>
      </c>
      <c r="AZ6" s="73">
        <v>115096</v>
      </c>
      <c r="BA6" s="73">
        <v>0</v>
      </c>
      <c r="BB6" s="73">
        <v>41324</v>
      </c>
      <c r="BC6" s="73">
        <v>145018</v>
      </c>
      <c r="BD6" s="73">
        <v>15368</v>
      </c>
      <c r="BE6" s="73">
        <v>1573757</v>
      </c>
      <c r="BF6" s="73">
        <v>8925</v>
      </c>
      <c r="BG6" s="73">
        <v>6910</v>
      </c>
      <c r="BH6" s="73">
        <v>6899</v>
      </c>
      <c r="BI6" s="73">
        <v>50000</v>
      </c>
      <c r="BJ6" s="73">
        <v>68572</v>
      </c>
      <c r="BK6" s="73">
        <v>141306</v>
      </c>
      <c r="BL6" s="73">
        <v>17034</v>
      </c>
      <c r="BM6" s="73">
        <v>0</v>
      </c>
      <c r="BN6" s="73">
        <v>10023</v>
      </c>
      <c r="BO6" s="73">
        <v>23034</v>
      </c>
      <c r="BP6" s="73">
        <v>50091</v>
      </c>
      <c r="BQ6" s="73">
        <v>91215</v>
      </c>
      <c r="BR6" s="73">
        <v>1664972</v>
      </c>
      <c r="BS6" s="73">
        <v>655502</v>
      </c>
      <c r="BT6" s="73">
        <v>0</v>
      </c>
      <c r="BU6" s="73">
        <v>0</v>
      </c>
      <c r="BV6" s="73">
        <v>639769</v>
      </c>
      <c r="BW6" s="73">
        <v>2488</v>
      </c>
      <c r="BX6" s="73">
        <v>13093</v>
      </c>
      <c r="BY6" s="73">
        <v>18235</v>
      </c>
      <c r="BZ6" s="73">
        <v>1329087</v>
      </c>
      <c r="CA6" s="73">
        <v>3952</v>
      </c>
      <c r="CB6" s="73">
        <v>1058</v>
      </c>
      <c r="CC6" s="73">
        <v>330875</v>
      </c>
      <c r="CD6" s="73">
        <v>314106</v>
      </c>
      <c r="CE6" s="73">
        <v>0</v>
      </c>
      <c r="CF6" s="73">
        <v>0</v>
      </c>
      <c r="CG6" s="73">
        <v>-4551</v>
      </c>
      <c r="CH6" s="73">
        <v>21320</v>
      </c>
      <c r="CI6" s="73">
        <v>330875</v>
      </c>
      <c r="CJ6" s="73">
        <v>10642</v>
      </c>
      <c r="CK6" s="73">
        <v>5588</v>
      </c>
      <c r="CL6" s="73">
        <v>0</v>
      </c>
      <c r="CM6" s="73">
        <v>5054</v>
      </c>
      <c r="CN6" s="73">
        <v>1122</v>
      </c>
      <c r="CO6" s="73">
        <v>0</v>
      </c>
      <c r="CP6" s="73">
        <v>1305</v>
      </c>
      <c r="CQ6" s="73">
        <v>-183</v>
      </c>
      <c r="CR6" s="73">
        <v>1992</v>
      </c>
      <c r="CS6" s="73">
        <v>2004</v>
      </c>
      <c r="CT6" s="73">
        <v>121</v>
      </c>
      <c r="CU6" s="73">
        <v>-133</v>
      </c>
      <c r="CV6" s="73">
        <v>384</v>
      </c>
      <c r="CW6" s="73">
        <v>0</v>
      </c>
      <c r="CX6" s="73">
        <v>3167</v>
      </c>
      <c r="CY6" s="73">
        <v>-2783</v>
      </c>
      <c r="CZ6" s="73">
        <v>874</v>
      </c>
      <c r="DA6" s="73">
        <v>0</v>
      </c>
      <c r="DB6" s="73">
        <v>1541</v>
      </c>
      <c r="DC6" s="73">
        <v>-667</v>
      </c>
      <c r="DD6" s="73">
        <v>15014</v>
      </c>
      <c r="DE6" s="73">
        <v>7592</v>
      </c>
      <c r="DF6" s="73">
        <v>6134</v>
      </c>
      <c r="DG6" s="73">
        <v>1288</v>
      </c>
      <c r="DH6" s="73">
        <v>0</v>
      </c>
      <c r="DI6" s="73">
        <v>0</v>
      </c>
      <c r="DJ6" s="73">
        <v>0</v>
      </c>
      <c r="DK6" s="73">
        <v>0</v>
      </c>
      <c r="DL6" s="73">
        <v>3816</v>
      </c>
      <c r="DM6" s="73">
        <v>0</v>
      </c>
      <c r="DN6" s="73">
        <v>1740</v>
      </c>
      <c r="DO6" s="73">
        <v>2076</v>
      </c>
      <c r="DP6" s="73">
        <v>0</v>
      </c>
      <c r="DQ6" s="73">
        <v>0</v>
      </c>
      <c r="DR6" s="73">
        <v>0</v>
      </c>
      <c r="DS6" s="73">
        <v>0</v>
      </c>
      <c r="DT6" s="73">
        <v>1780</v>
      </c>
      <c r="DU6" s="73">
        <v>0</v>
      </c>
      <c r="DV6" s="73">
        <v>1270</v>
      </c>
      <c r="DW6" s="73">
        <v>510</v>
      </c>
      <c r="DX6" s="73">
        <v>0</v>
      </c>
      <c r="DY6" s="73">
        <v>0</v>
      </c>
      <c r="DZ6" s="73">
        <v>0</v>
      </c>
      <c r="EA6" s="73">
        <v>0</v>
      </c>
      <c r="EB6" s="73">
        <v>26081</v>
      </c>
      <c r="EC6" s="73">
        <v>0</v>
      </c>
      <c r="ED6" s="73">
        <v>159</v>
      </c>
      <c r="EE6" s="73">
        <v>25922</v>
      </c>
      <c r="EF6" s="73">
        <v>31677</v>
      </c>
      <c r="EG6" s="73">
        <v>0</v>
      </c>
      <c r="EH6" s="73">
        <v>3169</v>
      </c>
      <c r="EI6" s="73">
        <v>28508</v>
      </c>
      <c r="EJ6" s="73">
        <v>46691</v>
      </c>
      <c r="EK6" s="73">
        <v>7592</v>
      </c>
      <c r="EL6" s="73">
        <v>9303</v>
      </c>
      <c r="EM6" s="73">
        <v>29796</v>
      </c>
      <c r="EN6" s="73">
        <v>4568</v>
      </c>
      <c r="EO6" s="73">
        <v>2646</v>
      </c>
      <c r="EP6" s="73">
        <v>1276</v>
      </c>
      <c r="EQ6" s="73">
        <v>2646</v>
      </c>
      <c r="ER6" s="73">
        <v>1386603</v>
      </c>
      <c r="ES6" s="73">
        <v>0</v>
      </c>
      <c r="ET6" s="73">
        <v>1386603</v>
      </c>
      <c r="EU6" s="73">
        <v>27332</v>
      </c>
      <c r="EV6" s="73">
        <v>-13512</v>
      </c>
      <c r="EW6" s="73">
        <v>0</v>
      </c>
      <c r="EX6" s="73">
        <v>-2</v>
      </c>
      <c r="EY6" s="73">
        <v>-3407</v>
      </c>
      <c r="EZ6" s="73">
        <v>1397014</v>
      </c>
      <c r="FA6" s="73">
        <v>142367</v>
      </c>
      <c r="FB6" s="73">
        <v>16819</v>
      </c>
      <c r="FC6" s="73">
        <v>0</v>
      </c>
      <c r="FD6" s="73">
        <v>0</v>
      </c>
      <c r="FE6" s="73">
        <v>-1750</v>
      </c>
      <c r="FF6" s="73">
        <v>0</v>
      </c>
      <c r="FG6" s="73">
        <v>0</v>
      </c>
      <c r="FH6" s="73">
        <v>157436</v>
      </c>
      <c r="FI6" s="73">
        <v>1239578</v>
      </c>
      <c r="FJ6" s="73">
        <v>1244236</v>
      </c>
      <c r="FK6" s="73">
        <v>19755</v>
      </c>
      <c r="FL6" s="73">
        <v>9754</v>
      </c>
      <c r="FM6" s="73">
        <v>10001</v>
      </c>
      <c r="FN6" s="73">
        <v>0</v>
      </c>
      <c r="FO6" s="73">
        <v>0</v>
      </c>
      <c r="FP6" s="73">
        <v>0</v>
      </c>
      <c r="FQ6" s="73">
        <v>848</v>
      </c>
      <c r="FR6" s="73">
        <v>794</v>
      </c>
      <c r="FS6" s="73">
        <v>54</v>
      </c>
      <c r="FT6" s="73">
        <v>1898</v>
      </c>
      <c r="FU6" s="73">
        <v>357</v>
      </c>
      <c r="FV6" s="73">
        <v>1541</v>
      </c>
      <c r="FW6" s="73">
        <v>95</v>
      </c>
      <c r="FX6" s="73">
        <v>153</v>
      </c>
      <c r="FY6" s="73">
        <v>-58</v>
      </c>
      <c r="FZ6" s="73">
        <v>751</v>
      </c>
      <c r="GA6" s="73">
        <v>402</v>
      </c>
      <c r="GB6" s="73">
        <v>349</v>
      </c>
      <c r="GC6" s="73">
        <v>23347</v>
      </c>
      <c r="GD6" s="73">
        <v>11460</v>
      </c>
      <c r="GE6" s="73">
        <v>11887</v>
      </c>
      <c r="GF6" s="73">
        <v>59452</v>
      </c>
      <c r="GG6" s="73">
        <v>0</v>
      </c>
      <c r="GH6" s="73">
        <v>0</v>
      </c>
      <c r="GI6" s="73">
        <v>0</v>
      </c>
      <c r="GJ6" s="73">
        <v>0</v>
      </c>
      <c r="GK6" s="73">
        <v>9120</v>
      </c>
      <c r="GL6" s="73">
        <v>68572</v>
      </c>
      <c r="GM6" s="73">
        <v>1811</v>
      </c>
      <c r="GN6" s="73">
        <v>5662</v>
      </c>
      <c r="GO6" s="73">
        <v>20</v>
      </c>
      <c r="GP6" s="73">
        <v>5769</v>
      </c>
      <c r="GQ6" s="73">
        <v>978</v>
      </c>
      <c r="GR6" s="73">
        <v>6038</v>
      </c>
      <c r="GS6" s="73">
        <v>0</v>
      </c>
      <c r="GT6" s="73">
        <v>0</v>
      </c>
      <c r="GU6" s="73">
        <v>0</v>
      </c>
      <c r="GV6" s="73">
        <v>0</v>
      </c>
      <c r="GW6" s="73">
        <v>2756</v>
      </c>
      <c r="GX6" s="73">
        <v>23034</v>
      </c>
      <c r="GY6" s="73">
        <v>10307</v>
      </c>
      <c r="GZ6" s="73">
        <v>2223</v>
      </c>
      <c r="HA6" s="73">
        <v>0</v>
      </c>
      <c r="HB6" s="73">
        <v>5705</v>
      </c>
      <c r="HC6" s="73">
        <v>18235</v>
      </c>
      <c r="HD6" s="73">
        <v>106</v>
      </c>
      <c r="HE6" s="73">
        <v>952</v>
      </c>
      <c r="HF6" s="73">
        <v>1058</v>
      </c>
      <c r="HG6" s="73">
        <v>29253</v>
      </c>
      <c r="HH6" s="73">
        <v>1131</v>
      </c>
      <c r="HI6" s="73">
        <v>0</v>
      </c>
      <c r="HJ6" s="73">
        <v>111</v>
      </c>
      <c r="HK6" s="73">
        <v>0</v>
      </c>
      <c r="HL6" s="73">
        <v>-2956</v>
      </c>
      <c r="HM6" s="73">
        <v>27539</v>
      </c>
      <c r="HN6" s="73">
        <v>5299</v>
      </c>
      <c r="HO6" s="73">
        <v>21484</v>
      </c>
      <c r="HP6" s="73">
        <v>0</v>
      </c>
      <c r="HQ6" s="73">
        <v>219</v>
      </c>
      <c r="HR6" s="73">
        <v>-62</v>
      </c>
      <c r="HS6" s="73">
        <v>58</v>
      </c>
      <c r="HT6" s="73">
        <v>16114</v>
      </c>
      <c r="HU6" s="73">
        <v>1</v>
      </c>
      <c r="HV6" s="73">
        <v>0</v>
      </c>
      <c r="HW6" s="73">
        <v>2</v>
      </c>
      <c r="HX6" s="73">
        <v>853</v>
      </c>
    </row>
    <row r="7" spans="1:232" x14ac:dyDescent="0.2">
      <c r="A7" s="71" t="s">
        <v>209</v>
      </c>
      <c r="B7" s="71" t="s">
        <v>210</v>
      </c>
      <c r="C7" s="72" t="s">
        <v>200</v>
      </c>
      <c r="D7" s="72">
        <v>12</v>
      </c>
      <c r="E7" s="73">
        <v>133777</v>
      </c>
      <c r="F7" s="73">
        <v>-5075</v>
      </c>
      <c r="G7" s="73">
        <v>-72657</v>
      </c>
      <c r="H7" s="73">
        <v>56045</v>
      </c>
      <c r="I7" s="73">
        <v>2976</v>
      </c>
      <c r="J7" s="73">
        <v>0</v>
      </c>
      <c r="K7" s="73">
        <v>49</v>
      </c>
      <c r="L7" s="73">
        <v>0</v>
      </c>
      <c r="M7" s="73">
        <v>6880</v>
      </c>
      <c r="N7" s="73">
        <v>-29284</v>
      </c>
      <c r="O7" s="73">
        <v>2838</v>
      </c>
      <c r="P7" s="73">
        <v>286</v>
      </c>
      <c r="Q7" s="73">
        <v>0</v>
      </c>
      <c r="R7" s="73">
        <v>0</v>
      </c>
      <c r="S7" s="73">
        <v>39790</v>
      </c>
      <c r="T7" s="73">
        <v>0</v>
      </c>
      <c r="U7" s="73">
        <v>39790</v>
      </c>
      <c r="V7" s="73">
        <v>0</v>
      </c>
      <c r="W7" s="73">
        <v>0</v>
      </c>
      <c r="X7" s="73">
        <v>-2128</v>
      </c>
      <c r="Y7" s="73">
        <v>0</v>
      </c>
      <c r="Z7" s="73">
        <v>37662</v>
      </c>
      <c r="AA7" s="73">
        <v>85196</v>
      </c>
      <c r="AB7" s="73">
        <v>8823</v>
      </c>
      <c r="AC7" s="73">
        <v>94019</v>
      </c>
      <c r="AD7" s="73">
        <v>6056</v>
      </c>
      <c r="AE7" s="73">
        <v>0</v>
      </c>
      <c r="AF7" s="73">
        <v>0</v>
      </c>
      <c r="AG7" s="73">
        <v>860</v>
      </c>
      <c r="AH7" s="73">
        <v>100935</v>
      </c>
      <c r="AI7" s="73">
        <v>18112</v>
      </c>
      <c r="AJ7" s="73">
        <v>10673</v>
      </c>
      <c r="AK7" s="73">
        <v>10451</v>
      </c>
      <c r="AL7" s="73">
        <v>10507</v>
      </c>
      <c r="AM7" s="73">
        <v>0</v>
      </c>
      <c r="AN7" s="73">
        <v>403</v>
      </c>
      <c r="AO7" s="73">
        <v>12339</v>
      </c>
      <c r="AP7" s="73">
        <v>0</v>
      </c>
      <c r="AQ7" s="73">
        <v>2114</v>
      </c>
      <c r="AR7" s="73">
        <v>64599</v>
      </c>
      <c r="AS7" s="73">
        <v>36336</v>
      </c>
      <c r="AT7" s="73">
        <v>1675</v>
      </c>
      <c r="AU7" s="73">
        <v>926023</v>
      </c>
      <c r="AV7" s="73">
        <v>0</v>
      </c>
      <c r="AW7" s="73">
        <v>4778</v>
      </c>
      <c r="AX7" s="73">
        <v>0</v>
      </c>
      <c r="AY7" s="73">
        <v>20</v>
      </c>
      <c r="AZ7" s="73">
        <v>89462</v>
      </c>
      <c r="BA7" s="73">
        <v>0</v>
      </c>
      <c r="BB7" s="73">
        <v>9065</v>
      </c>
      <c r="BC7" s="73">
        <v>129518</v>
      </c>
      <c r="BD7" s="73">
        <v>3161</v>
      </c>
      <c r="BE7" s="73">
        <v>1162027</v>
      </c>
      <c r="BF7" s="73">
        <v>9456</v>
      </c>
      <c r="BG7" s="73">
        <v>4808</v>
      </c>
      <c r="BH7" s="73">
        <v>23870</v>
      </c>
      <c r="BI7" s="73">
        <v>20000</v>
      </c>
      <c r="BJ7" s="73">
        <v>56822</v>
      </c>
      <c r="BK7" s="73">
        <v>114956</v>
      </c>
      <c r="BL7" s="73">
        <v>15535</v>
      </c>
      <c r="BM7" s="73">
        <v>0</v>
      </c>
      <c r="BN7" s="73">
        <v>5278</v>
      </c>
      <c r="BO7" s="73">
        <v>20169</v>
      </c>
      <c r="BP7" s="73">
        <v>40982</v>
      </c>
      <c r="BQ7" s="73">
        <v>73974</v>
      </c>
      <c r="BR7" s="73">
        <v>1236001</v>
      </c>
      <c r="BS7" s="73">
        <v>336238</v>
      </c>
      <c r="BT7" s="73">
        <v>300323</v>
      </c>
      <c r="BU7" s="73">
        <v>0</v>
      </c>
      <c r="BV7" s="73">
        <v>344090</v>
      </c>
      <c r="BW7" s="73">
        <v>20</v>
      </c>
      <c r="BX7" s="73">
        <v>63804</v>
      </c>
      <c r="BY7" s="73">
        <v>6423</v>
      </c>
      <c r="BZ7" s="73">
        <v>1050898</v>
      </c>
      <c r="CA7" s="73">
        <v>0</v>
      </c>
      <c r="CB7" s="73">
        <v>188</v>
      </c>
      <c r="CC7" s="73">
        <v>184915</v>
      </c>
      <c r="CD7" s="73">
        <v>201312</v>
      </c>
      <c r="CE7" s="73">
        <v>0</v>
      </c>
      <c r="CF7" s="73">
        <v>0</v>
      </c>
      <c r="CG7" s="73">
        <v>-39390</v>
      </c>
      <c r="CH7" s="73">
        <v>22993</v>
      </c>
      <c r="CI7" s="73">
        <v>184915</v>
      </c>
      <c r="CJ7" s="73">
        <v>4843</v>
      </c>
      <c r="CK7" s="73">
        <v>3873</v>
      </c>
      <c r="CL7" s="73">
        <v>0</v>
      </c>
      <c r="CM7" s="73">
        <v>970</v>
      </c>
      <c r="CN7" s="73">
        <v>1089</v>
      </c>
      <c r="CO7" s="73">
        <v>0</v>
      </c>
      <c r="CP7" s="73">
        <v>1143</v>
      </c>
      <c r="CQ7" s="73">
        <v>-54</v>
      </c>
      <c r="CR7" s="73">
        <v>0</v>
      </c>
      <c r="CS7" s="73">
        <v>0</v>
      </c>
      <c r="CT7" s="73">
        <v>220</v>
      </c>
      <c r="CU7" s="73">
        <v>-220</v>
      </c>
      <c r="CV7" s="73">
        <v>28</v>
      </c>
      <c r="CW7" s="73">
        <v>0</v>
      </c>
      <c r="CX7" s="73">
        <v>286</v>
      </c>
      <c r="CY7" s="73">
        <v>-258</v>
      </c>
      <c r="CZ7" s="73">
        <v>1986</v>
      </c>
      <c r="DA7" s="73">
        <v>0</v>
      </c>
      <c r="DB7" s="73">
        <v>3492</v>
      </c>
      <c r="DC7" s="73">
        <v>-1506</v>
      </c>
      <c r="DD7" s="73">
        <v>7946</v>
      </c>
      <c r="DE7" s="73">
        <v>3873</v>
      </c>
      <c r="DF7" s="73">
        <v>5141</v>
      </c>
      <c r="DG7" s="73">
        <v>-1068</v>
      </c>
      <c r="DH7" s="73">
        <v>0</v>
      </c>
      <c r="DI7" s="73">
        <v>0</v>
      </c>
      <c r="DJ7" s="73">
        <v>0</v>
      </c>
      <c r="DK7" s="73">
        <v>0</v>
      </c>
      <c r="DL7" s="73">
        <v>4716</v>
      </c>
      <c r="DM7" s="73">
        <v>0</v>
      </c>
      <c r="DN7" s="73">
        <v>2429</v>
      </c>
      <c r="DO7" s="73">
        <v>2287</v>
      </c>
      <c r="DP7" s="73">
        <v>0</v>
      </c>
      <c r="DQ7" s="73">
        <v>0</v>
      </c>
      <c r="DR7" s="73">
        <v>0</v>
      </c>
      <c r="DS7" s="73">
        <v>0</v>
      </c>
      <c r="DT7" s="73">
        <v>1698</v>
      </c>
      <c r="DU7" s="73">
        <v>0</v>
      </c>
      <c r="DV7" s="73">
        <v>488</v>
      </c>
      <c r="DW7" s="73">
        <v>1210</v>
      </c>
      <c r="DX7" s="73">
        <v>0</v>
      </c>
      <c r="DY7" s="73">
        <v>0</v>
      </c>
      <c r="DZ7" s="73">
        <v>0</v>
      </c>
      <c r="EA7" s="73">
        <v>0</v>
      </c>
      <c r="EB7" s="73">
        <v>18482</v>
      </c>
      <c r="EC7" s="73">
        <v>1202</v>
      </c>
      <c r="ED7" s="73">
        <v>0</v>
      </c>
      <c r="EE7" s="73">
        <v>17280</v>
      </c>
      <c r="EF7" s="73">
        <v>24896</v>
      </c>
      <c r="EG7" s="73">
        <v>1202</v>
      </c>
      <c r="EH7" s="73">
        <v>2917</v>
      </c>
      <c r="EI7" s="73">
        <v>20777</v>
      </c>
      <c r="EJ7" s="73">
        <v>32842</v>
      </c>
      <c r="EK7" s="73">
        <v>5075</v>
      </c>
      <c r="EL7" s="73">
        <v>8058</v>
      </c>
      <c r="EM7" s="73">
        <v>19709</v>
      </c>
      <c r="EN7" s="73">
        <v>3240</v>
      </c>
      <c r="EO7" s="73">
        <v>1461</v>
      </c>
      <c r="EP7" s="73">
        <v>910</v>
      </c>
      <c r="EQ7" s="73">
        <v>1461</v>
      </c>
      <c r="ER7" s="73">
        <v>1067608</v>
      </c>
      <c r="ES7" s="73">
        <v>0</v>
      </c>
      <c r="ET7" s="73">
        <v>1067608</v>
      </c>
      <c r="EU7" s="73">
        <v>27975</v>
      </c>
      <c r="EV7" s="73">
        <v>-8584</v>
      </c>
      <c r="EW7" s="73">
        <v>0</v>
      </c>
      <c r="EX7" s="73">
        <v>-2</v>
      </c>
      <c r="EY7" s="73">
        <v>-4514</v>
      </c>
      <c r="EZ7" s="73">
        <v>1082483</v>
      </c>
      <c r="FA7" s="73">
        <v>146346</v>
      </c>
      <c r="FB7" s="73">
        <v>12339</v>
      </c>
      <c r="FC7" s="73">
        <v>0</v>
      </c>
      <c r="FD7" s="73">
        <v>0</v>
      </c>
      <c r="FE7" s="73">
        <v>-2107</v>
      </c>
      <c r="FF7" s="73">
        <v>0</v>
      </c>
      <c r="FG7" s="73">
        <v>-118</v>
      </c>
      <c r="FH7" s="73">
        <v>156460</v>
      </c>
      <c r="FI7" s="73">
        <v>926023</v>
      </c>
      <c r="FJ7" s="73">
        <v>921262</v>
      </c>
      <c r="FK7" s="73">
        <v>6312</v>
      </c>
      <c r="FL7" s="73">
        <v>3754</v>
      </c>
      <c r="FM7" s="73">
        <v>2558</v>
      </c>
      <c r="FN7" s="73">
        <v>917</v>
      </c>
      <c r="FO7" s="73">
        <v>1062</v>
      </c>
      <c r="FP7" s="73">
        <v>-145</v>
      </c>
      <c r="FQ7" s="73">
        <v>924</v>
      </c>
      <c r="FR7" s="73">
        <v>729</v>
      </c>
      <c r="FS7" s="73">
        <v>195</v>
      </c>
      <c r="FT7" s="73">
        <v>1040</v>
      </c>
      <c r="FU7" s="73">
        <v>661</v>
      </c>
      <c r="FV7" s="73">
        <v>379</v>
      </c>
      <c r="FW7" s="73">
        <v>4200</v>
      </c>
      <c r="FX7" s="73">
        <v>4291</v>
      </c>
      <c r="FY7" s="73">
        <v>-91</v>
      </c>
      <c r="FZ7" s="73">
        <v>249</v>
      </c>
      <c r="GA7" s="73">
        <v>169</v>
      </c>
      <c r="GB7" s="73">
        <v>80</v>
      </c>
      <c r="GC7" s="73">
        <v>13642</v>
      </c>
      <c r="GD7" s="73">
        <v>10666</v>
      </c>
      <c r="GE7" s="73">
        <v>2976</v>
      </c>
      <c r="GF7" s="73">
        <v>53968</v>
      </c>
      <c r="GG7" s="73">
        <v>0</v>
      </c>
      <c r="GH7" s="73">
        <v>0</v>
      </c>
      <c r="GI7" s="73">
        <v>0</v>
      </c>
      <c r="GJ7" s="73">
        <v>0</v>
      </c>
      <c r="GK7" s="73">
        <v>2854</v>
      </c>
      <c r="GL7" s="73">
        <v>56822</v>
      </c>
      <c r="GM7" s="73">
        <v>1230</v>
      </c>
      <c r="GN7" s="73">
        <v>4726</v>
      </c>
      <c r="GO7" s="73">
        <v>5408</v>
      </c>
      <c r="GP7" s="73">
        <v>1320</v>
      </c>
      <c r="GQ7" s="73">
        <v>368</v>
      </c>
      <c r="GR7" s="73">
        <v>5890</v>
      </c>
      <c r="GS7" s="73">
        <v>0</v>
      </c>
      <c r="GT7" s="73">
        <v>0</v>
      </c>
      <c r="GU7" s="73">
        <v>0</v>
      </c>
      <c r="GV7" s="73">
        <v>0</v>
      </c>
      <c r="GW7" s="73">
        <v>1227</v>
      </c>
      <c r="GX7" s="73">
        <v>20169</v>
      </c>
      <c r="GY7" s="73">
        <v>3235</v>
      </c>
      <c r="GZ7" s="73">
        <v>939</v>
      </c>
      <c r="HA7" s="73">
        <v>0</v>
      </c>
      <c r="HB7" s="73">
        <v>2249</v>
      </c>
      <c r="HC7" s="73">
        <v>6423</v>
      </c>
      <c r="HD7" s="73">
        <v>188</v>
      </c>
      <c r="HE7" s="73">
        <v>0</v>
      </c>
      <c r="HF7" s="73">
        <v>188</v>
      </c>
      <c r="HG7" s="73">
        <v>29276</v>
      </c>
      <c r="HH7" s="73">
        <v>952</v>
      </c>
      <c r="HI7" s="73">
        <v>0</v>
      </c>
      <c r="HJ7" s="73">
        <v>28</v>
      </c>
      <c r="HK7" s="73">
        <v>0</v>
      </c>
      <c r="HL7" s="73">
        <v>-972</v>
      </c>
      <c r="HM7" s="73">
        <v>29284</v>
      </c>
      <c r="HN7" s="73">
        <v>4027</v>
      </c>
      <c r="HO7" s="73">
        <v>14518</v>
      </c>
      <c r="HP7" s="73">
        <v>0</v>
      </c>
      <c r="HQ7" s="73">
        <v>186</v>
      </c>
      <c r="HR7" s="73">
        <v>-39</v>
      </c>
      <c r="HS7" s="73">
        <v>84</v>
      </c>
      <c r="HT7" s="73">
        <v>17035</v>
      </c>
      <c r="HU7" s="73">
        <v>2</v>
      </c>
      <c r="HV7" s="73">
        <v>-25</v>
      </c>
      <c r="HW7" s="73">
        <v>4</v>
      </c>
      <c r="HX7" s="73">
        <v>926</v>
      </c>
    </row>
    <row r="8" spans="1:232" x14ac:dyDescent="0.2">
      <c r="A8" s="71" t="s">
        <v>211</v>
      </c>
      <c r="B8" s="71" t="s">
        <v>212</v>
      </c>
      <c r="C8" s="72" t="s">
        <v>200</v>
      </c>
      <c r="D8" s="72">
        <v>12</v>
      </c>
      <c r="E8" s="73">
        <v>93566</v>
      </c>
      <c r="F8" s="73">
        <v>0</v>
      </c>
      <c r="G8" s="73">
        <v>-63204</v>
      </c>
      <c r="H8" s="73">
        <v>30362</v>
      </c>
      <c r="I8" s="73">
        <v>2338</v>
      </c>
      <c r="J8" s="73">
        <v>748</v>
      </c>
      <c r="K8" s="73">
        <v>0</v>
      </c>
      <c r="L8" s="73">
        <v>0</v>
      </c>
      <c r="M8" s="73">
        <v>645</v>
      </c>
      <c r="N8" s="73">
        <v>-16749</v>
      </c>
      <c r="O8" s="73">
        <v>0</v>
      </c>
      <c r="P8" s="73">
        <v>465</v>
      </c>
      <c r="Q8" s="73">
        <v>0</v>
      </c>
      <c r="R8" s="73">
        <v>0</v>
      </c>
      <c r="S8" s="73">
        <v>17809</v>
      </c>
      <c r="T8" s="73">
        <v>0</v>
      </c>
      <c r="U8" s="73">
        <v>17809</v>
      </c>
      <c r="V8" s="73">
        <v>0</v>
      </c>
      <c r="W8" s="73">
        <v>-2620</v>
      </c>
      <c r="X8" s="73">
        <v>0</v>
      </c>
      <c r="Y8" s="73">
        <v>0</v>
      </c>
      <c r="Z8" s="73">
        <v>15189</v>
      </c>
      <c r="AA8" s="73">
        <v>83475</v>
      </c>
      <c r="AB8" s="73">
        <v>7761</v>
      </c>
      <c r="AC8" s="73">
        <v>91236</v>
      </c>
      <c r="AD8" s="73">
        <v>0</v>
      </c>
      <c r="AE8" s="73">
        <v>720</v>
      </c>
      <c r="AF8" s="73">
        <v>0</v>
      </c>
      <c r="AG8" s="73">
        <v>0</v>
      </c>
      <c r="AH8" s="73">
        <v>91956</v>
      </c>
      <c r="AI8" s="73">
        <v>15619</v>
      </c>
      <c r="AJ8" s="73">
        <v>7671</v>
      </c>
      <c r="AK8" s="73">
        <v>16770</v>
      </c>
      <c r="AL8" s="73">
        <v>7244</v>
      </c>
      <c r="AM8" s="73">
        <v>0</v>
      </c>
      <c r="AN8" s="73">
        <v>133</v>
      </c>
      <c r="AO8" s="73">
        <v>11988</v>
      </c>
      <c r="AP8" s="73">
        <v>0</v>
      </c>
      <c r="AQ8" s="73">
        <v>1665</v>
      </c>
      <c r="AR8" s="73">
        <v>61090</v>
      </c>
      <c r="AS8" s="73">
        <v>30866</v>
      </c>
      <c r="AT8" s="73">
        <v>755</v>
      </c>
      <c r="AU8" s="73">
        <v>0</v>
      </c>
      <c r="AV8" s="73">
        <v>577128</v>
      </c>
      <c r="AW8" s="73">
        <v>6257</v>
      </c>
      <c r="AX8" s="73">
        <v>0</v>
      </c>
      <c r="AY8" s="73">
        <v>0</v>
      </c>
      <c r="AZ8" s="73">
        <v>1035</v>
      </c>
      <c r="BA8" s="73">
        <v>0</v>
      </c>
      <c r="BB8" s="73">
        <v>0</v>
      </c>
      <c r="BC8" s="73">
        <v>0</v>
      </c>
      <c r="BD8" s="73">
        <v>0</v>
      </c>
      <c r="BE8" s="73">
        <v>584420</v>
      </c>
      <c r="BF8" s="73">
        <v>1313</v>
      </c>
      <c r="BG8" s="73">
        <v>1859</v>
      </c>
      <c r="BH8" s="73">
        <v>17822</v>
      </c>
      <c r="BI8" s="73">
        <v>39739</v>
      </c>
      <c r="BJ8" s="73">
        <v>13476</v>
      </c>
      <c r="BK8" s="73">
        <v>74209</v>
      </c>
      <c r="BL8" s="73">
        <v>5443</v>
      </c>
      <c r="BM8" s="73">
        <v>0</v>
      </c>
      <c r="BN8" s="73">
        <v>22</v>
      </c>
      <c r="BO8" s="73">
        <v>32324</v>
      </c>
      <c r="BP8" s="73">
        <v>37789</v>
      </c>
      <c r="BQ8" s="73">
        <v>36420</v>
      </c>
      <c r="BR8" s="73">
        <v>620840</v>
      </c>
      <c r="BS8" s="73">
        <v>119883</v>
      </c>
      <c r="BT8" s="73">
        <v>209775</v>
      </c>
      <c r="BU8" s="73">
        <v>104</v>
      </c>
      <c r="BV8" s="73">
        <v>877</v>
      </c>
      <c r="BW8" s="73">
        <v>0</v>
      </c>
      <c r="BX8" s="73">
        <v>3283</v>
      </c>
      <c r="BY8" s="73">
        <v>8506</v>
      </c>
      <c r="BZ8" s="73">
        <v>342428</v>
      </c>
      <c r="CA8" s="73">
        <v>13894</v>
      </c>
      <c r="CB8" s="73">
        <v>0</v>
      </c>
      <c r="CC8" s="73">
        <v>264518</v>
      </c>
      <c r="CD8" s="73">
        <v>144903</v>
      </c>
      <c r="CE8" s="73">
        <v>119615</v>
      </c>
      <c r="CF8" s="73">
        <v>0</v>
      </c>
      <c r="CG8" s="73">
        <v>0</v>
      </c>
      <c r="CH8" s="73">
        <v>0</v>
      </c>
      <c r="CI8" s="73">
        <v>264518</v>
      </c>
      <c r="CJ8" s="73">
        <v>0</v>
      </c>
      <c r="CK8" s="73">
        <v>0</v>
      </c>
      <c r="CL8" s="73">
        <v>0</v>
      </c>
      <c r="CM8" s="73">
        <v>0</v>
      </c>
      <c r="CN8" s="73">
        <v>227</v>
      </c>
      <c r="CO8" s="73">
        <v>0</v>
      </c>
      <c r="CP8" s="73">
        <v>234</v>
      </c>
      <c r="CQ8" s="73">
        <v>-7</v>
      </c>
      <c r="CR8" s="73">
        <v>0</v>
      </c>
      <c r="CS8" s="73">
        <v>0</v>
      </c>
      <c r="CT8" s="73">
        <v>0</v>
      </c>
      <c r="CU8" s="73">
        <v>0</v>
      </c>
      <c r="CV8" s="73">
        <v>0</v>
      </c>
      <c r="CW8" s="73">
        <v>0</v>
      </c>
      <c r="CX8" s="73">
        <v>0</v>
      </c>
      <c r="CY8" s="73">
        <v>0</v>
      </c>
      <c r="CZ8" s="73">
        <v>436</v>
      </c>
      <c r="DA8" s="73">
        <v>0</v>
      </c>
      <c r="DB8" s="73">
        <v>1606</v>
      </c>
      <c r="DC8" s="73">
        <v>-1170</v>
      </c>
      <c r="DD8" s="73">
        <v>663</v>
      </c>
      <c r="DE8" s="73">
        <v>0</v>
      </c>
      <c r="DF8" s="73">
        <v>1840</v>
      </c>
      <c r="DG8" s="73">
        <v>-1177</v>
      </c>
      <c r="DH8" s="73">
        <v>0</v>
      </c>
      <c r="DI8" s="73">
        <v>0</v>
      </c>
      <c r="DJ8" s="73">
        <v>0</v>
      </c>
      <c r="DK8" s="73">
        <v>0</v>
      </c>
      <c r="DL8" s="73">
        <v>0</v>
      </c>
      <c r="DM8" s="73">
        <v>0</v>
      </c>
      <c r="DN8" s="73">
        <v>0</v>
      </c>
      <c r="DO8" s="73">
        <v>0</v>
      </c>
      <c r="DP8" s="73">
        <v>0</v>
      </c>
      <c r="DQ8" s="73">
        <v>0</v>
      </c>
      <c r="DR8" s="73">
        <v>0</v>
      </c>
      <c r="DS8" s="73">
        <v>0</v>
      </c>
      <c r="DT8" s="73">
        <v>117</v>
      </c>
      <c r="DU8" s="73">
        <v>0</v>
      </c>
      <c r="DV8" s="73">
        <v>31</v>
      </c>
      <c r="DW8" s="73">
        <v>86</v>
      </c>
      <c r="DX8" s="73">
        <v>0</v>
      </c>
      <c r="DY8" s="73">
        <v>0</v>
      </c>
      <c r="DZ8" s="73">
        <v>0</v>
      </c>
      <c r="EA8" s="73">
        <v>0</v>
      </c>
      <c r="EB8" s="73">
        <v>830</v>
      </c>
      <c r="EC8" s="73">
        <v>0</v>
      </c>
      <c r="ED8" s="73">
        <v>243</v>
      </c>
      <c r="EE8" s="73">
        <v>587</v>
      </c>
      <c r="EF8" s="73">
        <v>947</v>
      </c>
      <c r="EG8" s="73">
        <v>0</v>
      </c>
      <c r="EH8" s="73">
        <v>274</v>
      </c>
      <c r="EI8" s="73">
        <v>673</v>
      </c>
      <c r="EJ8" s="73">
        <v>1610</v>
      </c>
      <c r="EK8" s="73">
        <v>0</v>
      </c>
      <c r="EL8" s="73">
        <v>2114</v>
      </c>
      <c r="EM8" s="73">
        <v>-504</v>
      </c>
      <c r="EN8" s="73">
        <v>2495</v>
      </c>
      <c r="EO8" s="73">
        <v>1361</v>
      </c>
      <c r="EP8" s="73">
        <v>640</v>
      </c>
      <c r="EQ8" s="73">
        <v>1357</v>
      </c>
      <c r="ER8" s="73">
        <v>0</v>
      </c>
      <c r="ES8" s="73">
        <v>580253</v>
      </c>
      <c r="ET8" s="73">
        <v>580253</v>
      </c>
      <c r="EU8" s="73">
        <v>17919</v>
      </c>
      <c r="EV8" s="73">
        <v>-4042</v>
      </c>
      <c r="EW8" s="73">
        <v>0</v>
      </c>
      <c r="EX8" s="73">
        <v>0</v>
      </c>
      <c r="EY8" s="73">
        <v>-482</v>
      </c>
      <c r="EZ8" s="73">
        <v>593648</v>
      </c>
      <c r="FA8" s="73">
        <v>6795</v>
      </c>
      <c r="FB8" s="73">
        <v>11563</v>
      </c>
      <c r="FC8" s="73">
        <v>0</v>
      </c>
      <c r="FD8" s="73">
        <v>0</v>
      </c>
      <c r="FE8" s="73">
        <v>-1798</v>
      </c>
      <c r="FF8" s="73">
        <v>0</v>
      </c>
      <c r="FG8" s="73">
        <v>-40</v>
      </c>
      <c r="FH8" s="73">
        <v>16520</v>
      </c>
      <c r="FI8" s="73">
        <v>577128</v>
      </c>
      <c r="FJ8" s="73">
        <v>573458</v>
      </c>
      <c r="FK8" s="73">
        <v>2090</v>
      </c>
      <c r="FL8" s="73">
        <v>2224</v>
      </c>
      <c r="FM8" s="73">
        <v>-134</v>
      </c>
      <c r="FN8" s="73">
        <v>609</v>
      </c>
      <c r="FO8" s="73">
        <v>222</v>
      </c>
      <c r="FP8" s="73">
        <v>387</v>
      </c>
      <c r="FQ8" s="73">
        <v>628</v>
      </c>
      <c r="FR8" s="73">
        <v>311</v>
      </c>
      <c r="FS8" s="73">
        <v>317</v>
      </c>
      <c r="FT8" s="73">
        <v>3209</v>
      </c>
      <c r="FU8" s="73">
        <v>1441</v>
      </c>
      <c r="FV8" s="73">
        <v>1768</v>
      </c>
      <c r="FW8" s="73">
        <v>0</v>
      </c>
      <c r="FX8" s="73">
        <v>0</v>
      </c>
      <c r="FY8" s="73">
        <v>0</v>
      </c>
      <c r="FZ8" s="73">
        <v>0</v>
      </c>
      <c r="GA8" s="73">
        <v>0</v>
      </c>
      <c r="GB8" s="73">
        <v>0</v>
      </c>
      <c r="GC8" s="73">
        <v>6536</v>
      </c>
      <c r="GD8" s="73">
        <v>4198</v>
      </c>
      <c r="GE8" s="73">
        <v>2338</v>
      </c>
      <c r="GF8" s="73">
        <v>9173</v>
      </c>
      <c r="GG8" s="73">
        <v>0</v>
      </c>
      <c r="GH8" s="73">
        <v>0</v>
      </c>
      <c r="GI8" s="73">
        <v>0</v>
      </c>
      <c r="GJ8" s="73">
        <v>0</v>
      </c>
      <c r="GK8" s="73">
        <v>4303</v>
      </c>
      <c r="GL8" s="73">
        <v>13476</v>
      </c>
      <c r="GM8" s="73">
        <v>2624</v>
      </c>
      <c r="GN8" s="73">
        <v>2510</v>
      </c>
      <c r="GO8" s="73">
        <v>10479</v>
      </c>
      <c r="GP8" s="73">
        <v>734</v>
      </c>
      <c r="GQ8" s="73">
        <v>68</v>
      </c>
      <c r="GR8" s="73">
        <v>8876</v>
      </c>
      <c r="GS8" s="73">
        <v>6</v>
      </c>
      <c r="GT8" s="73">
        <v>0</v>
      </c>
      <c r="GU8" s="73">
        <v>338</v>
      </c>
      <c r="GV8" s="73">
        <v>0</v>
      </c>
      <c r="GW8" s="73">
        <v>6689</v>
      </c>
      <c r="GX8" s="73">
        <v>32324</v>
      </c>
      <c r="GY8" s="73">
        <v>2427</v>
      </c>
      <c r="GZ8" s="73">
        <v>369</v>
      </c>
      <c r="HA8" s="73">
        <v>2422</v>
      </c>
      <c r="HB8" s="73">
        <v>3288</v>
      </c>
      <c r="HC8" s="73">
        <v>8506</v>
      </c>
      <c r="HD8" s="73">
        <v>0</v>
      </c>
      <c r="HE8" s="73">
        <v>0</v>
      </c>
      <c r="HF8" s="73">
        <v>0</v>
      </c>
      <c r="HG8" s="73">
        <v>16242</v>
      </c>
      <c r="HH8" s="73">
        <v>123</v>
      </c>
      <c r="HI8" s="73">
        <v>479</v>
      </c>
      <c r="HJ8" s="73">
        <v>0</v>
      </c>
      <c r="HK8" s="73">
        <v>0</v>
      </c>
      <c r="HL8" s="73">
        <v>-95</v>
      </c>
      <c r="HM8" s="73">
        <v>16749</v>
      </c>
      <c r="HN8" s="73">
        <v>11129</v>
      </c>
      <c r="HO8" s="73">
        <v>12323</v>
      </c>
      <c r="HP8" s="73">
        <v>0</v>
      </c>
      <c r="HQ8" s="73">
        <v>39</v>
      </c>
      <c r="HR8" s="73">
        <v>-143</v>
      </c>
      <c r="HS8" s="73">
        <v>-80</v>
      </c>
      <c r="HT8" s="73">
        <v>19684</v>
      </c>
      <c r="HU8" s="73">
        <v>0</v>
      </c>
      <c r="HV8" s="73">
        <v>0</v>
      </c>
      <c r="HW8" s="73">
        <v>51</v>
      </c>
      <c r="HX8" s="73">
        <v>897</v>
      </c>
    </row>
    <row r="9" spans="1:232" x14ac:dyDescent="0.2">
      <c r="A9" s="71" t="s">
        <v>215</v>
      </c>
      <c r="B9" s="71" t="s">
        <v>214</v>
      </c>
      <c r="C9" s="72" t="s">
        <v>200</v>
      </c>
      <c r="D9" s="72">
        <v>12</v>
      </c>
      <c r="E9" s="73">
        <v>113845</v>
      </c>
      <c r="F9" s="73">
        <v>-377</v>
      </c>
      <c r="G9" s="73">
        <v>-90005</v>
      </c>
      <c r="H9" s="73">
        <v>23463</v>
      </c>
      <c r="I9" s="73">
        <v>1011</v>
      </c>
      <c r="J9" s="73">
        <v>0</v>
      </c>
      <c r="K9" s="73">
        <v>0</v>
      </c>
      <c r="L9" s="73">
        <v>0</v>
      </c>
      <c r="M9" s="73">
        <v>23</v>
      </c>
      <c r="N9" s="73">
        <v>-15727</v>
      </c>
      <c r="O9" s="73">
        <v>0</v>
      </c>
      <c r="P9" s="73">
        <v>0</v>
      </c>
      <c r="Q9" s="73">
        <v>0</v>
      </c>
      <c r="R9" s="73">
        <v>0</v>
      </c>
      <c r="S9" s="73">
        <v>8770</v>
      </c>
      <c r="T9" s="73">
        <v>-83</v>
      </c>
      <c r="U9" s="73">
        <v>8687</v>
      </c>
      <c r="V9" s="73">
        <v>0</v>
      </c>
      <c r="W9" s="73">
        <v>-239</v>
      </c>
      <c r="X9" s="73">
        <v>0</v>
      </c>
      <c r="Y9" s="73">
        <v>0</v>
      </c>
      <c r="Z9" s="73">
        <v>8448</v>
      </c>
      <c r="AA9" s="73">
        <v>49239</v>
      </c>
      <c r="AB9" s="73">
        <v>20298</v>
      </c>
      <c r="AC9" s="73">
        <v>69537</v>
      </c>
      <c r="AD9" s="73">
        <v>2237</v>
      </c>
      <c r="AE9" s="73">
        <v>0</v>
      </c>
      <c r="AF9" s="73">
        <v>0</v>
      </c>
      <c r="AG9" s="73">
        <v>0</v>
      </c>
      <c r="AH9" s="73">
        <v>71774</v>
      </c>
      <c r="AI9" s="73">
        <v>8941</v>
      </c>
      <c r="AJ9" s="73">
        <v>19691</v>
      </c>
      <c r="AK9" s="73">
        <v>8051</v>
      </c>
      <c r="AL9" s="73">
        <v>2867</v>
      </c>
      <c r="AM9" s="73">
        <v>0</v>
      </c>
      <c r="AN9" s="73">
        <v>506</v>
      </c>
      <c r="AO9" s="73">
        <v>7437</v>
      </c>
      <c r="AP9" s="73">
        <v>0</v>
      </c>
      <c r="AQ9" s="73">
        <v>0</v>
      </c>
      <c r="AR9" s="73">
        <v>47493</v>
      </c>
      <c r="AS9" s="73">
        <v>24281</v>
      </c>
      <c r="AT9" s="73">
        <v>1101</v>
      </c>
      <c r="AU9" s="73">
        <v>802929</v>
      </c>
      <c r="AV9" s="73">
        <v>0</v>
      </c>
      <c r="AW9" s="73">
        <v>8418</v>
      </c>
      <c r="AX9" s="73">
        <v>22605</v>
      </c>
      <c r="AY9" s="73">
        <v>0</v>
      </c>
      <c r="AZ9" s="73">
        <v>0</v>
      </c>
      <c r="BA9" s="73">
        <v>0</v>
      </c>
      <c r="BB9" s="73">
        <v>70</v>
      </c>
      <c r="BC9" s="73">
        <v>0</v>
      </c>
      <c r="BD9" s="73">
        <v>0</v>
      </c>
      <c r="BE9" s="73">
        <v>834022</v>
      </c>
      <c r="BF9" s="73">
        <v>905</v>
      </c>
      <c r="BG9" s="73">
        <v>1757</v>
      </c>
      <c r="BH9" s="73">
        <v>8249</v>
      </c>
      <c r="BI9" s="73">
        <v>0</v>
      </c>
      <c r="BJ9" s="73">
        <v>16612</v>
      </c>
      <c r="BK9" s="73">
        <v>27523</v>
      </c>
      <c r="BL9" s="73">
        <v>13101</v>
      </c>
      <c r="BM9" s="73">
        <v>1368</v>
      </c>
      <c r="BN9" s="73">
        <v>2498</v>
      </c>
      <c r="BO9" s="73">
        <v>19764</v>
      </c>
      <c r="BP9" s="73">
        <v>36731</v>
      </c>
      <c r="BQ9" s="73">
        <v>-9208</v>
      </c>
      <c r="BR9" s="73">
        <v>824814</v>
      </c>
      <c r="BS9" s="73">
        <v>397064</v>
      </c>
      <c r="BT9" s="73">
        <v>0</v>
      </c>
      <c r="BU9" s="73">
        <v>0</v>
      </c>
      <c r="BV9" s="73">
        <v>281463</v>
      </c>
      <c r="BW9" s="73">
        <v>0</v>
      </c>
      <c r="BX9" s="73">
        <v>0</v>
      </c>
      <c r="BY9" s="73">
        <v>9134</v>
      </c>
      <c r="BZ9" s="73">
        <v>687661</v>
      </c>
      <c r="CA9" s="73">
        <v>0</v>
      </c>
      <c r="CB9" s="73">
        <v>372</v>
      </c>
      <c r="CC9" s="73">
        <v>136781</v>
      </c>
      <c r="CD9" s="73">
        <v>136781</v>
      </c>
      <c r="CE9" s="73">
        <v>0</v>
      </c>
      <c r="CF9" s="73">
        <v>0</v>
      </c>
      <c r="CG9" s="73">
        <v>0</v>
      </c>
      <c r="CH9" s="73">
        <v>0</v>
      </c>
      <c r="CI9" s="73">
        <v>136781</v>
      </c>
      <c r="CJ9" s="73">
        <v>416</v>
      </c>
      <c r="CK9" s="73">
        <v>377</v>
      </c>
      <c r="CL9" s="73">
        <v>0</v>
      </c>
      <c r="CM9" s="73">
        <v>39</v>
      </c>
      <c r="CN9" s="73">
        <v>1391</v>
      </c>
      <c r="CO9" s="73">
        <v>0</v>
      </c>
      <c r="CP9" s="73">
        <v>1345</v>
      </c>
      <c r="CQ9" s="73">
        <v>46</v>
      </c>
      <c r="CR9" s="73">
        <v>0</v>
      </c>
      <c r="CS9" s="73">
        <v>0</v>
      </c>
      <c r="CT9" s="73">
        <v>0</v>
      </c>
      <c r="CU9" s="73">
        <v>0</v>
      </c>
      <c r="CV9" s="73">
        <v>0</v>
      </c>
      <c r="CW9" s="73">
        <v>0</v>
      </c>
      <c r="CX9" s="73">
        <v>0</v>
      </c>
      <c r="CY9" s="73">
        <v>0</v>
      </c>
      <c r="CZ9" s="73">
        <v>1008</v>
      </c>
      <c r="DA9" s="73">
        <v>0</v>
      </c>
      <c r="DB9" s="73">
        <v>608</v>
      </c>
      <c r="DC9" s="73">
        <v>400</v>
      </c>
      <c r="DD9" s="73">
        <v>2815</v>
      </c>
      <c r="DE9" s="73">
        <v>377</v>
      </c>
      <c r="DF9" s="73">
        <v>1953</v>
      </c>
      <c r="DG9" s="73">
        <v>485</v>
      </c>
      <c r="DH9" s="73">
        <v>0</v>
      </c>
      <c r="DI9" s="73">
        <v>0</v>
      </c>
      <c r="DJ9" s="73">
        <v>0</v>
      </c>
      <c r="DK9" s="73">
        <v>0</v>
      </c>
      <c r="DL9" s="73">
        <v>0</v>
      </c>
      <c r="DM9" s="73">
        <v>0</v>
      </c>
      <c r="DN9" s="73">
        <v>0</v>
      </c>
      <c r="DO9" s="73">
        <v>0</v>
      </c>
      <c r="DP9" s="73">
        <v>884</v>
      </c>
      <c r="DQ9" s="73">
        <v>0</v>
      </c>
      <c r="DR9" s="73">
        <v>845</v>
      </c>
      <c r="DS9" s="73">
        <v>39</v>
      </c>
      <c r="DT9" s="73">
        <v>63</v>
      </c>
      <c r="DU9" s="73">
        <v>0</v>
      </c>
      <c r="DV9" s="73">
        <v>213</v>
      </c>
      <c r="DW9" s="73">
        <v>-150</v>
      </c>
      <c r="DX9" s="73">
        <v>0</v>
      </c>
      <c r="DY9" s="73">
        <v>0</v>
      </c>
      <c r="DZ9" s="73">
        <v>0</v>
      </c>
      <c r="EA9" s="73">
        <v>0</v>
      </c>
      <c r="EB9" s="73">
        <v>38309</v>
      </c>
      <c r="EC9" s="73">
        <v>0</v>
      </c>
      <c r="ED9" s="73">
        <v>39501</v>
      </c>
      <c r="EE9" s="73">
        <v>-1192</v>
      </c>
      <c r="EF9" s="73">
        <v>39256</v>
      </c>
      <c r="EG9" s="73">
        <v>0</v>
      </c>
      <c r="EH9" s="73">
        <v>40559</v>
      </c>
      <c r="EI9" s="73">
        <v>-1303</v>
      </c>
      <c r="EJ9" s="73">
        <v>42071</v>
      </c>
      <c r="EK9" s="73">
        <v>377</v>
      </c>
      <c r="EL9" s="73">
        <v>42512</v>
      </c>
      <c r="EM9" s="73">
        <v>-818</v>
      </c>
      <c r="EN9" s="73">
        <v>1757</v>
      </c>
      <c r="EO9" s="73">
        <v>1661</v>
      </c>
      <c r="EP9" s="73">
        <v>0</v>
      </c>
      <c r="EQ9" s="73">
        <v>1661</v>
      </c>
      <c r="ER9" s="73">
        <v>842785</v>
      </c>
      <c r="ES9" s="73">
        <v>0</v>
      </c>
      <c r="ET9" s="73">
        <v>842785</v>
      </c>
      <c r="EU9" s="73">
        <v>39443</v>
      </c>
      <c r="EV9" s="73">
        <v>-4488</v>
      </c>
      <c r="EW9" s="73">
        <v>0</v>
      </c>
      <c r="EX9" s="73">
        <v>0</v>
      </c>
      <c r="EY9" s="73">
        <v>-158</v>
      </c>
      <c r="EZ9" s="73">
        <v>877582</v>
      </c>
      <c r="FA9" s="73">
        <v>68525</v>
      </c>
      <c r="FB9" s="73">
        <v>7279</v>
      </c>
      <c r="FC9" s="73">
        <v>0</v>
      </c>
      <c r="FD9" s="73">
        <v>0</v>
      </c>
      <c r="FE9" s="73">
        <v>-1151</v>
      </c>
      <c r="FF9" s="73">
        <v>0</v>
      </c>
      <c r="FG9" s="73">
        <v>0</v>
      </c>
      <c r="FH9" s="73">
        <v>74653</v>
      </c>
      <c r="FI9" s="73">
        <v>802929</v>
      </c>
      <c r="FJ9" s="73">
        <v>774260</v>
      </c>
      <c r="FK9" s="73">
        <v>755</v>
      </c>
      <c r="FL9" s="73">
        <v>624</v>
      </c>
      <c r="FM9" s="73">
        <v>131</v>
      </c>
      <c r="FN9" s="73">
        <v>0</v>
      </c>
      <c r="FO9" s="73">
        <v>0</v>
      </c>
      <c r="FP9" s="73">
        <v>0</v>
      </c>
      <c r="FQ9" s="73">
        <v>316</v>
      </c>
      <c r="FR9" s="73">
        <v>281</v>
      </c>
      <c r="FS9" s="73">
        <v>35</v>
      </c>
      <c r="FT9" s="73">
        <v>3443</v>
      </c>
      <c r="FU9" s="73">
        <v>2598</v>
      </c>
      <c r="FV9" s="73">
        <v>845</v>
      </c>
      <c r="FW9" s="73">
        <v>0</v>
      </c>
      <c r="FX9" s="73">
        <v>0</v>
      </c>
      <c r="FY9" s="73">
        <v>0</v>
      </c>
      <c r="FZ9" s="73">
        <v>0</v>
      </c>
      <c r="GA9" s="73">
        <v>0</v>
      </c>
      <c r="GB9" s="73">
        <v>0</v>
      </c>
      <c r="GC9" s="73">
        <v>4514</v>
      </c>
      <c r="GD9" s="73">
        <v>3503</v>
      </c>
      <c r="GE9" s="73">
        <v>1011</v>
      </c>
      <c r="GF9" s="73">
        <v>0</v>
      </c>
      <c r="GG9" s="73">
        <v>0</v>
      </c>
      <c r="GH9" s="73">
        <v>1584</v>
      </c>
      <c r="GI9" s="73">
        <v>0</v>
      </c>
      <c r="GJ9" s="73">
        <v>0</v>
      </c>
      <c r="GK9" s="73">
        <v>15028</v>
      </c>
      <c r="GL9" s="73">
        <v>16612</v>
      </c>
      <c r="GM9" s="73">
        <v>8335</v>
      </c>
      <c r="GN9" s="73">
        <v>1362</v>
      </c>
      <c r="GO9" s="73">
        <v>0</v>
      </c>
      <c r="GP9" s="73">
        <v>0</v>
      </c>
      <c r="GQ9" s="73">
        <v>29</v>
      </c>
      <c r="GR9" s="73">
        <v>2347</v>
      </c>
      <c r="GS9" s="73">
        <v>0</v>
      </c>
      <c r="GT9" s="73">
        <v>0</v>
      </c>
      <c r="GU9" s="73">
        <v>1025</v>
      </c>
      <c r="GV9" s="73">
        <v>0</v>
      </c>
      <c r="GW9" s="73">
        <v>6666</v>
      </c>
      <c r="GX9" s="73">
        <v>19764</v>
      </c>
      <c r="GY9" s="73">
        <v>1945</v>
      </c>
      <c r="GZ9" s="73">
        <v>135</v>
      </c>
      <c r="HA9" s="73">
        <v>7054</v>
      </c>
      <c r="HB9" s="73">
        <v>0</v>
      </c>
      <c r="HC9" s="73">
        <v>9134</v>
      </c>
      <c r="HD9" s="73">
        <v>0</v>
      </c>
      <c r="HE9" s="73">
        <v>372</v>
      </c>
      <c r="HF9" s="73">
        <v>372</v>
      </c>
      <c r="HG9" s="73">
        <v>16900</v>
      </c>
      <c r="HH9" s="73">
        <v>0</v>
      </c>
      <c r="HI9" s="73">
        <v>430</v>
      </c>
      <c r="HJ9" s="73">
        <v>0</v>
      </c>
      <c r="HK9" s="73">
        <v>-186</v>
      </c>
      <c r="HL9" s="73">
        <v>-1417</v>
      </c>
      <c r="HM9" s="73">
        <v>15727</v>
      </c>
      <c r="HN9" s="73">
        <v>4779</v>
      </c>
      <c r="HO9" s="73">
        <v>8935</v>
      </c>
      <c r="HP9" s="73">
        <v>0</v>
      </c>
      <c r="HQ9" s="73">
        <v>187</v>
      </c>
      <c r="HR9" s="73">
        <v>-74</v>
      </c>
      <c r="HS9" s="73">
        <v>-4</v>
      </c>
      <c r="HT9" s="73">
        <v>12280</v>
      </c>
      <c r="HU9" s="73">
        <v>0</v>
      </c>
      <c r="HV9" s="73">
        <v>0</v>
      </c>
      <c r="HW9" s="73">
        <v>-26</v>
      </c>
      <c r="HX9" s="73">
        <v>34</v>
      </c>
    </row>
    <row r="10" spans="1:232" x14ac:dyDescent="0.2">
      <c r="A10" s="74" t="s">
        <v>218</v>
      </c>
      <c r="B10" s="74" t="s">
        <v>217</v>
      </c>
      <c r="C10" s="75" t="s">
        <v>200</v>
      </c>
      <c r="D10" s="75">
        <v>12</v>
      </c>
      <c r="E10" s="76">
        <v>31643</v>
      </c>
      <c r="F10" s="76">
        <v>-959</v>
      </c>
      <c r="G10" s="76">
        <v>-20651</v>
      </c>
      <c r="H10" s="76">
        <v>10033</v>
      </c>
      <c r="I10" s="76">
        <v>359</v>
      </c>
      <c r="J10" s="76">
        <v>517</v>
      </c>
      <c r="K10" s="76">
        <v>0</v>
      </c>
      <c r="L10" s="76">
        <v>0</v>
      </c>
      <c r="M10" s="76">
        <v>151</v>
      </c>
      <c r="N10" s="76">
        <v>-6178</v>
      </c>
      <c r="O10" s="76">
        <v>0</v>
      </c>
      <c r="P10" s="76">
        <v>0</v>
      </c>
      <c r="Q10" s="76">
        <v>0</v>
      </c>
      <c r="R10" s="76">
        <v>0</v>
      </c>
      <c r="S10" s="76">
        <v>4882</v>
      </c>
      <c r="T10" s="76">
        <v>-10</v>
      </c>
      <c r="U10" s="76">
        <v>4872</v>
      </c>
      <c r="V10" s="76">
        <v>0</v>
      </c>
      <c r="W10" s="76">
        <v>-120</v>
      </c>
      <c r="X10" s="76">
        <v>0</v>
      </c>
      <c r="Y10" s="76">
        <v>0</v>
      </c>
      <c r="Z10" s="76">
        <v>4752</v>
      </c>
      <c r="AA10" s="76">
        <v>22951</v>
      </c>
      <c r="AB10" s="76">
        <v>470</v>
      </c>
      <c r="AC10" s="76">
        <v>23421</v>
      </c>
      <c r="AD10" s="76">
        <v>701</v>
      </c>
      <c r="AE10" s="76">
        <v>0</v>
      </c>
      <c r="AF10" s="76">
        <v>0</v>
      </c>
      <c r="AG10" s="76">
        <v>0</v>
      </c>
      <c r="AH10" s="76">
        <v>24122</v>
      </c>
      <c r="AI10" s="76">
        <v>2404</v>
      </c>
      <c r="AJ10" s="76">
        <v>701</v>
      </c>
      <c r="AK10" s="76">
        <v>4184</v>
      </c>
      <c r="AL10" s="76">
        <v>954</v>
      </c>
      <c r="AM10" s="76">
        <v>1326</v>
      </c>
      <c r="AN10" s="76">
        <v>151</v>
      </c>
      <c r="AO10" s="76">
        <v>4820</v>
      </c>
      <c r="AP10" s="76">
        <v>0</v>
      </c>
      <c r="AQ10" s="76">
        <v>2888</v>
      </c>
      <c r="AR10" s="76">
        <v>17428</v>
      </c>
      <c r="AS10" s="76">
        <v>6694</v>
      </c>
      <c r="AT10" s="76">
        <v>369</v>
      </c>
      <c r="AU10" s="76">
        <v>211998</v>
      </c>
      <c r="AV10" s="76">
        <v>0</v>
      </c>
      <c r="AW10" s="76">
        <v>1555</v>
      </c>
      <c r="AX10" s="76">
        <v>0</v>
      </c>
      <c r="AY10" s="76">
        <v>0</v>
      </c>
      <c r="AZ10" s="76">
        <v>0</v>
      </c>
      <c r="BA10" s="76">
        <v>0</v>
      </c>
      <c r="BB10" s="76">
        <v>0</v>
      </c>
      <c r="BC10" s="76">
        <v>0</v>
      </c>
      <c r="BD10" s="76">
        <v>0</v>
      </c>
      <c r="BE10" s="76">
        <v>213553</v>
      </c>
      <c r="BF10" s="76">
        <v>744</v>
      </c>
      <c r="BG10" s="76">
        <v>292</v>
      </c>
      <c r="BH10" s="76">
        <v>21608</v>
      </c>
      <c r="BI10" s="76">
        <v>0</v>
      </c>
      <c r="BJ10" s="76">
        <v>2874</v>
      </c>
      <c r="BK10" s="76">
        <v>25518</v>
      </c>
      <c r="BL10" s="76">
        <v>5700</v>
      </c>
      <c r="BM10" s="76">
        <v>0</v>
      </c>
      <c r="BN10" s="76">
        <v>707</v>
      </c>
      <c r="BO10" s="76">
        <v>11352</v>
      </c>
      <c r="BP10" s="76">
        <v>17759</v>
      </c>
      <c r="BQ10" s="76">
        <v>7759</v>
      </c>
      <c r="BR10" s="76">
        <v>221312</v>
      </c>
      <c r="BS10" s="76">
        <v>155000</v>
      </c>
      <c r="BT10" s="76">
        <v>0</v>
      </c>
      <c r="BU10" s="76">
        <v>0</v>
      </c>
      <c r="BV10" s="76">
        <v>30938</v>
      </c>
      <c r="BW10" s="76">
        <v>0</v>
      </c>
      <c r="BX10" s="76">
        <v>0</v>
      </c>
      <c r="BY10" s="76">
        <v>2232</v>
      </c>
      <c r="BZ10" s="76">
        <v>188170</v>
      </c>
      <c r="CA10" s="76">
        <v>1520</v>
      </c>
      <c r="CB10" s="76">
        <v>0</v>
      </c>
      <c r="CC10" s="76">
        <v>31622</v>
      </c>
      <c r="CD10" s="76">
        <v>31622</v>
      </c>
      <c r="CE10" s="76">
        <v>0</v>
      </c>
      <c r="CF10" s="76">
        <v>0</v>
      </c>
      <c r="CG10" s="76">
        <v>0</v>
      </c>
      <c r="CH10" s="76">
        <v>0</v>
      </c>
      <c r="CI10" s="76">
        <v>31622</v>
      </c>
      <c r="CJ10" s="76">
        <v>1394</v>
      </c>
      <c r="CK10" s="76">
        <v>959</v>
      </c>
      <c r="CL10" s="76">
        <v>0</v>
      </c>
      <c r="CM10" s="76">
        <v>435</v>
      </c>
      <c r="CN10" s="76">
        <v>0</v>
      </c>
      <c r="CO10" s="76">
        <v>0</v>
      </c>
      <c r="CP10" s="76">
        <v>0</v>
      </c>
      <c r="CQ10" s="76">
        <v>0</v>
      </c>
      <c r="CR10" s="76">
        <v>0</v>
      </c>
      <c r="CS10" s="76">
        <v>0</v>
      </c>
      <c r="CT10" s="76">
        <v>0</v>
      </c>
      <c r="CU10" s="76">
        <v>0</v>
      </c>
      <c r="CV10" s="76">
        <v>0</v>
      </c>
      <c r="CW10" s="76">
        <v>0</v>
      </c>
      <c r="CX10" s="76">
        <v>0</v>
      </c>
      <c r="CY10" s="76">
        <v>0</v>
      </c>
      <c r="CZ10" s="76">
        <v>0</v>
      </c>
      <c r="DA10" s="76">
        <v>0</v>
      </c>
      <c r="DB10" s="76">
        <v>2</v>
      </c>
      <c r="DC10" s="76">
        <v>-2</v>
      </c>
      <c r="DD10" s="76">
        <v>1394</v>
      </c>
      <c r="DE10" s="76">
        <v>959</v>
      </c>
      <c r="DF10" s="76">
        <v>2</v>
      </c>
      <c r="DG10" s="76">
        <v>433</v>
      </c>
      <c r="DH10" s="76">
        <v>0</v>
      </c>
      <c r="DI10" s="76">
        <v>0</v>
      </c>
      <c r="DJ10" s="76">
        <v>0</v>
      </c>
      <c r="DK10" s="76">
        <v>0</v>
      </c>
      <c r="DL10" s="76">
        <v>4961</v>
      </c>
      <c r="DM10" s="76">
        <v>0</v>
      </c>
      <c r="DN10" s="76">
        <v>3042</v>
      </c>
      <c r="DO10" s="76">
        <v>1919</v>
      </c>
      <c r="DP10" s="76">
        <v>0</v>
      </c>
      <c r="DQ10" s="76">
        <v>0</v>
      </c>
      <c r="DR10" s="76">
        <v>0</v>
      </c>
      <c r="DS10" s="76">
        <v>0</v>
      </c>
      <c r="DT10" s="76">
        <v>259</v>
      </c>
      <c r="DU10" s="76">
        <v>0</v>
      </c>
      <c r="DV10" s="76">
        <v>138</v>
      </c>
      <c r="DW10" s="76">
        <v>121</v>
      </c>
      <c r="DX10" s="76">
        <v>0</v>
      </c>
      <c r="DY10" s="76">
        <v>0</v>
      </c>
      <c r="DZ10" s="76">
        <v>0</v>
      </c>
      <c r="EA10" s="76">
        <v>0</v>
      </c>
      <c r="EB10" s="76">
        <v>907</v>
      </c>
      <c r="EC10" s="76">
        <v>0</v>
      </c>
      <c r="ED10" s="76">
        <v>41</v>
      </c>
      <c r="EE10" s="76">
        <v>866</v>
      </c>
      <c r="EF10" s="76">
        <v>6127</v>
      </c>
      <c r="EG10" s="76">
        <v>0</v>
      </c>
      <c r="EH10" s="76">
        <v>3221</v>
      </c>
      <c r="EI10" s="76">
        <v>2906</v>
      </c>
      <c r="EJ10" s="76">
        <v>7521</v>
      </c>
      <c r="EK10" s="76">
        <v>959</v>
      </c>
      <c r="EL10" s="76">
        <v>3223</v>
      </c>
      <c r="EM10" s="76">
        <v>3339</v>
      </c>
      <c r="EN10" s="76">
        <v>643</v>
      </c>
      <c r="EO10" s="76">
        <v>43</v>
      </c>
      <c r="EP10" s="76">
        <v>351</v>
      </c>
      <c r="EQ10" s="76">
        <v>43</v>
      </c>
      <c r="ER10" s="76">
        <v>241700</v>
      </c>
      <c r="ES10" s="76">
        <v>0</v>
      </c>
      <c r="ET10" s="76">
        <v>241700</v>
      </c>
      <c r="EU10" s="76">
        <v>11918</v>
      </c>
      <c r="EV10" s="76">
        <v>-1733</v>
      </c>
      <c r="EW10" s="76">
        <v>0</v>
      </c>
      <c r="EX10" s="76">
        <v>0</v>
      </c>
      <c r="EY10" s="76">
        <v>-60</v>
      </c>
      <c r="EZ10" s="76">
        <v>251825</v>
      </c>
      <c r="FA10" s="76">
        <v>34844</v>
      </c>
      <c r="FB10" s="76">
        <v>5498</v>
      </c>
      <c r="FC10" s="76">
        <v>0</v>
      </c>
      <c r="FD10" s="76">
        <v>0</v>
      </c>
      <c r="FE10" s="76">
        <v>-515</v>
      </c>
      <c r="FF10" s="76">
        <v>0</v>
      </c>
      <c r="FG10" s="76">
        <v>0</v>
      </c>
      <c r="FH10" s="76">
        <v>39827</v>
      </c>
      <c r="FI10" s="76">
        <v>211998</v>
      </c>
      <c r="FJ10" s="76">
        <v>206856</v>
      </c>
      <c r="FK10" s="76">
        <v>274</v>
      </c>
      <c r="FL10" s="76">
        <v>172</v>
      </c>
      <c r="FM10" s="76">
        <v>102</v>
      </c>
      <c r="FN10" s="76">
        <v>314</v>
      </c>
      <c r="FO10" s="76">
        <v>248</v>
      </c>
      <c r="FP10" s="76">
        <v>66</v>
      </c>
      <c r="FQ10" s="76">
        <v>96</v>
      </c>
      <c r="FR10" s="76">
        <v>83</v>
      </c>
      <c r="FS10" s="76">
        <v>13</v>
      </c>
      <c r="FT10" s="76">
        <v>192</v>
      </c>
      <c r="FU10" s="76">
        <v>14</v>
      </c>
      <c r="FV10" s="76">
        <v>178</v>
      </c>
      <c r="FW10" s="76">
        <v>0</v>
      </c>
      <c r="FX10" s="76">
        <v>0</v>
      </c>
      <c r="FY10" s="76">
        <v>0</v>
      </c>
      <c r="FZ10" s="76">
        <v>0</v>
      </c>
      <c r="GA10" s="76">
        <v>0</v>
      </c>
      <c r="GB10" s="76">
        <v>0</v>
      </c>
      <c r="GC10" s="76">
        <v>876</v>
      </c>
      <c r="GD10" s="76">
        <v>517</v>
      </c>
      <c r="GE10" s="76">
        <v>359</v>
      </c>
      <c r="GF10" s="76">
        <v>2275</v>
      </c>
      <c r="GG10" s="76">
        <v>23</v>
      </c>
      <c r="GH10" s="76">
        <v>0</v>
      </c>
      <c r="GI10" s="76">
        <v>0</v>
      </c>
      <c r="GJ10" s="76">
        <v>0</v>
      </c>
      <c r="GK10" s="76">
        <v>576</v>
      </c>
      <c r="GL10" s="76">
        <v>2874</v>
      </c>
      <c r="GM10" s="76">
        <v>1300</v>
      </c>
      <c r="GN10" s="76">
        <v>570</v>
      </c>
      <c r="GO10" s="76">
        <v>1189</v>
      </c>
      <c r="GP10" s="76">
        <v>178</v>
      </c>
      <c r="GQ10" s="76">
        <v>169</v>
      </c>
      <c r="GR10" s="76">
        <v>1450</v>
      </c>
      <c r="GS10" s="76">
        <v>0</v>
      </c>
      <c r="GT10" s="76">
        <v>0</v>
      </c>
      <c r="GU10" s="76">
        <v>5875</v>
      </c>
      <c r="GV10" s="76">
        <v>0</v>
      </c>
      <c r="GW10" s="76">
        <v>621</v>
      </c>
      <c r="GX10" s="76">
        <v>11352</v>
      </c>
      <c r="GY10" s="76">
        <v>18</v>
      </c>
      <c r="GZ10" s="76">
        <v>380</v>
      </c>
      <c r="HA10" s="76">
        <v>0</v>
      </c>
      <c r="HB10" s="76">
        <v>1834</v>
      </c>
      <c r="HC10" s="76">
        <v>2232</v>
      </c>
      <c r="HD10" s="76">
        <v>0</v>
      </c>
      <c r="HE10" s="76">
        <v>0</v>
      </c>
      <c r="HF10" s="76">
        <v>0</v>
      </c>
      <c r="HG10" s="76">
        <v>6420</v>
      </c>
      <c r="HH10" s="76">
        <v>-350</v>
      </c>
      <c r="HI10" s="76">
        <v>150</v>
      </c>
      <c r="HJ10" s="76">
        <v>0</v>
      </c>
      <c r="HK10" s="76">
        <v>0</v>
      </c>
      <c r="HL10" s="76">
        <v>-42</v>
      </c>
      <c r="HM10" s="76">
        <v>6178</v>
      </c>
      <c r="HN10" s="76">
        <v>4047</v>
      </c>
      <c r="HO10" s="76">
        <v>5711</v>
      </c>
      <c r="HP10" s="76">
        <v>0</v>
      </c>
      <c r="HQ10" s="76">
        <v>127</v>
      </c>
      <c r="HR10" s="76">
        <v>-16</v>
      </c>
      <c r="HS10" s="76">
        <v>-10</v>
      </c>
      <c r="HT10" s="76">
        <v>5688</v>
      </c>
      <c r="HU10" s="76">
        <v>0</v>
      </c>
      <c r="HV10" s="76">
        <v>0</v>
      </c>
      <c r="HW10" s="76">
        <v>0</v>
      </c>
      <c r="HX10" s="76">
        <v>3</v>
      </c>
    </row>
    <row r="11" spans="1:232" x14ac:dyDescent="0.2">
      <c r="A11" s="71" t="s">
        <v>6</v>
      </c>
      <c r="B11" s="71" t="s">
        <v>5</v>
      </c>
      <c r="C11" s="72" t="s">
        <v>200</v>
      </c>
      <c r="D11" s="72">
        <v>12</v>
      </c>
      <c r="E11" s="73">
        <v>50656</v>
      </c>
      <c r="F11" s="73">
        <v>-2781</v>
      </c>
      <c r="G11" s="73">
        <v>-27580</v>
      </c>
      <c r="H11" s="73">
        <v>20295</v>
      </c>
      <c r="I11" s="73">
        <v>1581</v>
      </c>
      <c r="J11" s="73">
        <v>718</v>
      </c>
      <c r="K11" s="73">
        <v>0</v>
      </c>
      <c r="L11" s="73">
        <v>0</v>
      </c>
      <c r="M11" s="73">
        <v>85</v>
      </c>
      <c r="N11" s="73">
        <v>-8351</v>
      </c>
      <c r="O11" s="73">
        <v>0</v>
      </c>
      <c r="P11" s="73">
        <v>0</v>
      </c>
      <c r="Q11" s="73">
        <v>0</v>
      </c>
      <c r="R11" s="73">
        <v>0</v>
      </c>
      <c r="S11" s="73">
        <v>14328</v>
      </c>
      <c r="T11" s="73">
        <v>0</v>
      </c>
      <c r="U11" s="73">
        <v>14328</v>
      </c>
      <c r="V11" s="73">
        <v>0</v>
      </c>
      <c r="W11" s="73">
        <v>-290</v>
      </c>
      <c r="X11" s="73">
        <v>0</v>
      </c>
      <c r="Y11" s="73">
        <v>0</v>
      </c>
      <c r="Z11" s="73">
        <v>14038</v>
      </c>
      <c r="AA11" s="73">
        <v>34140</v>
      </c>
      <c r="AB11" s="73">
        <v>3682</v>
      </c>
      <c r="AC11" s="73">
        <v>37822</v>
      </c>
      <c r="AD11" s="73">
        <v>2213</v>
      </c>
      <c r="AE11" s="73">
        <v>0</v>
      </c>
      <c r="AF11" s="73">
        <v>0</v>
      </c>
      <c r="AG11" s="73">
        <v>864</v>
      </c>
      <c r="AH11" s="73">
        <v>40899</v>
      </c>
      <c r="AI11" s="73">
        <v>3800</v>
      </c>
      <c r="AJ11" s="73">
        <v>4566</v>
      </c>
      <c r="AK11" s="73">
        <v>4594</v>
      </c>
      <c r="AL11" s="73">
        <v>3779</v>
      </c>
      <c r="AM11" s="73">
        <v>479</v>
      </c>
      <c r="AN11" s="73">
        <v>260</v>
      </c>
      <c r="AO11" s="73">
        <v>5463</v>
      </c>
      <c r="AP11" s="73">
        <v>0</v>
      </c>
      <c r="AQ11" s="73">
        <v>420</v>
      </c>
      <c r="AR11" s="73">
        <v>23361</v>
      </c>
      <c r="AS11" s="73">
        <v>17538</v>
      </c>
      <c r="AT11" s="73">
        <v>253</v>
      </c>
      <c r="AU11" s="73">
        <v>449952</v>
      </c>
      <c r="AV11" s="73">
        <v>0</v>
      </c>
      <c r="AW11" s="73">
        <v>7818</v>
      </c>
      <c r="AX11" s="73">
        <v>0</v>
      </c>
      <c r="AY11" s="73">
        <v>0</v>
      </c>
      <c r="AZ11" s="73">
        <v>192</v>
      </c>
      <c r="BA11" s="73">
        <v>0</v>
      </c>
      <c r="BB11" s="73">
        <v>0</v>
      </c>
      <c r="BC11" s="73">
        <v>0</v>
      </c>
      <c r="BD11" s="73">
        <v>0</v>
      </c>
      <c r="BE11" s="73">
        <v>457962</v>
      </c>
      <c r="BF11" s="73">
        <v>898</v>
      </c>
      <c r="BG11" s="73">
        <v>3271</v>
      </c>
      <c r="BH11" s="73">
        <v>25328</v>
      </c>
      <c r="BI11" s="73">
        <v>1233</v>
      </c>
      <c r="BJ11" s="73">
        <v>0</v>
      </c>
      <c r="BK11" s="73">
        <v>30730</v>
      </c>
      <c r="BL11" s="73">
        <v>3669</v>
      </c>
      <c r="BM11" s="73">
        <v>0</v>
      </c>
      <c r="BN11" s="73">
        <v>2231</v>
      </c>
      <c r="BO11" s="73">
        <v>11853</v>
      </c>
      <c r="BP11" s="73">
        <v>17753</v>
      </c>
      <c r="BQ11" s="73">
        <v>12977</v>
      </c>
      <c r="BR11" s="73">
        <v>470939</v>
      </c>
      <c r="BS11" s="73">
        <v>186588</v>
      </c>
      <c r="BT11" s="73">
        <v>0</v>
      </c>
      <c r="BU11" s="73">
        <v>0</v>
      </c>
      <c r="BV11" s="73">
        <v>203022</v>
      </c>
      <c r="BW11" s="73">
        <v>0</v>
      </c>
      <c r="BX11" s="73">
        <v>0</v>
      </c>
      <c r="BY11" s="73">
        <v>5884</v>
      </c>
      <c r="BZ11" s="73">
        <v>395494</v>
      </c>
      <c r="CA11" s="73">
        <v>859</v>
      </c>
      <c r="CB11" s="73">
        <v>0</v>
      </c>
      <c r="CC11" s="73">
        <v>74586</v>
      </c>
      <c r="CD11" s="73">
        <v>74586</v>
      </c>
      <c r="CE11" s="73">
        <v>0</v>
      </c>
      <c r="CF11" s="73">
        <v>0</v>
      </c>
      <c r="CG11" s="73">
        <v>0</v>
      </c>
      <c r="CH11" s="73">
        <v>0</v>
      </c>
      <c r="CI11" s="73">
        <v>74586</v>
      </c>
      <c r="CJ11" s="73">
        <v>3462</v>
      </c>
      <c r="CK11" s="73">
        <v>2781</v>
      </c>
      <c r="CL11" s="73">
        <v>0</v>
      </c>
      <c r="CM11" s="73">
        <v>681</v>
      </c>
      <c r="CN11" s="73">
        <v>0</v>
      </c>
      <c r="CO11" s="73">
        <v>0</v>
      </c>
      <c r="CP11" s="73">
        <v>0</v>
      </c>
      <c r="CQ11" s="73">
        <v>0</v>
      </c>
      <c r="CR11" s="73">
        <v>0</v>
      </c>
      <c r="CS11" s="73">
        <v>0</v>
      </c>
      <c r="CT11" s="73">
        <v>0</v>
      </c>
      <c r="CU11" s="73">
        <v>0</v>
      </c>
      <c r="CV11" s="73">
        <v>0</v>
      </c>
      <c r="CW11" s="73">
        <v>0</v>
      </c>
      <c r="CX11" s="73">
        <v>0</v>
      </c>
      <c r="CY11" s="73">
        <v>0</v>
      </c>
      <c r="CZ11" s="73">
        <v>6295</v>
      </c>
      <c r="DA11" s="73">
        <v>0</v>
      </c>
      <c r="DB11" s="73">
        <v>4219</v>
      </c>
      <c r="DC11" s="73">
        <v>2076</v>
      </c>
      <c r="DD11" s="73">
        <v>9757</v>
      </c>
      <c r="DE11" s="73">
        <v>2781</v>
      </c>
      <c r="DF11" s="73">
        <v>4219</v>
      </c>
      <c r="DG11" s="73">
        <v>2757</v>
      </c>
      <c r="DH11" s="73">
        <v>0</v>
      </c>
      <c r="DI11" s="73">
        <v>0</v>
      </c>
      <c r="DJ11" s="73">
        <v>0</v>
      </c>
      <c r="DK11" s="73">
        <v>0</v>
      </c>
      <c r="DL11" s="73">
        <v>0</v>
      </c>
      <c r="DM11" s="73">
        <v>0</v>
      </c>
      <c r="DN11" s="73">
        <v>0</v>
      </c>
      <c r="DO11" s="73">
        <v>0</v>
      </c>
      <c r="DP11" s="73">
        <v>0</v>
      </c>
      <c r="DQ11" s="73">
        <v>0</v>
      </c>
      <c r="DR11" s="73">
        <v>0</v>
      </c>
      <c r="DS11" s="73">
        <v>0</v>
      </c>
      <c r="DT11" s="73">
        <v>0</v>
      </c>
      <c r="DU11" s="73">
        <v>0</v>
      </c>
      <c r="DV11" s="73">
        <v>0</v>
      </c>
      <c r="DW11" s="73">
        <v>0</v>
      </c>
      <c r="DX11" s="73">
        <v>0</v>
      </c>
      <c r="DY11" s="73">
        <v>0</v>
      </c>
      <c r="DZ11" s="73">
        <v>0</v>
      </c>
      <c r="EA11" s="73">
        <v>0</v>
      </c>
      <c r="EB11" s="73">
        <v>0</v>
      </c>
      <c r="EC11" s="73">
        <v>0</v>
      </c>
      <c r="ED11" s="73">
        <v>0</v>
      </c>
      <c r="EE11" s="73">
        <v>0</v>
      </c>
      <c r="EF11" s="73">
        <v>0</v>
      </c>
      <c r="EG11" s="73">
        <v>0</v>
      </c>
      <c r="EH11" s="73">
        <v>0</v>
      </c>
      <c r="EI11" s="73">
        <v>0</v>
      </c>
      <c r="EJ11" s="73">
        <v>9757</v>
      </c>
      <c r="EK11" s="73">
        <v>2781</v>
      </c>
      <c r="EL11" s="73">
        <v>4219</v>
      </c>
      <c r="EM11" s="73">
        <v>2757</v>
      </c>
      <c r="EN11" s="73">
        <v>975</v>
      </c>
      <c r="EO11" s="73">
        <v>463</v>
      </c>
      <c r="EP11" s="73">
        <v>154</v>
      </c>
      <c r="EQ11" s="73">
        <v>463</v>
      </c>
      <c r="ER11" s="73">
        <v>468396</v>
      </c>
      <c r="ES11" s="73">
        <v>0</v>
      </c>
      <c r="ET11" s="73">
        <v>468396</v>
      </c>
      <c r="EU11" s="73">
        <v>41517</v>
      </c>
      <c r="EV11" s="73">
        <v>-8182</v>
      </c>
      <c r="EW11" s="73">
        <v>0</v>
      </c>
      <c r="EX11" s="73">
        <v>0</v>
      </c>
      <c r="EY11" s="73">
        <v>479</v>
      </c>
      <c r="EZ11" s="73">
        <v>502210</v>
      </c>
      <c r="FA11" s="73">
        <v>48536</v>
      </c>
      <c r="FB11" s="73">
        <v>5463</v>
      </c>
      <c r="FC11" s="73">
        <v>0</v>
      </c>
      <c r="FD11" s="73">
        <v>0</v>
      </c>
      <c r="FE11" s="73">
        <v>-1738</v>
      </c>
      <c r="FF11" s="73">
        <v>0</v>
      </c>
      <c r="FG11" s="73">
        <v>-3</v>
      </c>
      <c r="FH11" s="73">
        <v>52258</v>
      </c>
      <c r="FI11" s="73">
        <v>449952</v>
      </c>
      <c r="FJ11" s="73">
        <v>419860</v>
      </c>
      <c r="FK11" s="73">
        <v>199</v>
      </c>
      <c r="FL11" s="73">
        <v>171</v>
      </c>
      <c r="FM11" s="73">
        <v>28</v>
      </c>
      <c r="FN11" s="73">
        <v>0</v>
      </c>
      <c r="FO11" s="73">
        <v>0</v>
      </c>
      <c r="FP11" s="73">
        <v>0</v>
      </c>
      <c r="FQ11" s="73">
        <v>100</v>
      </c>
      <c r="FR11" s="73">
        <v>96</v>
      </c>
      <c r="FS11" s="73">
        <v>4</v>
      </c>
      <c r="FT11" s="73">
        <v>3883</v>
      </c>
      <c r="FU11" s="73">
        <v>2362</v>
      </c>
      <c r="FV11" s="73">
        <v>1521</v>
      </c>
      <c r="FW11" s="73">
        <v>0</v>
      </c>
      <c r="FX11" s="73">
        <v>0</v>
      </c>
      <c r="FY11" s="73">
        <v>0</v>
      </c>
      <c r="FZ11" s="73">
        <v>224</v>
      </c>
      <c r="GA11" s="73">
        <v>196</v>
      </c>
      <c r="GB11" s="73">
        <v>28</v>
      </c>
      <c r="GC11" s="73">
        <v>4406</v>
      </c>
      <c r="GD11" s="73">
        <v>2825</v>
      </c>
      <c r="GE11" s="73">
        <v>1581</v>
      </c>
      <c r="GF11" s="73">
        <v>0</v>
      </c>
      <c r="GG11" s="73">
        <v>0</v>
      </c>
      <c r="GH11" s="73">
        <v>0</v>
      </c>
      <c r="GI11" s="73">
        <v>0</v>
      </c>
      <c r="GJ11" s="73">
        <v>0</v>
      </c>
      <c r="GK11" s="73">
        <v>0</v>
      </c>
      <c r="GL11" s="73">
        <v>0</v>
      </c>
      <c r="GM11" s="73">
        <v>952</v>
      </c>
      <c r="GN11" s="73">
        <v>875</v>
      </c>
      <c r="GO11" s="73">
        <v>322</v>
      </c>
      <c r="GP11" s="73">
        <v>706</v>
      </c>
      <c r="GQ11" s="73">
        <v>0</v>
      </c>
      <c r="GR11" s="73">
        <v>6885</v>
      </c>
      <c r="GS11" s="73">
        <v>0</v>
      </c>
      <c r="GT11" s="73">
        <v>0</v>
      </c>
      <c r="GU11" s="73">
        <v>0</v>
      </c>
      <c r="GV11" s="73">
        <v>0</v>
      </c>
      <c r="GW11" s="73">
        <v>2113</v>
      </c>
      <c r="GX11" s="73">
        <v>11853</v>
      </c>
      <c r="GY11" s="73">
        <v>1236</v>
      </c>
      <c r="GZ11" s="73">
        <v>242</v>
      </c>
      <c r="HA11" s="73">
        <v>0</v>
      </c>
      <c r="HB11" s="73">
        <v>4406</v>
      </c>
      <c r="HC11" s="73">
        <v>5884</v>
      </c>
      <c r="HD11" s="73">
        <v>0</v>
      </c>
      <c r="HE11" s="73">
        <v>0</v>
      </c>
      <c r="HF11" s="73">
        <v>0</v>
      </c>
      <c r="HG11" s="73">
        <v>8846</v>
      </c>
      <c r="HH11" s="73">
        <v>131</v>
      </c>
      <c r="HI11" s="73">
        <v>124</v>
      </c>
      <c r="HJ11" s="73">
        <v>2</v>
      </c>
      <c r="HK11" s="73">
        <v>0</v>
      </c>
      <c r="HL11" s="73">
        <v>-752</v>
      </c>
      <c r="HM11" s="73">
        <v>8351</v>
      </c>
      <c r="HN11" s="73">
        <v>2230</v>
      </c>
      <c r="HO11" s="73">
        <v>6205</v>
      </c>
      <c r="HP11" s="73">
        <v>0</v>
      </c>
      <c r="HQ11" s="73">
        <v>235</v>
      </c>
      <c r="HR11" s="73">
        <v>-123</v>
      </c>
      <c r="HS11" s="73">
        <v>91</v>
      </c>
      <c r="HT11" s="73">
        <v>6285</v>
      </c>
      <c r="HU11" s="73">
        <v>0</v>
      </c>
      <c r="HV11" s="73">
        <v>0</v>
      </c>
      <c r="HW11" s="73">
        <v>0</v>
      </c>
      <c r="HX11" s="73">
        <v>0</v>
      </c>
    </row>
    <row r="12" spans="1:232" x14ac:dyDescent="0.2">
      <c r="A12" s="71" t="s">
        <v>8</v>
      </c>
      <c r="B12" s="71" t="s">
        <v>7</v>
      </c>
      <c r="C12" s="72" t="s">
        <v>200</v>
      </c>
      <c r="D12" s="72">
        <v>12</v>
      </c>
      <c r="E12" s="73">
        <v>32876</v>
      </c>
      <c r="F12" s="73">
        <v>0</v>
      </c>
      <c r="G12" s="73">
        <v>-31137</v>
      </c>
      <c r="H12" s="73">
        <v>1739</v>
      </c>
      <c r="I12" s="73">
        <v>115</v>
      </c>
      <c r="J12" s="73">
        <v>0</v>
      </c>
      <c r="K12" s="73">
        <v>0</v>
      </c>
      <c r="L12" s="73">
        <v>0</v>
      </c>
      <c r="M12" s="73">
        <v>62</v>
      </c>
      <c r="N12" s="73">
        <v>-524</v>
      </c>
      <c r="O12" s="73">
        <v>0</v>
      </c>
      <c r="P12" s="73">
        <v>0</v>
      </c>
      <c r="Q12" s="73">
        <v>0</v>
      </c>
      <c r="R12" s="73">
        <v>0</v>
      </c>
      <c r="S12" s="73">
        <v>1392</v>
      </c>
      <c r="T12" s="73">
        <v>0</v>
      </c>
      <c r="U12" s="73">
        <v>1392</v>
      </c>
      <c r="V12" s="73">
        <v>0</v>
      </c>
      <c r="W12" s="73">
        <v>0</v>
      </c>
      <c r="X12" s="73">
        <v>0</v>
      </c>
      <c r="Y12" s="73">
        <v>0</v>
      </c>
      <c r="Z12" s="73">
        <v>1392</v>
      </c>
      <c r="AA12" s="73">
        <v>8153</v>
      </c>
      <c r="AB12" s="73">
        <v>5944</v>
      </c>
      <c r="AC12" s="73">
        <v>14097</v>
      </c>
      <c r="AD12" s="73">
        <v>1643</v>
      </c>
      <c r="AE12" s="73">
        <v>0</v>
      </c>
      <c r="AF12" s="73">
        <v>0</v>
      </c>
      <c r="AG12" s="73">
        <v>2179</v>
      </c>
      <c r="AH12" s="73">
        <v>17919</v>
      </c>
      <c r="AI12" s="73">
        <v>2936</v>
      </c>
      <c r="AJ12" s="73">
        <v>4121</v>
      </c>
      <c r="AK12" s="73">
        <v>2113</v>
      </c>
      <c r="AL12" s="73">
        <v>1805</v>
      </c>
      <c r="AM12" s="73">
        <v>800</v>
      </c>
      <c r="AN12" s="73">
        <v>125</v>
      </c>
      <c r="AO12" s="73">
        <v>2319</v>
      </c>
      <c r="AP12" s="73">
        <v>0</v>
      </c>
      <c r="AQ12" s="73">
        <v>1675</v>
      </c>
      <c r="AR12" s="73">
        <v>15894</v>
      </c>
      <c r="AS12" s="73">
        <v>2025</v>
      </c>
      <c r="AT12" s="73">
        <v>1209</v>
      </c>
      <c r="AU12" s="73">
        <v>100750</v>
      </c>
      <c r="AV12" s="73">
        <v>0</v>
      </c>
      <c r="AW12" s="73">
        <v>3142</v>
      </c>
      <c r="AX12" s="73">
        <v>0</v>
      </c>
      <c r="AY12" s="73">
        <v>0</v>
      </c>
      <c r="AZ12" s="73">
        <v>0</v>
      </c>
      <c r="BA12" s="73">
        <v>0</v>
      </c>
      <c r="BB12" s="73">
        <v>0</v>
      </c>
      <c r="BC12" s="73">
        <v>0</v>
      </c>
      <c r="BD12" s="73">
        <v>0</v>
      </c>
      <c r="BE12" s="73">
        <v>103892</v>
      </c>
      <c r="BF12" s="73">
        <v>0</v>
      </c>
      <c r="BG12" s="73">
        <v>2198</v>
      </c>
      <c r="BH12" s="73">
        <v>4000</v>
      </c>
      <c r="BI12" s="73">
        <v>7595</v>
      </c>
      <c r="BJ12" s="73">
        <v>1076</v>
      </c>
      <c r="BK12" s="73">
        <v>14869</v>
      </c>
      <c r="BL12" s="73">
        <v>682</v>
      </c>
      <c r="BM12" s="73">
        <v>0</v>
      </c>
      <c r="BN12" s="73">
        <v>1643</v>
      </c>
      <c r="BO12" s="73">
        <v>9405</v>
      </c>
      <c r="BP12" s="73">
        <v>11730</v>
      </c>
      <c r="BQ12" s="73">
        <v>3139</v>
      </c>
      <c r="BR12" s="73">
        <v>107031</v>
      </c>
      <c r="BS12" s="73">
        <v>11001</v>
      </c>
      <c r="BT12" s="73">
        <v>0</v>
      </c>
      <c r="BU12" s="73">
        <v>0</v>
      </c>
      <c r="BV12" s="73">
        <v>69258</v>
      </c>
      <c r="BW12" s="73">
        <v>0</v>
      </c>
      <c r="BX12" s="73">
        <v>0</v>
      </c>
      <c r="BY12" s="73">
        <v>5181</v>
      </c>
      <c r="BZ12" s="73">
        <v>85440</v>
      </c>
      <c r="CA12" s="73">
        <v>0</v>
      </c>
      <c r="CB12" s="73">
        <v>0</v>
      </c>
      <c r="CC12" s="73">
        <v>21591</v>
      </c>
      <c r="CD12" s="73">
        <v>21591</v>
      </c>
      <c r="CE12" s="73">
        <v>0</v>
      </c>
      <c r="CF12" s="73">
        <v>0</v>
      </c>
      <c r="CG12" s="73">
        <v>0</v>
      </c>
      <c r="CH12" s="73">
        <v>0</v>
      </c>
      <c r="CI12" s="73">
        <v>21591</v>
      </c>
      <c r="CJ12" s="73">
        <v>3110</v>
      </c>
      <c r="CK12" s="73">
        <v>0</v>
      </c>
      <c r="CL12" s="73">
        <v>3154</v>
      </c>
      <c r="CM12" s="73">
        <v>-44</v>
      </c>
      <c r="CN12" s="73">
        <v>0</v>
      </c>
      <c r="CO12" s="73">
        <v>0</v>
      </c>
      <c r="CP12" s="73">
        <v>0</v>
      </c>
      <c r="CQ12" s="73">
        <v>0</v>
      </c>
      <c r="CR12" s="73">
        <v>0</v>
      </c>
      <c r="CS12" s="73">
        <v>0</v>
      </c>
      <c r="CT12" s="73">
        <v>219</v>
      </c>
      <c r="CU12" s="73">
        <v>-219</v>
      </c>
      <c r="CV12" s="73">
        <v>0</v>
      </c>
      <c r="CW12" s="73">
        <v>0</v>
      </c>
      <c r="CX12" s="73">
        <v>0</v>
      </c>
      <c r="CY12" s="73">
        <v>0</v>
      </c>
      <c r="CZ12" s="73">
        <v>0</v>
      </c>
      <c r="DA12" s="73">
        <v>0</v>
      </c>
      <c r="DB12" s="73">
        <v>0</v>
      </c>
      <c r="DC12" s="73">
        <v>0</v>
      </c>
      <c r="DD12" s="73">
        <v>3110</v>
      </c>
      <c r="DE12" s="73">
        <v>0</v>
      </c>
      <c r="DF12" s="73">
        <v>3373</v>
      </c>
      <c r="DG12" s="73">
        <v>-263</v>
      </c>
      <c r="DH12" s="73">
        <v>0</v>
      </c>
      <c r="DI12" s="73">
        <v>0</v>
      </c>
      <c r="DJ12" s="73">
        <v>0</v>
      </c>
      <c r="DK12" s="73">
        <v>0</v>
      </c>
      <c r="DL12" s="73">
        <v>0</v>
      </c>
      <c r="DM12" s="73">
        <v>0</v>
      </c>
      <c r="DN12" s="73">
        <v>0</v>
      </c>
      <c r="DO12" s="73">
        <v>0</v>
      </c>
      <c r="DP12" s="73">
        <v>0</v>
      </c>
      <c r="DQ12" s="73">
        <v>0</v>
      </c>
      <c r="DR12" s="73">
        <v>0</v>
      </c>
      <c r="DS12" s="73">
        <v>0</v>
      </c>
      <c r="DT12" s="73">
        <v>0</v>
      </c>
      <c r="DU12" s="73">
        <v>0</v>
      </c>
      <c r="DV12" s="73">
        <v>0</v>
      </c>
      <c r="DW12" s="73">
        <v>0</v>
      </c>
      <c r="DX12" s="73">
        <v>9474</v>
      </c>
      <c r="DY12" s="73">
        <v>0</v>
      </c>
      <c r="DZ12" s="73">
        <v>9678</v>
      </c>
      <c r="EA12" s="73">
        <v>-204</v>
      </c>
      <c r="EB12" s="73">
        <v>2373</v>
      </c>
      <c r="EC12" s="73">
        <v>0</v>
      </c>
      <c r="ED12" s="73">
        <v>2192</v>
      </c>
      <c r="EE12" s="73">
        <v>181</v>
      </c>
      <c r="EF12" s="73">
        <v>11847</v>
      </c>
      <c r="EG12" s="73">
        <v>0</v>
      </c>
      <c r="EH12" s="73">
        <v>11870</v>
      </c>
      <c r="EI12" s="73">
        <v>-23</v>
      </c>
      <c r="EJ12" s="73">
        <v>14957</v>
      </c>
      <c r="EK12" s="73">
        <v>0</v>
      </c>
      <c r="EL12" s="73">
        <v>15243</v>
      </c>
      <c r="EM12" s="73">
        <v>-286</v>
      </c>
      <c r="EN12" s="73">
        <v>932</v>
      </c>
      <c r="EO12" s="73">
        <v>214</v>
      </c>
      <c r="EP12" s="73">
        <v>425</v>
      </c>
      <c r="EQ12" s="73">
        <v>203</v>
      </c>
      <c r="ER12" s="73">
        <v>118803</v>
      </c>
      <c r="ES12" s="73">
        <v>0</v>
      </c>
      <c r="ET12" s="73">
        <v>118803</v>
      </c>
      <c r="EU12" s="73">
        <v>5305</v>
      </c>
      <c r="EV12" s="73">
        <v>-1326</v>
      </c>
      <c r="EW12" s="73">
        <v>0</v>
      </c>
      <c r="EX12" s="73">
        <v>0</v>
      </c>
      <c r="EY12" s="73">
        <v>-31</v>
      </c>
      <c r="EZ12" s="73">
        <v>122751</v>
      </c>
      <c r="FA12" s="73">
        <v>20275</v>
      </c>
      <c r="FB12" s="73">
        <v>2111</v>
      </c>
      <c r="FC12" s="73">
        <v>0</v>
      </c>
      <c r="FD12" s="73">
        <v>0</v>
      </c>
      <c r="FE12" s="73">
        <v>-353</v>
      </c>
      <c r="FF12" s="73">
        <v>0</v>
      </c>
      <c r="FG12" s="73">
        <v>-32</v>
      </c>
      <c r="FH12" s="73">
        <v>22001</v>
      </c>
      <c r="FI12" s="73">
        <v>100750</v>
      </c>
      <c r="FJ12" s="73">
        <v>98528</v>
      </c>
      <c r="FK12" s="73">
        <v>120</v>
      </c>
      <c r="FL12" s="73">
        <v>104</v>
      </c>
      <c r="FM12" s="73">
        <v>16</v>
      </c>
      <c r="FN12" s="73">
        <v>0</v>
      </c>
      <c r="FO12" s="73">
        <v>0</v>
      </c>
      <c r="FP12" s="73">
        <v>0</v>
      </c>
      <c r="FQ12" s="73">
        <v>0</v>
      </c>
      <c r="FR12" s="73">
        <v>0</v>
      </c>
      <c r="FS12" s="73">
        <v>0</v>
      </c>
      <c r="FT12" s="73">
        <v>938</v>
      </c>
      <c r="FU12" s="73">
        <v>839</v>
      </c>
      <c r="FV12" s="73">
        <v>99</v>
      </c>
      <c r="FW12" s="73">
        <v>0</v>
      </c>
      <c r="FX12" s="73">
        <v>0</v>
      </c>
      <c r="FY12" s="73">
        <v>0</v>
      </c>
      <c r="FZ12" s="73">
        <v>0</v>
      </c>
      <c r="GA12" s="73">
        <v>0</v>
      </c>
      <c r="GB12" s="73">
        <v>0</v>
      </c>
      <c r="GC12" s="73">
        <v>1058</v>
      </c>
      <c r="GD12" s="73">
        <v>943</v>
      </c>
      <c r="GE12" s="73">
        <v>115</v>
      </c>
      <c r="GF12" s="73">
        <v>0</v>
      </c>
      <c r="GG12" s="73">
        <v>0</v>
      </c>
      <c r="GH12" s="73">
        <v>448</v>
      </c>
      <c r="GI12" s="73">
        <v>0</v>
      </c>
      <c r="GJ12" s="73">
        <v>0</v>
      </c>
      <c r="GK12" s="73">
        <v>628</v>
      </c>
      <c r="GL12" s="73">
        <v>1076</v>
      </c>
      <c r="GM12" s="73">
        <v>493</v>
      </c>
      <c r="GN12" s="73">
        <v>591</v>
      </c>
      <c r="GO12" s="73">
        <v>0</v>
      </c>
      <c r="GP12" s="73">
        <v>388</v>
      </c>
      <c r="GQ12" s="73">
        <v>0</v>
      </c>
      <c r="GR12" s="73">
        <v>3725</v>
      </c>
      <c r="GS12" s="73">
        <v>0</v>
      </c>
      <c r="GT12" s="73">
        <v>0</v>
      </c>
      <c r="GU12" s="73">
        <v>610</v>
      </c>
      <c r="GV12" s="73">
        <v>0</v>
      </c>
      <c r="GW12" s="73">
        <v>3598</v>
      </c>
      <c r="GX12" s="73">
        <v>9405</v>
      </c>
      <c r="GY12" s="73">
        <v>1193</v>
      </c>
      <c r="GZ12" s="73">
        <v>0</v>
      </c>
      <c r="HA12" s="73">
        <v>3988</v>
      </c>
      <c r="HB12" s="73">
        <v>0</v>
      </c>
      <c r="HC12" s="73">
        <v>5181</v>
      </c>
      <c r="HD12" s="73">
        <v>0</v>
      </c>
      <c r="HE12" s="73">
        <v>0</v>
      </c>
      <c r="HF12" s="73">
        <v>0</v>
      </c>
      <c r="HG12" s="73">
        <v>428</v>
      </c>
      <c r="HH12" s="73">
        <v>0</v>
      </c>
      <c r="HI12" s="73">
        <v>96</v>
      </c>
      <c r="HJ12" s="73">
        <v>0</v>
      </c>
      <c r="HK12" s="73">
        <v>0</v>
      </c>
      <c r="HL12" s="73">
        <v>0</v>
      </c>
      <c r="HM12" s="73">
        <v>524</v>
      </c>
      <c r="HN12" s="73">
        <v>718</v>
      </c>
      <c r="HO12" s="73">
        <v>3003</v>
      </c>
      <c r="HP12" s="73">
        <v>0</v>
      </c>
      <c r="HQ12" s="73">
        <v>34</v>
      </c>
      <c r="HR12" s="73">
        <v>-15</v>
      </c>
      <c r="HS12" s="73">
        <v>0</v>
      </c>
      <c r="HT12" s="73">
        <v>2287</v>
      </c>
      <c r="HU12" s="73">
        <v>0</v>
      </c>
      <c r="HV12" s="73">
        <v>0</v>
      </c>
      <c r="HW12" s="73">
        <v>0</v>
      </c>
      <c r="HX12" s="73">
        <v>0</v>
      </c>
    </row>
    <row r="13" spans="1:232" x14ac:dyDescent="0.2">
      <c r="A13" s="74" t="s">
        <v>222</v>
      </c>
      <c r="B13" s="74" t="s">
        <v>223</v>
      </c>
      <c r="C13" s="75" t="s">
        <v>200</v>
      </c>
      <c r="D13" s="75">
        <v>12</v>
      </c>
      <c r="E13" s="76">
        <v>370349</v>
      </c>
      <c r="F13" s="76">
        <v>-16503</v>
      </c>
      <c r="G13" s="76">
        <v>-206827</v>
      </c>
      <c r="H13" s="76">
        <v>147019</v>
      </c>
      <c r="I13" s="76">
        <v>13067</v>
      </c>
      <c r="J13" s="76">
        <v>20003</v>
      </c>
      <c r="K13" s="76">
        <v>0</v>
      </c>
      <c r="L13" s="76">
        <v>0</v>
      </c>
      <c r="M13" s="76">
        <v>1324</v>
      </c>
      <c r="N13" s="76">
        <v>-59029</v>
      </c>
      <c r="O13" s="76">
        <v>-29</v>
      </c>
      <c r="P13" s="76">
        <v>-60478</v>
      </c>
      <c r="Q13" s="76">
        <v>0</v>
      </c>
      <c r="R13" s="76">
        <v>0</v>
      </c>
      <c r="S13" s="76">
        <v>61877</v>
      </c>
      <c r="T13" s="76">
        <v>-2</v>
      </c>
      <c r="U13" s="76">
        <v>61875</v>
      </c>
      <c r="V13" s="76">
        <v>0</v>
      </c>
      <c r="W13" s="76">
        <v>-2449</v>
      </c>
      <c r="X13" s="76">
        <v>0</v>
      </c>
      <c r="Y13" s="76">
        <v>0</v>
      </c>
      <c r="Z13" s="76">
        <v>59426</v>
      </c>
      <c r="AA13" s="76">
        <v>280305</v>
      </c>
      <c r="AB13" s="76">
        <v>17504</v>
      </c>
      <c r="AC13" s="76">
        <v>297809</v>
      </c>
      <c r="AD13" s="76">
        <v>9834</v>
      </c>
      <c r="AE13" s="76">
        <v>0</v>
      </c>
      <c r="AF13" s="76">
        <v>0</v>
      </c>
      <c r="AG13" s="76">
        <v>16</v>
      </c>
      <c r="AH13" s="76">
        <v>307659</v>
      </c>
      <c r="AI13" s="76">
        <v>35486</v>
      </c>
      <c r="AJ13" s="76">
        <v>19147</v>
      </c>
      <c r="AK13" s="76">
        <v>39955</v>
      </c>
      <c r="AL13" s="76">
        <v>33489</v>
      </c>
      <c r="AM13" s="76">
        <v>0</v>
      </c>
      <c r="AN13" s="76">
        <v>2298</v>
      </c>
      <c r="AO13" s="76">
        <v>40670</v>
      </c>
      <c r="AP13" s="76">
        <v>0</v>
      </c>
      <c r="AQ13" s="76">
        <v>341</v>
      </c>
      <c r="AR13" s="76">
        <v>171386</v>
      </c>
      <c r="AS13" s="76">
        <v>136273</v>
      </c>
      <c r="AT13" s="76">
        <v>5034</v>
      </c>
      <c r="AU13" s="76">
        <v>2902019</v>
      </c>
      <c r="AV13" s="76">
        <v>0</v>
      </c>
      <c r="AW13" s="76">
        <v>14979</v>
      </c>
      <c r="AX13" s="76">
        <v>78</v>
      </c>
      <c r="AY13" s="76">
        <v>0</v>
      </c>
      <c r="AZ13" s="76">
        <v>57637</v>
      </c>
      <c r="BA13" s="76">
        <v>46292</v>
      </c>
      <c r="BB13" s="76">
        <v>0</v>
      </c>
      <c r="BC13" s="76">
        <v>63354</v>
      </c>
      <c r="BD13" s="76">
        <v>2063</v>
      </c>
      <c r="BE13" s="76">
        <v>3086422</v>
      </c>
      <c r="BF13" s="76">
        <v>22856</v>
      </c>
      <c r="BG13" s="76">
        <v>17942</v>
      </c>
      <c r="BH13" s="76">
        <v>53689</v>
      </c>
      <c r="BI13" s="76">
        <v>0</v>
      </c>
      <c r="BJ13" s="76">
        <v>25745</v>
      </c>
      <c r="BK13" s="76">
        <v>120232</v>
      </c>
      <c r="BL13" s="76">
        <v>68288</v>
      </c>
      <c r="BM13" s="76">
        <v>0</v>
      </c>
      <c r="BN13" s="76">
        <v>9873</v>
      </c>
      <c r="BO13" s="76">
        <v>58054</v>
      </c>
      <c r="BP13" s="76">
        <v>136215</v>
      </c>
      <c r="BQ13" s="76">
        <v>-15983</v>
      </c>
      <c r="BR13" s="76">
        <v>3070439</v>
      </c>
      <c r="BS13" s="76">
        <v>46145</v>
      </c>
      <c r="BT13" s="76">
        <v>1133288</v>
      </c>
      <c r="BU13" s="76">
        <v>5307</v>
      </c>
      <c r="BV13" s="76">
        <v>876843</v>
      </c>
      <c r="BW13" s="76">
        <v>0</v>
      </c>
      <c r="BX13" s="76">
        <v>125504</v>
      </c>
      <c r="BY13" s="76">
        <v>21743</v>
      </c>
      <c r="BZ13" s="76">
        <v>2208830</v>
      </c>
      <c r="CA13" s="76">
        <v>37487</v>
      </c>
      <c r="CB13" s="76">
        <v>3587</v>
      </c>
      <c r="CC13" s="76">
        <v>820535</v>
      </c>
      <c r="CD13" s="76">
        <v>820535</v>
      </c>
      <c r="CE13" s="76">
        <v>0</v>
      </c>
      <c r="CF13" s="76">
        <v>0</v>
      </c>
      <c r="CG13" s="76">
        <v>0</v>
      </c>
      <c r="CH13" s="76">
        <v>0</v>
      </c>
      <c r="CI13" s="76">
        <v>820535</v>
      </c>
      <c r="CJ13" s="76">
        <v>27975</v>
      </c>
      <c r="CK13" s="76">
        <v>15875</v>
      </c>
      <c r="CL13" s="76">
        <v>137</v>
      </c>
      <c r="CM13" s="76">
        <v>11963</v>
      </c>
      <c r="CN13" s="76">
        <v>3446</v>
      </c>
      <c r="CO13" s="76">
        <v>0</v>
      </c>
      <c r="CP13" s="76">
        <v>4005</v>
      </c>
      <c r="CQ13" s="76">
        <v>-559</v>
      </c>
      <c r="CR13" s="76">
        <v>0</v>
      </c>
      <c r="CS13" s="76">
        <v>0</v>
      </c>
      <c r="CT13" s="76">
        <v>4329</v>
      </c>
      <c r="CU13" s="76">
        <v>-4329</v>
      </c>
      <c r="CV13" s="76">
        <v>0</v>
      </c>
      <c r="CW13" s="76">
        <v>0</v>
      </c>
      <c r="CX13" s="76">
        <v>3348</v>
      </c>
      <c r="CY13" s="76">
        <v>-3348</v>
      </c>
      <c r="CZ13" s="76">
        <v>2549</v>
      </c>
      <c r="DA13" s="76">
        <v>0</v>
      </c>
      <c r="DB13" s="76">
        <v>2533</v>
      </c>
      <c r="DC13" s="76">
        <v>16</v>
      </c>
      <c r="DD13" s="76">
        <v>33970</v>
      </c>
      <c r="DE13" s="76">
        <v>15875</v>
      </c>
      <c r="DF13" s="76">
        <v>14352</v>
      </c>
      <c r="DG13" s="76">
        <v>3743</v>
      </c>
      <c r="DH13" s="76">
        <v>661</v>
      </c>
      <c r="DI13" s="76">
        <v>628</v>
      </c>
      <c r="DJ13" s="76">
        <v>3</v>
      </c>
      <c r="DK13" s="76">
        <v>30</v>
      </c>
      <c r="DL13" s="76">
        <v>0</v>
      </c>
      <c r="DM13" s="76">
        <v>0</v>
      </c>
      <c r="DN13" s="76">
        <v>0</v>
      </c>
      <c r="DO13" s="76">
        <v>0</v>
      </c>
      <c r="DP13" s="76">
        <v>0</v>
      </c>
      <c r="DQ13" s="76">
        <v>0</v>
      </c>
      <c r="DR13" s="76">
        <v>0</v>
      </c>
      <c r="DS13" s="76">
        <v>0</v>
      </c>
      <c r="DT13" s="76">
        <v>1228</v>
      </c>
      <c r="DU13" s="76">
        <v>0</v>
      </c>
      <c r="DV13" s="76">
        <v>520</v>
      </c>
      <c r="DW13" s="76">
        <v>708</v>
      </c>
      <c r="DX13" s="76">
        <v>0</v>
      </c>
      <c r="DY13" s="76">
        <v>0</v>
      </c>
      <c r="DZ13" s="76">
        <v>0</v>
      </c>
      <c r="EA13" s="76">
        <v>0</v>
      </c>
      <c r="EB13" s="76">
        <v>26831</v>
      </c>
      <c r="EC13" s="76">
        <v>0</v>
      </c>
      <c r="ED13" s="76">
        <v>20566</v>
      </c>
      <c r="EE13" s="76">
        <v>6265</v>
      </c>
      <c r="EF13" s="76">
        <v>28720</v>
      </c>
      <c r="EG13" s="76">
        <v>628</v>
      </c>
      <c r="EH13" s="76">
        <v>21089</v>
      </c>
      <c r="EI13" s="76">
        <v>7003</v>
      </c>
      <c r="EJ13" s="76">
        <v>62690</v>
      </c>
      <c r="EK13" s="76">
        <v>16503</v>
      </c>
      <c r="EL13" s="76">
        <v>35441</v>
      </c>
      <c r="EM13" s="76">
        <v>10746</v>
      </c>
      <c r="EN13" s="76">
        <v>11521</v>
      </c>
      <c r="EO13" s="76">
        <v>4407</v>
      </c>
      <c r="EP13" s="76">
        <v>2382</v>
      </c>
      <c r="EQ13" s="76">
        <v>4407</v>
      </c>
      <c r="ER13" s="76">
        <v>3183189</v>
      </c>
      <c r="ES13" s="76">
        <v>0</v>
      </c>
      <c r="ET13" s="76">
        <v>3183189</v>
      </c>
      <c r="EU13" s="76">
        <v>138695</v>
      </c>
      <c r="EV13" s="76">
        <v>-19278</v>
      </c>
      <c r="EW13" s="76">
        <v>0</v>
      </c>
      <c r="EX13" s="76">
        <v>539</v>
      </c>
      <c r="EY13" s="76">
        <v>-6135</v>
      </c>
      <c r="EZ13" s="76">
        <v>3297010</v>
      </c>
      <c r="FA13" s="76">
        <v>360871</v>
      </c>
      <c r="FB13" s="76">
        <v>40753</v>
      </c>
      <c r="FC13" s="76">
        <v>0</v>
      </c>
      <c r="FD13" s="76">
        <v>0</v>
      </c>
      <c r="FE13" s="76">
        <v>-780</v>
      </c>
      <c r="FF13" s="76">
        <v>67</v>
      </c>
      <c r="FG13" s="76">
        <v>-5920</v>
      </c>
      <c r="FH13" s="76">
        <v>394991</v>
      </c>
      <c r="FI13" s="76">
        <v>2902019</v>
      </c>
      <c r="FJ13" s="76">
        <v>2822318</v>
      </c>
      <c r="FK13" s="76">
        <v>20951</v>
      </c>
      <c r="FL13" s="76">
        <v>11368</v>
      </c>
      <c r="FM13" s="76">
        <v>9583</v>
      </c>
      <c r="FN13" s="76">
        <v>3613</v>
      </c>
      <c r="FO13" s="76">
        <v>3013</v>
      </c>
      <c r="FP13" s="76">
        <v>600</v>
      </c>
      <c r="FQ13" s="76">
        <v>597</v>
      </c>
      <c r="FR13" s="76">
        <v>609</v>
      </c>
      <c r="FS13" s="76">
        <v>-12</v>
      </c>
      <c r="FT13" s="76">
        <v>4167</v>
      </c>
      <c r="FU13" s="76">
        <v>2137</v>
      </c>
      <c r="FV13" s="76">
        <v>2030</v>
      </c>
      <c r="FW13" s="76">
        <v>0</v>
      </c>
      <c r="FX13" s="76">
        <v>0</v>
      </c>
      <c r="FY13" s="76">
        <v>0</v>
      </c>
      <c r="FZ13" s="76">
        <v>1939</v>
      </c>
      <c r="GA13" s="76">
        <v>1073</v>
      </c>
      <c r="GB13" s="76">
        <v>866</v>
      </c>
      <c r="GC13" s="76">
        <v>31267</v>
      </c>
      <c r="GD13" s="76">
        <v>18200</v>
      </c>
      <c r="GE13" s="76">
        <v>13067</v>
      </c>
      <c r="GF13" s="76">
        <v>25745</v>
      </c>
      <c r="GG13" s="76">
        <v>0</v>
      </c>
      <c r="GH13" s="76">
        <v>0</v>
      </c>
      <c r="GI13" s="76">
        <v>0</v>
      </c>
      <c r="GJ13" s="76">
        <v>0</v>
      </c>
      <c r="GK13" s="76">
        <v>0</v>
      </c>
      <c r="GL13" s="76">
        <v>25745</v>
      </c>
      <c r="GM13" s="76">
        <v>1767</v>
      </c>
      <c r="GN13" s="76">
        <v>10435</v>
      </c>
      <c r="GO13" s="76">
        <v>24583</v>
      </c>
      <c r="GP13" s="76">
        <v>2879</v>
      </c>
      <c r="GQ13" s="76">
        <v>1202</v>
      </c>
      <c r="GR13" s="76">
        <v>12014</v>
      </c>
      <c r="GS13" s="76">
        <v>89</v>
      </c>
      <c r="GT13" s="76">
        <v>0</v>
      </c>
      <c r="GU13" s="76">
        <v>0</v>
      </c>
      <c r="GV13" s="76">
        <v>1227</v>
      </c>
      <c r="GW13" s="76">
        <v>3858</v>
      </c>
      <c r="GX13" s="76">
        <v>58054</v>
      </c>
      <c r="GY13" s="76">
        <v>5453</v>
      </c>
      <c r="GZ13" s="76">
        <v>922</v>
      </c>
      <c r="HA13" s="76">
        <v>15368</v>
      </c>
      <c r="HB13" s="76">
        <v>0</v>
      </c>
      <c r="HC13" s="76">
        <v>21743</v>
      </c>
      <c r="HD13" s="76">
        <v>0</v>
      </c>
      <c r="HE13" s="76">
        <v>3587</v>
      </c>
      <c r="HF13" s="76">
        <v>3587</v>
      </c>
      <c r="HG13" s="76">
        <v>59238</v>
      </c>
      <c r="HH13" s="76">
        <v>2760</v>
      </c>
      <c r="HI13" s="76">
        <v>1437</v>
      </c>
      <c r="HJ13" s="76">
        <v>29</v>
      </c>
      <c r="HK13" s="76">
        <v>218</v>
      </c>
      <c r="HL13" s="76">
        <v>-4653</v>
      </c>
      <c r="HM13" s="76">
        <v>59029</v>
      </c>
      <c r="HN13" s="76">
        <v>35349</v>
      </c>
      <c r="HO13" s="76">
        <v>42018</v>
      </c>
      <c r="HP13" s="76">
        <v>4378</v>
      </c>
      <c r="HQ13" s="76">
        <v>645</v>
      </c>
      <c r="HR13" s="76">
        <v>-102</v>
      </c>
      <c r="HS13" s="76">
        <v>-128</v>
      </c>
      <c r="HT13" s="76">
        <v>53459</v>
      </c>
      <c r="HU13" s="76">
        <v>0</v>
      </c>
      <c r="HV13" s="76">
        <v>0</v>
      </c>
      <c r="HW13" s="76">
        <v>160</v>
      </c>
      <c r="HX13" s="76">
        <v>395</v>
      </c>
    </row>
    <row r="14" spans="1:232" x14ac:dyDescent="0.2">
      <c r="A14" s="71" t="s">
        <v>226</v>
      </c>
      <c r="B14" s="71" t="s">
        <v>225</v>
      </c>
      <c r="C14" s="72" t="s">
        <v>200</v>
      </c>
      <c r="D14" s="72">
        <v>12</v>
      </c>
      <c r="E14" s="73">
        <v>82046</v>
      </c>
      <c r="F14" s="73">
        <v>-14627</v>
      </c>
      <c r="G14" s="73">
        <v>-38266</v>
      </c>
      <c r="H14" s="73">
        <v>29153</v>
      </c>
      <c r="I14" s="73">
        <v>2733</v>
      </c>
      <c r="J14" s="73">
        <v>1734</v>
      </c>
      <c r="K14" s="73">
        <v>32059</v>
      </c>
      <c r="L14" s="73">
        <v>0</v>
      </c>
      <c r="M14" s="73">
        <v>687</v>
      </c>
      <c r="N14" s="73">
        <v>-23869</v>
      </c>
      <c r="O14" s="73">
        <v>603</v>
      </c>
      <c r="P14" s="73">
        <v>-2821</v>
      </c>
      <c r="Q14" s="73">
        <v>0</v>
      </c>
      <c r="R14" s="73">
        <v>0</v>
      </c>
      <c r="S14" s="73">
        <v>40279</v>
      </c>
      <c r="T14" s="73">
        <v>0</v>
      </c>
      <c r="U14" s="73">
        <v>40279</v>
      </c>
      <c r="V14" s="73">
        <v>0</v>
      </c>
      <c r="W14" s="73">
        <v>0</v>
      </c>
      <c r="X14" s="73">
        <v>-1361</v>
      </c>
      <c r="Y14" s="73">
        <v>0</v>
      </c>
      <c r="Z14" s="73">
        <v>38918</v>
      </c>
      <c r="AA14" s="73">
        <v>48284</v>
      </c>
      <c r="AB14" s="73">
        <v>5056</v>
      </c>
      <c r="AC14" s="73">
        <v>53340</v>
      </c>
      <c r="AD14" s="73">
        <v>0</v>
      </c>
      <c r="AE14" s="73">
        <v>303</v>
      </c>
      <c r="AF14" s="73">
        <v>0</v>
      </c>
      <c r="AG14" s="73">
        <v>0</v>
      </c>
      <c r="AH14" s="73">
        <v>53643</v>
      </c>
      <c r="AI14" s="73">
        <v>11825</v>
      </c>
      <c r="AJ14" s="73">
        <v>4764</v>
      </c>
      <c r="AK14" s="73">
        <v>5190</v>
      </c>
      <c r="AL14" s="73">
        <v>2766</v>
      </c>
      <c r="AM14" s="73">
        <v>1161</v>
      </c>
      <c r="AN14" s="73">
        <v>340</v>
      </c>
      <c r="AO14" s="73">
        <v>6614</v>
      </c>
      <c r="AP14" s="73">
        <v>0</v>
      </c>
      <c r="AQ14" s="73">
        <v>1091</v>
      </c>
      <c r="AR14" s="73">
        <v>33751</v>
      </c>
      <c r="AS14" s="73">
        <v>19892</v>
      </c>
      <c r="AT14" s="73">
        <v>355</v>
      </c>
      <c r="AU14" s="73">
        <v>614804</v>
      </c>
      <c r="AV14" s="73">
        <v>0</v>
      </c>
      <c r="AW14" s="73">
        <v>4763</v>
      </c>
      <c r="AX14" s="73">
        <v>1070</v>
      </c>
      <c r="AY14" s="73">
        <v>19133</v>
      </c>
      <c r="AZ14" s="73">
        <v>4480</v>
      </c>
      <c r="BA14" s="73">
        <v>0</v>
      </c>
      <c r="BB14" s="73">
        <v>2</v>
      </c>
      <c r="BC14" s="73">
        <v>0</v>
      </c>
      <c r="BD14" s="73">
        <v>0</v>
      </c>
      <c r="BE14" s="73">
        <v>644252</v>
      </c>
      <c r="BF14" s="73">
        <v>4244</v>
      </c>
      <c r="BG14" s="73">
        <v>2478</v>
      </c>
      <c r="BH14" s="73">
        <v>21036</v>
      </c>
      <c r="BI14" s="73">
        <v>85</v>
      </c>
      <c r="BJ14" s="73">
        <v>49172</v>
      </c>
      <c r="BK14" s="73">
        <v>77015</v>
      </c>
      <c r="BL14" s="73">
        <v>33834</v>
      </c>
      <c r="BM14" s="73">
        <v>0</v>
      </c>
      <c r="BN14" s="73">
        <v>0</v>
      </c>
      <c r="BO14" s="73">
        <v>14670</v>
      </c>
      <c r="BP14" s="73">
        <v>48504</v>
      </c>
      <c r="BQ14" s="73">
        <v>28511</v>
      </c>
      <c r="BR14" s="73">
        <v>672763</v>
      </c>
      <c r="BS14" s="73">
        <v>384058</v>
      </c>
      <c r="BT14" s="73">
        <v>0</v>
      </c>
      <c r="BU14" s="73">
        <v>0</v>
      </c>
      <c r="BV14" s="73">
        <v>49968</v>
      </c>
      <c r="BW14" s="73">
        <v>0</v>
      </c>
      <c r="BX14" s="73">
        <v>92548</v>
      </c>
      <c r="BY14" s="73">
        <v>23794</v>
      </c>
      <c r="BZ14" s="73">
        <v>550368</v>
      </c>
      <c r="CA14" s="73">
        <v>0</v>
      </c>
      <c r="CB14" s="73">
        <v>0</v>
      </c>
      <c r="CC14" s="73">
        <v>122395</v>
      </c>
      <c r="CD14" s="73">
        <v>-40701</v>
      </c>
      <c r="CE14" s="73">
        <v>-44063</v>
      </c>
      <c r="CF14" s="73">
        <v>211842</v>
      </c>
      <c r="CG14" s="73">
        <v>-4683</v>
      </c>
      <c r="CH14" s="73">
        <v>0</v>
      </c>
      <c r="CI14" s="73">
        <v>122395</v>
      </c>
      <c r="CJ14" s="73">
        <v>12714</v>
      </c>
      <c r="CK14" s="73">
        <v>7534</v>
      </c>
      <c r="CL14" s="73">
        <v>217</v>
      </c>
      <c r="CM14" s="73">
        <v>4963</v>
      </c>
      <c r="CN14" s="73">
        <v>1656</v>
      </c>
      <c r="CO14" s="73">
        <v>0</v>
      </c>
      <c r="CP14" s="73">
        <v>1656</v>
      </c>
      <c r="CQ14" s="73">
        <v>0</v>
      </c>
      <c r="CR14" s="73">
        <v>0</v>
      </c>
      <c r="CS14" s="73">
        <v>0</v>
      </c>
      <c r="CT14" s="73">
        <v>0</v>
      </c>
      <c r="CU14" s="73">
        <v>0</v>
      </c>
      <c r="CV14" s="73">
        <v>0</v>
      </c>
      <c r="CW14" s="73">
        <v>0</v>
      </c>
      <c r="CX14" s="73">
        <v>0</v>
      </c>
      <c r="CY14" s="73">
        <v>0</v>
      </c>
      <c r="CZ14" s="73">
        <v>11044</v>
      </c>
      <c r="DA14" s="73">
        <v>6618</v>
      </c>
      <c r="DB14" s="73">
        <v>1913</v>
      </c>
      <c r="DC14" s="73">
        <v>2513</v>
      </c>
      <c r="DD14" s="73">
        <v>25414</v>
      </c>
      <c r="DE14" s="73">
        <v>14152</v>
      </c>
      <c r="DF14" s="73">
        <v>3786</v>
      </c>
      <c r="DG14" s="73">
        <v>7476</v>
      </c>
      <c r="DH14" s="73">
        <v>0</v>
      </c>
      <c r="DI14" s="73">
        <v>0</v>
      </c>
      <c r="DJ14" s="73">
        <v>0</v>
      </c>
      <c r="DK14" s="73">
        <v>0</v>
      </c>
      <c r="DL14" s="73">
        <v>849</v>
      </c>
      <c r="DM14" s="73">
        <v>0</v>
      </c>
      <c r="DN14" s="73">
        <v>205</v>
      </c>
      <c r="DO14" s="73">
        <v>644</v>
      </c>
      <c r="DP14" s="73">
        <v>0</v>
      </c>
      <c r="DQ14" s="73">
        <v>0</v>
      </c>
      <c r="DR14" s="73">
        <v>0</v>
      </c>
      <c r="DS14" s="73">
        <v>0</v>
      </c>
      <c r="DT14" s="73">
        <v>286</v>
      </c>
      <c r="DU14" s="73">
        <v>0</v>
      </c>
      <c r="DV14" s="73">
        <v>130</v>
      </c>
      <c r="DW14" s="73">
        <v>156</v>
      </c>
      <c r="DX14" s="73">
        <v>0</v>
      </c>
      <c r="DY14" s="73">
        <v>0</v>
      </c>
      <c r="DZ14" s="73">
        <v>0</v>
      </c>
      <c r="EA14" s="73">
        <v>0</v>
      </c>
      <c r="EB14" s="73">
        <v>1854</v>
      </c>
      <c r="EC14" s="73">
        <v>475</v>
      </c>
      <c r="ED14" s="73">
        <v>394</v>
      </c>
      <c r="EE14" s="73">
        <v>985</v>
      </c>
      <c r="EF14" s="73">
        <v>2989</v>
      </c>
      <c r="EG14" s="73">
        <v>475</v>
      </c>
      <c r="EH14" s="73">
        <v>729</v>
      </c>
      <c r="EI14" s="73">
        <v>1785</v>
      </c>
      <c r="EJ14" s="73">
        <v>28403</v>
      </c>
      <c r="EK14" s="73">
        <v>14627</v>
      </c>
      <c r="EL14" s="73">
        <v>4515</v>
      </c>
      <c r="EM14" s="73">
        <v>9261</v>
      </c>
      <c r="EN14" s="73">
        <v>2469</v>
      </c>
      <c r="EO14" s="73">
        <v>359</v>
      </c>
      <c r="EP14" s="73">
        <v>990</v>
      </c>
      <c r="EQ14" s="73">
        <v>359</v>
      </c>
      <c r="ER14" s="73">
        <v>603734</v>
      </c>
      <c r="ES14" s="73">
        <v>0</v>
      </c>
      <c r="ET14" s="73">
        <v>603734</v>
      </c>
      <c r="EU14" s="73">
        <v>16605</v>
      </c>
      <c r="EV14" s="73">
        <v>-2941</v>
      </c>
      <c r="EW14" s="73">
        <v>0</v>
      </c>
      <c r="EX14" s="73">
        <v>0</v>
      </c>
      <c r="EY14" s="73">
        <v>13215</v>
      </c>
      <c r="EZ14" s="73">
        <v>630613</v>
      </c>
      <c r="FA14" s="73">
        <v>10029</v>
      </c>
      <c r="FB14" s="73">
        <v>6691</v>
      </c>
      <c r="FC14" s="73">
        <v>0</v>
      </c>
      <c r="FD14" s="73">
        <v>0</v>
      </c>
      <c r="FE14" s="73">
        <v>-937</v>
      </c>
      <c r="FF14" s="73">
        <v>0</v>
      </c>
      <c r="FG14" s="73">
        <v>26</v>
      </c>
      <c r="FH14" s="73">
        <v>15809</v>
      </c>
      <c r="FI14" s="73">
        <v>614804</v>
      </c>
      <c r="FJ14" s="73">
        <v>593705</v>
      </c>
      <c r="FK14" s="73">
        <v>3215</v>
      </c>
      <c r="FL14" s="73">
        <v>2205</v>
      </c>
      <c r="FM14" s="73">
        <v>1010</v>
      </c>
      <c r="FN14" s="73">
        <v>105</v>
      </c>
      <c r="FO14" s="73">
        <v>88</v>
      </c>
      <c r="FP14" s="73">
        <v>17</v>
      </c>
      <c r="FQ14" s="73">
        <v>0</v>
      </c>
      <c r="FR14" s="73">
        <v>0</v>
      </c>
      <c r="FS14" s="73">
        <v>0</v>
      </c>
      <c r="FT14" s="73">
        <v>6031</v>
      </c>
      <c r="FU14" s="73">
        <v>4325</v>
      </c>
      <c r="FV14" s="73">
        <v>1706</v>
      </c>
      <c r="FW14" s="73">
        <v>0</v>
      </c>
      <c r="FX14" s="73">
        <v>0</v>
      </c>
      <c r="FY14" s="73">
        <v>0</v>
      </c>
      <c r="FZ14" s="73">
        <v>0</v>
      </c>
      <c r="GA14" s="73">
        <v>0</v>
      </c>
      <c r="GB14" s="73">
        <v>0</v>
      </c>
      <c r="GC14" s="73">
        <v>9351</v>
      </c>
      <c r="GD14" s="73">
        <v>6618</v>
      </c>
      <c r="GE14" s="73">
        <v>2733</v>
      </c>
      <c r="GF14" s="73">
        <v>48333</v>
      </c>
      <c r="GG14" s="73">
        <v>0</v>
      </c>
      <c r="GH14" s="73">
        <v>0</v>
      </c>
      <c r="GI14" s="73">
        <v>0</v>
      </c>
      <c r="GJ14" s="73">
        <v>0</v>
      </c>
      <c r="GK14" s="73">
        <v>839</v>
      </c>
      <c r="GL14" s="73">
        <v>49172</v>
      </c>
      <c r="GM14" s="73">
        <v>1542</v>
      </c>
      <c r="GN14" s="73">
        <v>2050</v>
      </c>
      <c r="GO14" s="73">
        <v>1309</v>
      </c>
      <c r="GP14" s="73">
        <v>0</v>
      </c>
      <c r="GQ14" s="73">
        <v>0</v>
      </c>
      <c r="GR14" s="73">
        <v>8102</v>
      </c>
      <c r="GS14" s="73">
        <v>0</v>
      </c>
      <c r="GT14" s="73">
        <v>0</v>
      </c>
      <c r="GU14" s="73">
        <v>996</v>
      </c>
      <c r="GV14" s="73">
        <v>0</v>
      </c>
      <c r="GW14" s="73">
        <v>671</v>
      </c>
      <c r="GX14" s="73">
        <v>14670</v>
      </c>
      <c r="GY14" s="73">
        <v>15046</v>
      </c>
      <c r="GZ14" s="73">
        <v>140</v>
      </c>
      <c r="HA14" s="73">
        <v>6193</v>
      </c>
      <c r="HB14" s="73">
        <v>2415</v>
      </c>
      <c r="HC14" s="73">
        <v>23794</v>
      </c>
      <c r="HD14" s="73">
        <v>0</v>
      </c>
      <c r="HE14" s="73">
        <v>0</v>
      </c>
      <c r="HF14" s="73">
        <v>0</v>
      </c>
      <c r="HG14" s="73">
        <v>23912</v>
      </c>
      <c r="HH14" s="73">
        <v>0</v>
      </c>
      <c r="HI14" s="73">
        <v>214</v>
      </c>
      <c r="HJ14" s="73">
        <v>0</v>
      </c>
      <c r="HK14" s="73">
        <v>96</v>
      </c>
      <c r="HL14" s="73">
        <v>-353</v>
      </c>
      <c r="HM14" s="73">
        <v>23869</v>
      </c>
      <c r="HN14" s="73">
        <v>6120</v>
      </c>
      <c r="HO14" s="73">
        <v>7027</v>
      </c>
      <c r="HP14" s="73">
        <v>0</v>
      </c>
      <c r="HQ14" s="73">
        <v>222</v>
      </c>
      <c r="HR14" s="73">
        <v>-27</v>
      </c>
      <c r="HS14" s="73">
        <v>42</v>
      </c>
      <c r="HT14" s="73">
        <v>10125</v>
      </c>
      <c r="HU14" s="73">
        <v>0</v>
      </c>
      <c r="HV14" s="73">
        <v>-3</v>
      </c>
      <c r="HW14" s="73">
        <v>-2</v>
      </c>
      <c r="HX14" s="73">
        <v>542</v>
      </c>
    </row>
    <row r="15" spans="1:232" x14ac:dyDescent="0.2">
      <c r="A15" s="74" t="s">
        <v>229</v>
      </c>
      <c r="B15" s="74" t="s">
        <v>228</v>
      </c>
      <c r="C15" s="75" t="s">
        <v>200</v>
      </c>
      <c r="D15" s="75">
        <v>12</v>
      </c>
      <c r="E15" s="76">
        <v>187018</v>
      </c>
      <c r="F15" s="76">
        <v>-6353</v>
      </c>
      <c r="G15" s="76">
        <v>-104631</v>
      </c>
      <c r="H15" s="76">
        <v>76034</v>
      </c>
      <c r="I15" s="76">
        <v>21964</v>
      </c>
      <c r="J15" s="76">
        <v>1287</v>
      </c>
      <c r="K15" s="76">
        <v>0</v>
      </c>
      <c r="L15" s="76">
        <v>0</v>
      </c>
      <c r="M15" s="76">
        <v>866</v>
      </c>
      <c r="N15" s="76">
        <v>-31204</v>
      </c>
      <c r="O15" s="76">
        <v>667</v>
      </c>
      <c r="P15" s="76">
        <v>-122</v>
      </c>
      <c r="Q15" s="76">
        <v>0</v>
      </c>
      <c r="R15" s="76">
        <v>0</v>
      </c>
      <c r="S15" s="76">
        <v>69492</v>
      </c>
      <c r="T15" s="76">
        <v>0</v>
      </c>
      <c r="U15" s="76">
        <v>69492</v>
      </c>
      <c r="V15" s="76">
        <v>0</v>
      </c>
      <c r="W15" s="76">
        <v>-2064</v>
      </c>
      <c r="X15" s="76">
        <v>-621</v>
      </c>
      <c r="Y15" s="76">
        <v>0</v>
      </c>
      <c r="Z15" s="76">
        <v>66807</v>
      </c>
      <c r="AA15" s="76">
        <v>135998</v>
      </c>
      <c r="AB15" s="76">
        <v>13279</v>
      </c>
      <c r="AC15" s="76">
        <v>149277</v>
      </c>
      <c r="AD15" s="76">
        <v>4683</v>
      </c>
      <c r="AE15" s="76">
        <v>0</v>
      </c>
      <c r="AF15" s="76">
        <v>67</v>
      </c>
      <c r="AG15" s="76">
        <v>2190</v>
      </c>
      <c r="AH15" s="76">
        <v>156217</v>
      </c>
      <c r="AI15" s="76">
        <v>25651</v>
      </c>
      <c r="AJ15" s="76">
        <v>12070</v>
      </c>
      <c r="AK15" s="76">
        <v>18336</v>
      </c>
      <c r="AL15" s="76">
        <v>21315</v>
      </c>
      <c r="AM15" s="76">
        <v>4187</v>
      </c>
      <c r="AN15" s="76">
        <v>370</v>
      </c>
      <c r="AO15" s="76">
        <v>20609</v>
      </c>
      <c r="AP15" s="76">
        <v>-539</v>
      </c>
      <c r="AQ15" s="76">
        <v>620</v>
      </c>
      <c r="AR15" s="76">
        <v>102619</v>
      </c>
      <c r="AS15" s="76">
        <v>53598</v>
      </c>
      <c r="AT15" s="76">
        <v>1129</v>
      </c>
      <c r="AU15" s="76">
        <v>1312235</v>
      </c>
      <c r="AV15" s="76">
        <v>0</v>
      </c>
      <c r="AW15" s="76">
        <v>8828</v>
      </c>
      <c r="AX15" s="76">
        <v>0</v>
      </c>
      <c r="AY15" s="76">
        <v>0</v>
      </c>
      <c r="AZ15" s="76">
        <v>28125</v>
      </c>
      <c r="BA15" s="76">
        <v>0</v>
      </c>
      <c r="BB15" s="76">
        <v>0</v>
      </c>
      <c r="BC15" s="76">
        <v>0</v>
      </c>
      <c r="BD15" s="76">
        <v>13</v>
      </c>
      <c r="BE15" s="76">
        <v>1349201</v>
      </c>
      <c r="BF15" s="76">
        <v>14370</v>
      </c>
      <c r="BG15" s="76">
        <v>8917</v>
      </c>
      <c r="BH15" s="76">
        <v>91530</v>
      </c>
      <c r="BI15" s="76">
        <v>0</v>
      </c>
      <c r="BJ15" s="76">
        <v>12097</v>
      </c>
      <c r="BK15" s="76">
        <v>126914</v>
      </c>
      <c r="BL15" s="76">
        <v>12396</v>
      </c>
      <c r="BM15" s="76">
        <v>0</v>
      </c>
      <c r="BN15" s="76">
        <v>4860</v>
      </c>
      <c r="BO15" s="76">
        <v>46431</v>
      </c>
      <c r="BP15" s="76">
        <v>63687</v>
      </c>
      <c r="BQ15" s="76">
        <v>63227</v>
      </c>
      <c r="BR15" s="76">
        <v>1412428</v>
      </c>
      <c r="BS15" s="76">
        <v>648896</v>
      </c>
      <c r="BT15" s="76">
        <v>0</v>
      </c>
      <c r="BU15" s="76">
        <v>0</v>
      </c>
      <c r="BV15" s="76">
        <v>486250</v>
      </c>
      <c r="BW15" s="76">
        <v>0</v>
      </c>
      <c r="BX15" s="76">
        <v>111883</v>
      </c>
      <c r="BY15" s="76">
        <v>18006</v>
      </c>
      <c r="BZ15" s="76">
        <v>1265035</v>
      </c>
      <c r="CA15" s="76">
        <v>26163</v>
      </c>
      <c r="CB15" s="76">
        <v>489</v>
      </c>
      <c r="CC15" s="76">
        <v>120741</v>
      </c>
      <c r="CD15" s="76">
        <v>232605</v>
      </c>
      <c r="CE15" s="76">
        <v>0</v>
      </c>
      <c r="CF15" s="76">
        <v>22</v>
      </c>
      <c r="CG15" s="76">
        <v>-112055</v>
      </c>
      <c r="CH15" s="76">
        <v>169</v>
      </c>
      <c r="CI15" s="76">
        <v>120741</v>
      </c>
      <c r="CJ15" s="76">
        <v>6930</v>
      </c>
      <c r="CK15" s="76">
        <v>5706</v>
      </c>
      <c r="CL15" s="76">
        <v>0</v>
      </c>
      <c r="CM15" s="76">
        <v>1224</v>
      </c>
      <c r="CN15" s="76">
        <v>76</v>
      </c>
      <c r="CO15" s="76">
        <v>0</v>
      </c>
      <c r="CP15" s="76">
        <v>76</v>
      </c>
      <c r="CQ15" s="76">
        <v>0</v>
      </c>
      <c r="CR15" s="76">
        <v>0</v>
      </c>
      <c r="CS15" s="76">
        <v>0</v>
      </c>
      <c r="CT15" s="76">
        <v>496</v>
      </c>
      <c r="CU15" s="76">
        <v>-496</v>
      </c>
      <c r="CV15" s="76">
        <v>301</v>
      </c>
      <c r="CW15" s="76">
        <v>0</v>
      </c>
      <c r="CX15" s="76">
        <v>301</v>
      </c>
      <c r="CY15" s="76">
        <v>0</v>
      </c>
      <c r="CZ15" s="76">
        <v>20771</v>
      </c>
      <c r="DA15" s="76">
        <v>0</v>
      </c>
      <c r="DB15" s="76">
        <v>240</v>
      </c>
      <c r="DC15" s="76">
        <v>20531</v>
      </c>
      <c r="DD15" s="76">
        <v>28078</v>
      </c>
      <c r="DE15" s="76">
        <v>5706</v>
      </c>
      <c r="DF15" s="76">
        <v>1113</v>
      </c>
      <c r="DG15" s="76">
        <v>21259</v>
      </c>
      <c r="DH15" s="76">
        <v>728</v>
      </c>
      <c r="DI15" s="76">
        <v>647</v>
      </c>
      <c r="DJ15" s="76">
        <v>0</v>
      </c>
      <c r="DK15" s="76">
        <v>81</v>
      </c>
      <c r="DL15" s="76">
        <v>0</v>
      </c>
      <c r="DM15" s="76">
        <v>0</v>
      </c>
      <c r="DN15" s="76">
        <v>0</v>
      </c>
      <c r="DO15" s="76">
        <v>0</v>
      </c>
      <c r="DP15" s="76">
        <v>0</v>
      </c>
      <c r="DQ15" s="76">
        <v>0</v>
      </c>
      <c r="DR15" s="76">
        <v>0</v>
      </c>
      <c r="DS15" s="76">
        <v>0</v>
      </c>
      <c r="DT15" s="76">
        <v>371</v>
      </c>
      <c r="DU15" s="76">
        <v>0</v>
      </c>
      <c r="DV15" s="76">
        <v>126</v>
      </c>
      <c r="DW15" s="76">
        <v>245</v>
      </c>
      <c r="DX15" s="76">
        <v>0</v>
      </c>
      <c r="DY15" s="76">
        <v>0</v>
      </c>
      <c r="DZ15" s="76">
        <v>0</v>
      </c>
      <c r="EA15" s="76">
        <v>0</v>
      </c>
      <c r="EB15" s="76">
        <v>1624</v>
      </c>
      <c r="EC15" s="76">
        <v>0</v>
      </c>
      <c r="ED15" s="76">
        <v>773</v>
      </c>
      <c r="EE15" s="76">
        <v>851</v>
      </c>
      <c r="EF15" s="76">
        <v>2723</v>
      </c>
      <c r="EG15" s="76">
        <v>647</v>
      </c>
      <c r="EH15" s="76">
        <v>899</v>
      </c>
      <c r="EI15" s="76">
        <v>1177</v>
      </c>
      <c r="EJ15" s="76">
        <v>30801</v>
      </c>
      <c r="EK15" s="76">
        <v>6353</v>
      </c>
      <c r="EL15" s="76">
        <v>2012</v>
      </c>
      <c r="EM15" s="76">
        <v>22436</v>
      </c>
      <c r="EN15" s="76">
        <v>6842</v>
      </c>
      <c r="EO15" s="76">
        <v>4560</v>
      </c>
      <c r="EP15" s="76">
        <v>796</v>
      </c>
      <c r="EQ15" s="76">
        <v>4560</v>
      </c>
      <c r="ER15" s="76">
        <v>1456357</v>
      </c>
      <c r="ES15" s="76">
        <v>0</v>
      </c>
      <c r="ET15" s="76">
        <v>1456357</v>
      </c>
      <c r="EU15" s="76">
        <v>74193</v>
      </c>
      <c r="EV15" s="76">
        <v>-19181</v>
      </c>
      <c r="EW15" s="76">
        <v>24851</v>
      </c>
      <c r="EX15" s="76">
        <v>0</v>
      </c>
      <c r="EY15" s="76">
        <v>-12</v>
      </c>
      <c r="EZ15" s="76">
        <v>1536208</v>
      </c>
      <c r="FA15" s="76">
        <v>217838</v>
      </c>
      <c r="FB15" s="76">
        <v>20533</v>
      </c>
      <c r="FC15" s="76">
        <v>-539</v>
      </c>
      <c r="FD15" s="76">
        <v>0</v>
      </c>
      <c r="FE15" s="76">
        <v>-13859</v>
      </c>
      <c r="FF15" s="76">
        <v>0</v>
      </c>
      <c r="FG15" s="76">
        <v>0</v>
      </c>
      <c r="FH15" s="76">
        <v>223973</v>
      </c>
      <c r="FI15" s="76">
        <v>1312235</v>
      </c>
      <c r="FJ15" s="76">
        <v>1238519</v>
      </c>
      <c r="FK15" s="76">
        <v>11390</v>
      </c>
      <c r="FL15" s="76">
        <v>5551</v>
      </c>
      <c r="FM15" s="76">
        <v>5839</v>
      </c>
      <c r="FN15" s="76">
        <v>1444</v>
      </c>
      <c r="FO15" s="76">
        <v>1100</v>
      </c>
      <c r="FP15" s="76">
        <v>344</v>
      </c>
      <c r="FQ15" s="76">
        <v>288</v>
      </c>
      <c r="FR15" s="76">
        <v>288</v>
      </c>
      <c r="FS15" s="76">
        <v>0</v>
      </c>
      <c r="FT15" s="76">
        <v>18738</v>
      </c>
      <c r="FU15" s="76">
        <v>3443</v>
      </c>
      <c r="FV15" s="76">
        <v>15295</v>
      </c>
      <c r="FW15" s="76">
        <v>0</v>
      </c>
      <c r="FX15" s="76">
        <v>0</v>
      </c>
      <c r="FY15" s="76">
        <v>0</v>
      </c>
      <c r="FZ15" s="76">
        <v>2672</v>
      </c>
      <c r="GA15" s="76">
        <v>2186</v>
      </c>
      <c r="GB15" s="76">
        <v>486</v>
      </c>
      <c r="GC15" s="76">
        <v>34532</v>
      </c>
      <c r="GD15" s="76">
        <v>12568</v>
      </c>
      <c r="GE15" s="76">
        <v>21964</v>
      </c>
      <c r="GF15" s="76">
        <v>75</v>
      </c>
      <c r="GG15" s="76">
        <v>6</v>
      </c>
      <c r="GH15" s="76">
        <v>685</v>
      </c>
      <c r="GI15" s="76">
        <v>0</v>
      </c>
      <c r="GJ15" s="76">
        <v>0</v>
      </c>
      <c r="GK15" s="76">
        <v>11331</v>
      </c>
      <c r="GL15" s="76">
        <v>12097</v>
      </c>
      <c r="GM15" s="76">
        <v>2842</v>
      </c>
      <c r="GN15" s="76">
        <v>5330</v>
      </c>
      <c r="GO15" s="76">
        <v>5943</v>
      </c>
      <c r="GP15" s="76">
        <v>2405</v>
      </c>
      <c r="GQ15" s="76">
        <v>138</v>
      </c>
      <c r="GR15" s="76">
        <v>19428</v>
      </c>
      <c r="GS15" s="76">
        <v>0</v>
      </c>
      <c r="GT15" s="76">
        <v>0</v>
      </c>
      <c r="GU15" s="76">
        <v>820</v>
      </c>
      <c r="GV15" s="76">
        <v>0</v>
      </c>
      <c r="GW15" s="76">
        <v>9525</v>
      </c>
      <c r="GX15" s="76">
        <v>46431</v>
      </c>
      <c r="GY15" s="76">
        <v>8728</v>
      </c>
      <c r="GZ15" s="76">
        <v>504</v>
      </c>
      <c r="HA15" s="76">
        <v>4591</v>
      </c>
      <c r="HB15" s="76">
        <v>4183</v>
      </c>
      <c r="HC15" s="76">
        <v>18006</v>
      </c>
      <c r="HD15" s="76">
        <v>489</v>
      </c>
      <c r="HE15" s="76">
        <v>0</v>
      </c>
      <c r="HF15" s="76">
        <v>489</v>
      </c>
      <c r="HG15" s="76">
        <v>29712</v>
      </c>
      <c r="HH15" s="76">
        <v>1444</v>
      </c>
      <c r="HI15" s="76">
        <v>1026</v>
      </c>
      <c r="HJ15" s="76">
        <v>36</v>
      </c>
      <c r="HK15" s="76">
        <v>349</v>
      </c>
      <c r="HL15" s="76">
        <v>-1363</v>
      </c>
      <c r="HM15" s="76">
        <v>31204</v>
      </c>
      <c r="HN15" s="76">
        <v>16712</v>
      </c>
      <c r="HO15" s="76">
        <v>22206</v>
      </c>
      <c r="HP15" s="76">
        <v>-539</v>
      </c>
      <c r="HQ15" s="76">
        <v>187</v>
      </c>
      <c r="HR15" s="76">
        <v>-306</v>
      </c>
      <c r="HS15" s="76">
        <v>765</v>
      </c>
      <c r="HT15" s="76">
        <v>26674</v>
      </c>
      <c r="HU15" s="76">
        <v>0</v>
      </c>
      <c r="HV15" s="76">
        <v>-1</v>
      </c>
      <c r="HW15" s="76">
        <v>-2</v>
      </c>
      <c r="HX15" s="76">
        <v>41</v>
      </c>
    </row>
    <row r="16" spans="1:232" x14ac:dyDescent="0.2">
      <c r="A16" s="71" t="s">
        <v>232</v>
      </c>
      <c r="B16" s="71" t="s">
        <v>231</v>
      </c>
      <c r="C16" s="72" t="s">
        <v>200</v>
      </c>
      <c r="D16" s="72">
        <v>12</v>
      </c>
      <c r="E16" s="73">
        <v>308670</v>
      </c>
      <c r="F16" s="73">
        <v>0</v>
      </c>
      <c r="G16" s="73">
        <v>-289577</v>
      </c>
      <c r="H16" s="73">
        <v>19093</v>
      </c>
      <c r="I16" s="73">
        <v>7059</v>
      </c>
      <c r="J16" s="73">
        <v>5110</v>
      </c>
      <c r="K16" s="73">
        <v>-735</v>
      </c>
      <c r="L16" s="73">
        <v>0</v>
      </c>
      <c r="M16" s="73">
        <v>4191</v>
      </c>
      <c r="N16" s="73">
        <v>-10982</v>
      </c>
      <c r="O16" s="73">
        <v>0</v>
      </c>
      <c r="P16" s="73">
        <v>0</v>
      </c>
      <c r="Q16" s="73">
        <v>0</v>
      </c>
      <c r="R16" s="73">
        <v>0</v>
      </c>
      <c r="S16" s="73">
        <v>23736</v>
      </c>
      <c r="T16" s="73">
        <v>0</v>
      </c>
      <c r="U16" s="73">
        <v>23736</v>
      </c>
      <c r="V16" s="73">
        <v>0</v>
      </c>
      <c r="W16" s="73">
        <v>-994</v>
      </c>
      <c r="X16" s="73">
        <v>0</v>
      </c>
      <c r="Y16" s="73">
        <v>-235</v>
      </c>
      <c r="Z16" s="73">
        <v>22507</v>
      </c>
      <c r="AA16" s="73">
        <v>232450</v>
      </c>
      <c r="AB16" s="73">
        <v>49372</v>
      </c>
      <c r="AC16" s="73">
        <v>281822</v>
      </c>
      <c r="AD16" s="73">
        <v>10207</v>
      </c>
      <c r="AE16" s="73">
        <v>0</v>
      </c>
      <c r="AF16" s="73">
        <v>287</v>
      </c>
      <c r="AG16" s="73">
        <v>4371</v>
      </c>
      <c r="AH16" s="73">
        <v>296687</v>
      </c>
      <c r="AI16" s="73">
        <v>45550</v>
      </c>
      <c r="AJ16" s="73">
        <v>147034</v>
      </c>
      <c r="AK16" s="73">
        <v>11329</v>
      </c>
      <c r="AL16" s="73">
        <v>13431</v>
      </c>
      <c r="AM16" s="73">
        <v>0</v>
      </c>
      <c r="AN16" s="73">
        <v>381</v>
      </c>
      <c r="AO16" s="73">
        <v>49733</v>
      </c>
      <c r="AP16" s="73">
        <v>1854</v>
      </c>
      <c r="AQ16" s="73">
        <v>544</v>
      </c>
      <c r="AR16" s="73">
        <v>269856</v>
      </c>
      <c r="AS16" s="73">
        <v>26831</v>
      </c>
      <c r="AT16" s="73">
        <v>1542</v>
      </c>
      <c r="AU16" s="73">
        <v>577179</v>
      </c>
      <c r="AV16" s="73">
        <v>0</v>
      </c>
      <c r="AW16" s="73">
        <v>13259</v>
      </c>
      <c r="AX16" s="73">
        <v>0</v>
      </c>
      <c r="AY16" s="73">
        <v>0</v>
      </c>
      <c r="AZ16" s="73">
        <v>0</v>
      </c>
      <c r="BA16" s="73">
        <v>0</v>
      </c>
      <c r="BB16" s="73">
        <v>0</v>
      </c>
      <c r="BC16" s="73">
        <v>0</v>
      </c>
      <c r="BD16" s="73">
        <v>72812</v>
      </c>
      <c r="BE16" s="73">
        <v>663250</v>
      </c>
      <c r="BF16" s="73">
        <v>1254</v>
      </c>
      <c r="BG16" s="73">
        <v>4131</v>
      </c>
      <c r="BH16" s="73">
        <v>36537</v>
      </c>
      <c r="BI16" s="73">
        <v>5113</v>
      </c>
      <c r="BJ16" s="73">
        <v>166515</v>
      </c>
      <c r="BK16" s="73">
        <v>213550</v>
      </c>
      <c r="BL16" s="73">
        <v>1710</v>
      </c>
      <c r="BM16" s="73">
        <v>0</v>
      </c>
      <c r="BN16" s="73">
        <v>10344</v>
      </c>
      <c r="BO16" s="73">
        <v>68827</v>
      </c>
      <c r="BP16" s="73">
        <v>80881</v>
      </c>
      <c r="BQ16" s="73">
        <v>132669</v>
      </c>
      <c r="BR16" s="73">
        <v>795919</v>
      </c>
      <c r="BS16" s="73">
        <v>267739</v>
      </c>
      <c r="BT16" s="73">
        <v>41709</v>
      </c>
      <c r="BU16" s="73">
        <v>22503</v>
      </c>
      <c r="BV16" s="73">
        <v>91282</v>
      </c>
      <c r="BW16" s="73">
        <v>0</v>
      </c>
      <c r="BX16" s="73">
        <v>0</v>
      </c>
      <c r="BY16" s="73">
        <v>16474</v>
      </c>
      <c r="BZ16" s="73">
        <v>439707</v>
      </c>
      <c r="CA16" s="73">
        <v>21419</v>
      </c>
      <c r="CB16" s="73">
        <v>598</v>
      </c>
      <c r="CC16" s="73">
        <v>334195</v>
      </c>
      <c r="CD16" s="73">
        <v>334073</v>
      </c>
      <c r="CE16" s="73">
        <v>0</v>
      </c>
      <c r="CF16" s="73">
        <v>122</v>
      </c>
      <c r="CG16" s="73">
        <v>0</v>
      </c>
      <c r="CH16" s="73">
        <v>0</v>
      </c>
      <c r="CI16" s="73">
        <v>334195</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2220</v>
      </c>
      <c r="DA16" s="73">
        <v>0</v>
      </c>
      <c r="DB16" s="73">
        <v>2076</v>
      </c>
      <c r="DC16" s="73">
        <v>144</v>
      </c>
      <c r="DD16" s="73">
        <v>2220</v>
      </c>
      <c r="DE16" s="73">
        <v>0</v>
      </c>
      <c r="DF16" s="73">
        <v>2076</v>
      </c>
      <c r="DG16" s="73">
        <v>144</v>
      </c>
      <c r="DH16" s="73">
        <v>1888</v>
      </c>
      <c r="DI16" s="73">
        <v>0</v>
      </c>
      <c r="DJ16" s="73">
        <v>1927</v>
      </c>
      <c r="DK16" s="73">
        <v>-39</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7875</v>
      </c>
      <c r="EC16" s="73">
        <v>0</v>
      </c>
      <c r="ED16" s="73">
        <v>15718</v>
      </c>
      <c r="EE16" s="73">
        <v>-7843</v>
      </c>
      <c r="EF16" s="73">
        <v>9763</v>
      </c>
      <c r="EG16" s="73">
        <v>0</v>
      </c>
      <c r="EH16" s="73">
        <v>17645</v>
      </c>
      <c r="EI16" s="73">
        <v>-7882</v>
      </c>
      <c r="EJ16" s="73">
        <v>11983</v>
      </c>
      <c r="EK16" s="73">
        <v>0</v>
      </c>
      <c r="EL16" s="73">
        <v>19721</v>
      </c>
      <c r="EM16" s="73">
        <v>-7738</v>
      </c>
      <c r="EN16" s="73">
        <v>5164</v>
      </c>
      <c r="EO16" s="73">
        <v>384</v>
      </c>
      <c r="EP16" s="73">
        <v>1972</v>
      </c>
      <c r="EQ16" s="73">
        <v>384</v>
      </c>
      <c r="ER16" s="73">
        <v>1231423</v>
      </c>
      <c r="ES16" s="73">
        <v>0</v>
      </c>
      <c r="ET16" s="73">
        <v>1231423</v>
      </c>
      <c r="EU16" s="73">
        <v>44042</v>
      </c>
      <c r="EV16" s="73">
        <v>-15506</v>
      </c>
      <c r="EW16" s="73">
        <v>0</v>
      </c>
      <c r="EX16" s="73">
        <v>36672</v>
      </c>
      <c r="EY16" s="73">
        <v>0</v>
      </c>
      <c r="EZ16" s="73">
        <v>1296631</v>
      </c>
      <c r="FA16" s="73">
        <v>680265</v>
      </c>
      <c r="FB16" s="73">
        <v>49262</v>
      </c>
      <c r="FC16" s="73">
        <v>1854</v>
      </c>
      <c r="FD16" s="73">
        <v>0</v>
      </c>
      <c r="FE16" s="73">
        <v>-11929</v>
      </c>
      <c r="FF16" s="73">
        <v>0</v>
      </c>
      <c r="FG16" s="73">
        <v>0</v>
      </c>
      <c r="FH16" s="73">
        <v>719452</v>
      </c>
      <c r="FI16" s="73">
        <v>577179</v>
      </c>
      <c r="FJ16" s="73">
        <v>551158</v>
      </c>
      <c r="FK16" s="73">
        <v>0</v>
      </c>
      <c r="FL16" s="73">
        <v>0</v>
      </c>
      <c r="FM16" s="73">
        <v>0</v>
      </c>
      <c r="FN16" s="73">
        <v>0</v>
      </c>
      <c r="FO16" s="73">
        <v>0</v>
      </c>
      <c r="FP16" s="73">
        <v>0</v>
      </c>
      <c r="FQ16" s="73">
        <v>0</v>
      </c>
      <c r="FR16" s="73">
        <v>0</v>
      </c>
      <c r="FS16" s="73">
        <v>0</v>
      </c>
      <c r="FT16" s="73">
        <v>8569</v>
      </c>
      <c r="FU16" s="73">
        <v>1499</v>
      </c>
      <c r="FV16" s="73">
        <v>7070</v>
      </c>
      <c r="FW16" s="73">
        <v>0</v>
      </c>
      <c r="FX16" s="73">
        <v>0</v>
      </c>
      <c r="FY16" s="73">
        <v>0</v>
      </c>
      <c r="FZ16" s="73">
        <v>2847</v>
      </c>
      <c r="GA16" s="73">
        <v>2858</v>
      </c>
      <c r="GB16" s="73">
        <v>-11</v>
      </c>
      <c r="GC16" s="73">
        <v>11416</v>
      </c>
      <c r="GD16" s="73">
        <v>4357</v>
      </c>
      <c r="GE16" s="73">
        <v>7059</v>
      </c>
      <c r="GF16" s="73">
        <v>130782</v>
      </c>
      <c r="GG16" s="73">
        <v>0</v>
      </c>
      <c r="GH16" s="73">
        <v>0</v>
      </c>
      <c r="GI16" s="73">
        <v>0</v>
      </c>
      <c r="GJ16" s="73">
        <v>0</v>
      </c>
      <c r="GK16" s="73">
        <v>35733</v>
      </c>
      <c r="GL16" s="73">
        <v>166515</v>
      </c>
      <c r="GM16" s="73">
        <v>14136</v>
      </c>
      <c r="GN16" s="73">
        <v>11479</v>
      </c>
      <c r="GO16" s="73">
        <v>0</v>
      </c>
      <c r="GP16" s="73">
        <v>2904</v>
      </c>
      <c r="GQ16" s="73">
        <v>0</v>
      </c>
      <c r="GR16" s="73">
        <v>29474</v>
      </c>
      <c r="GS16" s="73">
        <v>420</v>
      </c>
      <c r="GT16" s="73">
        <v>0</v>
      </c>
      <c r="GU16" s="73">
        <v>0</v>
      </c>
      <c r="GV16" s="73">
        <v>0</v>
      </c>
      <c r="GW16" s="73">
        <v>10414</v>
      </c>
      <c r="GX16" s="73">
        <v>68827</v>
      </c>
      <c r="GY16" s="73">
        <v>2273</v>
      </c>
      <c r="GZ16" s="73">
        <v>0</v>
      </c>
      <c r="HA16" s="73">
        <v>0</v>
      </c>
      <c r="HB16" s="73">
        <v>14201</v>
      </c>
      <c r="HC16" s="73">
        <v>16474</v>
      </c>
      <c r="HD16" s="73">
        <v>0</v>
      </c>
      <c r="HE16" s="73">
        <v>598</v>
      </c>
      <c r="HF16" s="73">
        <v>598</v>
      </c>
      <c r="HG16" s="73">
        <v>7096</v>
      </c>
      <c r="HH16" s="73">
        <v>0</v>
      </c>
      <c r="HI16" s="73">
        <v>782</v>
      </c>
      <c r="HJ16" s="73">
        <v>33</v>
      </c>
      <c r="HK16" s="73">
        <v>3071</v>
      </c>
      <c r="HL16" s="73">
        <v>0</v>
      </c>
      <c r="HM16" s="73">
        <v>10982</v>
      </c>
      <c r="HN16" s="73">
        <v>38758</v>
      </c>
      <c r="HO16" s="73">
        <v>52658</v>
      </c>
      <c r="HP16" s="73">
        <v>1854</v>
      </c>
      <c r="HQ16" s="73">
        <v>462</v>
      </c>
      <c r="HR16" s="73">
        <v>-62</v>
      </c>
      <c r="HS16" s="73">
        <v>0</v>
      </c>
      <c r="HT16" s="73">
        <v>27153</v>
      </c>
      <c r="HU16" s="73">
        <v>83</v>
      </c>
      <c r="HV16" s="73">
        <v>0</v>
      </c>
      <c r="HW16" s="73">
        <v>0</v>
      </c>
      <c r="HX16" s="73">
        <v>6628</v>
      </c>
    </row>
    <row r="17" spans="1:232" x14ac:dyDescent="0.2">
      <c r="A17" s="74" t="s">
        <v>233</v>
      </c>
      <c r="B17" s="74" t="s">
        <v>234</v>
      </c>
      <c r="C17" s="75" t="s">
        <v>200</v>
      </c>
      <c r="D17" s="75">
        <v>12</v>
      </c>
      <c r="E17" s="76">
        <v>53413</v>
      </c>
      <c r="F17" s="76">
        <v>-6641</v>
      </c>
      <c r="G17" s="76">
        <v>-25464</v>
      </c>
      <c r="H17" s="76">
        <v>21308</v>
      </c>
      <c r="I17" s="76">
        <v>978</v>
      </c>
      <c r="J17" s="76">
        <v>0</v>
      </c>
      <c r="K17" s="76">
        <v>0</v>
      </c>
      <c r="L17" s="76">
        <v>0</v>
      </c>
      <c r="M17" s="76">
        <v>825</v>
      </c>
      <c r="N17" s="76">
        <v>-12512</v>
      </c>
      <c r="O17" s="76">
        <v>3335</v>
      </c>
      <c r="P17" s="76">
        <v>0</v>
      </c>
      <c r="Q17" s="76">
        <v>0</v>
      </c>
      <c r="R17" s="76">
        <v>0</v>
      </c>
      <c r="S17" s="76">
        <v>13934</v>
      </c>
      <c r="T17" s="76">
        <v>0</v>
      </c>
      <c r="U17" s="76">
        <v>13934</v>
      </c>
      <c r="V17" s="76">
        <v>0</v>
      </c>
      <c r="W17" s="76">
        <v>-1792</v>
      </c>
      <c r="X17" s="76">
        <v>0</v>
      </c>
      <c r="Y17" s="76">
        <v>0</v>
      </c>
      <c r="Z17" s="76">
        <v>12142</v>
      </c>
      <c r="AA17" s="76">
        <v>37925</v>
      </c>
      <c r="AB17" s="76">
        <v>1889</v>
      </c>
      <c r="AC17" s="76">
        <v>39814</v>
      </c>
      <c r="AD17" s="76">
        <v>57</v>
      </c>
      <c r="AE17" s="76">
        <v>0</v>
      </c>
      <c r="AF17" s="76">
        <v>0</v>
      </c>
      <c r="AG17" s="76">
        <v>208</v>
      </c>
      <c r="AH17" s="76">
        <v>40079</v>
      </c>
      <c r="AI17" s="76">
        <v>4723</v>
      </c>
      <c r="AJ17" s="76">
        <v>2220</v>
      </c>
      <c r="AK17" s="76">
        <v>5472</v>
      </c>
      <c r="AL17" s="76">
        <v>2404</v>
      </c>
      <c r="AM17" s="76">
        <v>3264</v>
      </c>
      <c r="AN17" s="76">
        <v>241</v>
      </c>
      <c r="AO17" s="76">
        <v>6133</v>
      </c>
      <c r="AP17" s="76">
        <v>0</v>
      </c>
      <c r="AQ17" s="76">
        <v>506</v>
      </c>
      <c r="AR17" s="76">
        <v>24963</v>
      </c>
      <c r="AS17" s="76">
        <v>15116</v>
      </c>
      <c r="AT17" s="76">
        <v>224</v>
      </c>
      <c r="AU17" s="76">
        <v>418561</v>
      </c>
      <c r="AV17" s="76">
        <v>0</v>
      </c>
      <c r="AW17" s="76">
        <v>1000</v>
      </c>
      <c r="AX17" s="76">
        <v>0</v>
      </c>
      <c r="AY17" s="76">
        <v>0</v>
      </c>
      <c r="AZ17" s="76">
        <v>8400</v>
      </c>
      <c r="BA17" s="76">
        <v>0</v>
      </c>
      <c r="BB17" s="76">
        <v>0</v>
      </c>
      <c r="BC17" s="76">
        <v>0</v>
      </c>
      <c r="BD17" s="76">
        <v>0</v>
      </c>
      <c r="BE17" s="76">
        <v>427961</v>
      </c>
      <c r="BF17" s="76">
        <v>1818</v>
      </c>
      <c r="BG17" s="76">
        <v>2774</v>
      </c>
      <c r="BH17" s="76">
        <v>40455</v>
      </c>
      <c r="BI17" s="76">
        <v>0</v>
      </c>
      <c r="BJ17" s="76">
        <v>8790</v>
      </c>
      <c r="BK17" s="76">
        <v>53837</v>
      </c>
      <c r="BL17" s="76">
        <v>0</v>
      </c>
      <c r="BM17" s="76">
        <v>0</v>
      </c>
      <c r="BN17" s="76">
        <v>56</v>
      </c>
      <c r="BO17" s="76">
        <v>8847</v>
      </c>
      <c r="BP17" s="76">
        <v>8903</v>
      </c>
      <c r="BQ17" s="76">
        <v>44934</v>
      </c>
      <c r="BR17" s="76">
        <v>472895</v>
      </c>
      <c r="BS17" s="76">
        <v>256733</v>
      </c>
      <c r="BT17" s="76">
        <v>0</v>
      </c>
      <c r="BU17" s="76">
        <v>0</v>
      </c>
      <c r="BV17" s="76">
        <v>5601</v>
      </c>
      <c r="BW17" s="76">
        <v>0</v>
      </c>
      <c r="BX17" s="76">
        <v>0</v>
      </c>
      <c r="BY17" s="76">
        <v>680</v>
      </c>
      <c r="BZ17" s="76">
        <v>263014</v>
      </c>
      <c r="CA17" s="76">
        <v>10821</v>
      </c>
      <c r="CB17" s="76">
        <v>0</v>
      </c>
      <c r="CC17" s="76">
        <v>199060</v>
      </c>
      <c r="CD17" s="76">
        <v>33935</v>
      </c>
      <c r="CE17" s="76">
        <v>163197</v>
      </c>
      <c r="CF17" s="76">
        <v>1928</v>
      </c>
      <c r="CG17" s="76">
        <v>0</v>
      </c>
      <c r="CH17" s="76">
        <v>0</v>
      </c>
      <c r="CI17" s="76">
        <v>199060</v>
      </c>
      <c r="CJ17" s="76">
        <v>10205</v>
      </c>
      <c r="CK17" s="76">
        <v>6641</v>
      </c>
      <c r="CL17" s="76">
        <v>0</v>
      </c>
      <c r="CM17" s="76">
        <v>3564</v>
      </c>
      <c r="CN17" s="76">
        <v>0</v>
      </c>
      <c r="CO17" s="76">
        <v>0</v>
      </c>
      <c r="CP17" s="76">
        <v>0</v>
      </c>
      <c r="CQ17" s="76">
        <v>0</v>
      </c>
      <c r="CR17" s="76">
        <v>1108</v>
      </c>
      <c r="CS17" s="76">
        <v>0</v>
      </c>
      <c r="CT17" s="76">
        <v>50</v>
      </c>
      <c r="CU17" s="76">
        <v>1058</v>
      </c>
      <c r="CV17" s="76">
        <v>0</v>
      </c>
      <c r="CW17" s="76">
        <v>0</v>
      </c>
      <c r="CX17" s="76">
        <v>0</v>
      </c>
      <c r="CY17" s="76">
        <v>0</v>
      </c>
      <c r="CZ17" s="76">
        <v>446</v>
      </c>
      <c r="DA17" s="76">
        <v>0</v>
      </c>
      <c r="DB17" s="76">
        <v>371</v>
      </c>
      <c r="DC17" s="76">
        <v>75</v>
      </c>
      <c r="DD17" s="76">
        <v>11759</v>
      </c>
      <c r="DE17" s="76">
        <v>6641</v>
      </c>
      <c r="DF17" s="76">
        <v>421</v>
      </c>
      <c r="DG17" s="76">
        <v>4697</v>
      </c>
      <c r="DH17" s="76">
        <v>0</v>
      </c>
      <c r="DI17" s="76">
        <v>0</v>
      </c>
      <c r="DJ17" s="76">
        <v>0</v>
      </c>
      <c r="DK17" s="76">
        <v>0</v>
      </c>
      <c r="DL17" s="76">
        <v>0</v>
      </c>
      <c r="DM17" s="76">
        <v>0</v>
      </c>
      <c r="DN17" s="76">
        <v>0</v>
      </c>
      <c r="DO17" s="76">
        <v>0</v>
      </c>
      <c r="DP17" s="76">
        <v>0</v>
      </c>
      <c r="DQ17" s="76">
        <v>0</v>
      </c>
      <c r="DR17" s="76">
        <v>0</v>
      </c>
      <c r="DS17" s="76">
        <v>0</v>
      </c>
      <c r="DT17" s="76">
        <v>428</v>
      </c>
      <c r="DU17" s="76">
        <v>0</v>
      </c>
      <c r="DV17" s="76">
        <v>50</v>
      </c>
      <c r="DW17" s="76">
        <v>378</v>
      </c>
      <c r="DX17" s="76">
        <v>0</v>
      </c>
      <c r="DY17" s="76">
        <v>0</v>
      </c>
      <c r="DZ17" s="76">
        <v>0</v>
      </c>
      <c r="EA17" s="76">
        <v>0</v>
      </c>
      <c r="EB17" s="76">
        <v>1147</v>
      </c>
      <c r="EC17" s="76">
        <v>0</v>
      </c>
      <c r="ED17" s="76">
        <v>30</v>
      </c>
      <c r="EE17" s="76">
        <v>1117</v>
      </c>
      <c r="EF17" s="76">
        <v>1575</v>
      </c>
      <c r="EG17" s="76">
        <v>0</v>
      </c>
      <c r="EH17" s="76">
        <v>80</v>
      </c>
      <c r="EI17" s="76">
        <v>1495</v>
      </c>
      <c r="EJ17" s="76">
        <v>13334</v>
      </c>
      <c r="EK17" s="76">
        <v>6641</v>
      </c>
      <c r="EL17" s="76">
        <v>501</v>
      </c>
      <c r="EM17" s="76">
        <v>6192</v>
      </c>
      <c r="EN17" s="76">
        <v>669</v>
      </c>
      <c r="EO17" s="76">
        <v>517</v>
      </c>
      <c r="EP17" s="76">
        <v>292</v>
      </c>
      <c r="EQ17" s="76">
        <v>466</v>
      </c>
      <c r="ER17" s="76">
        <v>424433</v>
      </c>
      <c r="ES17" s="76">
        <v>0</v>
      </c>
      <c r="ET17" s="76">
        <v>424433</v>
      </c>
      <c r="EU17" s="76">
        <v>40583</v>
      </c>
      <c r="EV17" s="76">
        <v>-1153</v>
      </c>
      <c r="EW17" s="76">
        <v>0</v>
      </c>
      <c r="EX17" s="76">
        <v>0</v>
      </c>
      <c r="EY17" s="76">
        <v>-1108</v>
      </c>
      <c r="EZ17" s="76">
        <v>462755</v>
      </c>
      <c r="FA17" s="76">
        <v>38610</v>
      </c>
      <c r="FB17" s="76">
        <v>6136</v>
      </c>
      <c r="FC17" s="76">
        <v>0</v>
      </c>
      <c r="FD17" s="76">
        <v>0</v>
      </c>
      <c r="FE17" s="76">
        <v>-552</v>
      </c>
      <c r="FF17" s="76">
        <v>0</v>
      </c>
      <c r="FG17" s="76">
        <v>0</v>
      </c>
      <c r="FH17" s="76">
        <v>44194</v>
      </c>
      <c r="FI17" s="76">
        <v>418561</v>
      </c>
      <c r="FJ17" s="76">
        <v>385823</v>
      </c>
      <c r="FK17" s="76">
        <v>1148</v>
      </c>
      <c r="FL17" s="76">
        <v>739</v>
      </c>
      <c r="FM17" s="76">
        <v>409</v>
      </c>
      <c r="FN17" s="76">
        <v>985</v>
      </c>
      <c r="FO17" s="76">
        <v>612</v>
      </c>
      <c r="FP17" s="76">
        <v>373</v>
      </c>
      <c r="FQ17" s="76">
        <v>323</v>
      </c>
      <c r="FR17" s="76">
        <v>316</v>
      </c>
      <c r="FS17" s="76">
        <v>7</v>
      </c>
      <c r="FT17" s="76">
        <v>153</v>
      </c>
      <c r="FU17" s="76">
        <v>45</v>
      </c>
      <c r="FV17" s="76">
        <v>108</v>
      </c>
      <c r="FW17" s="76">
        <v>0</v>
      </c>
      <c r="FX17" s="76">
        <v>0</v>
      </c>
      <c r="FY17" s="76">
        <v>0</v>
      </c>
      <c r="FZ17" s="76">
        <v>89</v>
      </c>
      <c r="GA17" s="76">
        <v>8</v>
      </c>
      <c r="GB17" s="76">
        <v>81</v>
      </c>
      <c r="GC17" s="76">
        <v>2698</v>
      </c>
      <c r="GD17" s="76">
        <v>1720</v>
      </c>
      <c r="GE17" s="76">
        <v>978</v>
      </c>
      <c r="GF17" s="76">
        <v>0</v>
      </c>
      <c r="GG17" s="76">
        <v>0</v>
      </c>
      <c r="GH17" s="76">
        <v>0</v>
      </c>
      <c r="GI17" s="76">
        <v>0</v>
      </c>
      <c r="GJ17" s="76">
        <v>0</v>
      </c>
      <c r="GK17" s="76">
        <v>8790</v>
      </c>
      <c r="GL17" s="76">
        <v>8790</v>
      </c>
      <c r="GM17" s="76">
        <v>0</v>
      </c>
      <c r="GN17" s="76">
        <v>943</v>
      </c>
      <c r="GO17" s="76">
        <v>2187</v>
      </c>
      <c r="GP17" s="76">
        <v>0</v>
      </c>
      <c r="GQ17" s="76">
        <v>0</v>
      </c>
      <c r="GR17" s="76">
        <v>4846</v>
      </c>
      <c r="GS17" s="76">
        <v>0</v>
      </c>
      <c r="GT17" s="76">
        <v>0</v>
      </c>
      <c r="GU17" s="76">
        <v>0</v>
      </c>
      <c r="GV17" s="76">
        <v>0</v>
      </c>
      <c r="GW17" s="76">
        <v>871</v>
      </c>
      <c r="GX17" s="76">
        <v>8847</v>
      </c>
      <c r="GY17" s="76">
        <v>449</v>
      </c>
      <c r="GZ17" s="76">
        <v>231</v>
      </c>
      <c r="HA17" s="76">
        <v>0</v>
      </c>
      <c r="HB17" s="76">
        <v>0</v>
      </c>
      <c r="HC17" s="76">
        <v>680</v>
      </c>
      <c r="HD17" s="76">
        <v>0</v>
      </c>
      <c r="HE17" s="76">
        <v>0</v>
      </c>
      <c r="HF17" s="76">
        <v>0</v>
      </c>
      <c r="HG17" s="76">
        <v>13668</v>
      </c>
      <c r="HH17" s="76">
        <v>0</v>
      </c>
      <c r="HI17" s="76">
        <v>286</v>
      </c>
      <c r="HJ17" s="76">
        <v>0</v>
      </c>
      <c r="HK17" s="76">
        <v>0</v>
      </c>
      <c r="HL17" s="76">
        <v>-1442</v>
      </c>
      <c r="HM17" s="76">
        <v>12512</v>
      </c>
      <c r="HN17" s="76">
        <v>5277</v>
      </c>
      <c r="HO17" s="76">
        <v>6296</v>
      </c>
      <c r="HP17" s="76">
        <v>0</v>
      </c>
      <c r="HQ17" s="76">
        <v>249</v>
      </c>
      <c r="HR17" s="76">
        <v>-16</v>
      </c>
      <c r="HS17" s="76">
        <v>320</v>
      </c>
      <c r="HT17" s="76">
        <v>7617</v>
      </c>
      <c r="HU17" s="76">
        <v>0</v>
      </c>
      <c r="HV17" s="76">
        <v>0</v>
      </c>
      <c r="HW17" s="76">
        <v>1</v>
      </c>
      <c r="HX17" s="76">
        <v>58</v>
      </c>
    </row>
    <row r="18" spans="1:232" x14ac:dyDescent="0.2">
      <c r="A18" s="74" t="s">
        <v>10</v>
      </c>
      <c r="B18" s="74" t="s">
        <v>9</v>
      </c>
      <c r="C18" s="75" t="s">
        <v>200</v>
      </c>
      <c r="D18" s="75">
        <v>12</v>
      </c>
      <c r="E18" s="76">
        <v>5391</v>
      </c>
      <c r="F18" s="76">
        <v>0</v>
      </c>
      <c r="G18" s="76">
        <v>-3381</v>
      </c>
      <c r="H18" s="76">
        <v>2010</v>
      </c>
      <c r="I18" s="76">
        <v>14</v>
      </c>
      <c r="J18" s="76">
        <v>0</v>
      </c>
      <c r="K18" s="76">
        <v>0</v>
      </c>
      <c r="L18" s="76">
        <v>0</v>
      </c>
      <c r="M18" s="76">
        <v>2</v>
      </c>
      <c r="N18" s="76">
        <v>-568</v>
      </c>
      <c r="O18" s="76">
        <v>0</v>
      </c>
      <c r="P18" s="76">
        <v>0</v>
      </c>
      <c r="Q18" s="76">
        <v>0</v>
      </c>
      <c r="R18" s="76">
        <v>0</v>
      </c>
      <c r="S18" s="76">
        <v>1458</v>
      </c>
      <c r="T18" s="76">
        <v>0</v>
      </c>
      <c r="U18" s="76">
        <v>1458</v>
      </c>
      <c r="V18" s="76">
        <v>0</v>
      </c>
      <c r="W18" s="76">
        <v>0</v>
      </c>
      <c r="X18" s="76">
        <v>0</v>
      </c>
      <c r="Y18" s="76">
        <v>0</v>
      </c>
      <c r="Z18" s="76">
        <v>1458</v>
      </c>
      <c r="AA18" s="76">
        <v>4428</v>
      </c>
      <c r="AB18" s="76">
        <v>432</v>
      </c>
      <c r="AC18" s="76">
        <v>4860</v>
      </c>
      <c r="AD18" s="76">
        <v>89</v>
      </c>
      <c r="AE18" s="76">
        <v>0</v>
      </c>
      <c r="AF18" s="76">
        <v>341</v>
      </c>
      <c r="AG18" s="76">
        <v>0</v>
      </c>
      <c r="AH18" s="76">
        <v>5290</v>
      </c>
      <c r="AI18" s="76">
        <v>777</v>
      </c>
      <c r="AJ18" s="76">
        <v>417</v>
      </c>
      <c r="AK18" s="76">
        <v>914</v>
      </c>
      <c r="AL18" s="76">
        <v>137</v>
      </c>
      <c r="AM18" s="76">
        <v>381</v>
      </c>
      <c r="AN18" s="76">
        <v>2</v>
      </c>
      <c r="AO18" s="76">
        <v>682</v>
      </c>
      <c r="AP18" s="76">
        <v>0</v>
      </c>
      <c r="AQ18" s="76">
        <v>0</v>
      </c>
      <c r="AR18" s="76">
        <v>3310</v>
      </c>
      <c r="AS18" s="76">
        <v>1980</v>
      </c>
      <c r="AT18" s="76">
        <v>15</v>
      </c>
      <c r="AU18" s="76">
        <v>31211</v>
      </c>
      <c r="AV18" s="76">
        <v>0</v>
      </c>
      <c r="AW18" s="76">
        <v>421</v>
      </c>
      <c r="AX18" s="76">
        <v>0</v>
      </c>
      <c r="AY18" s="76">
        <v>0</v>
      </c>
      <c r="AZ18" s="76">
        <v>0</v>
      </c>
      <c r="BA18" s="76">
        <v>0</v>
      </c>
      <c r="BB18" s="76">
        <v>0</v>
      </c>
      <c r="BC18" s="76">
        <v>0</v>
      </c>
      <c r="BD18" s="76">
        <v>0</v>
      </c>
      <c r="BE18" s="76">
        <v>31632</v>
      </c>
      <c r="BF18" s="76">
        <v>0</v>
      </c>
      <c r="BG18" s="76">
        <v>210</v>
      </c>
      <c r="BH18" s="76">
        <v>723</v>
      </c>
      <c r="BI18" s="76">
        <v>0</v>
      </c>
      <c r="BJ18" s="76">
        <v>0</v>
      </c>
      <c r="BK18" s="76">
        <v>933</v>
      </c>
      <c r="BL18" s="76">
        <v>773</v>
      </c>
      <c r="BM18" s="76">
        <v>0</v>
      </c>
      <c r="BN18" s="76">
        <v>89</v>
      </c>
      <c r="BO18" s="76">
        <v>766</v>
      </c>
      <c r="BP18" s="76">
        <v>1628</v>
      </c>
      <c r="BQ18" s="76">
        <v>-695</v>
      </c>
      <c r="BR18" s="76">
        <v>30937</v>
      </c>
      <c r="BS18" s="76">
        <v>14738</v>
      </c>
      <c r="BT18" s="76">
        <v>0</v>
      </c>
      <c r="BU18" s="76">
        <v>0</v>
      </c>
      <c r="BV18" s="76">
        <v>5420</v>
      </c>
      <c r="BW18" s="76">
        <v>0</v>
      </c>
      <c r="BX18" s="76">
        <v>0</v>
      </c>
      <c r="BY18" s="76">
        <v>517</v>
      </c>
      <c r="BZ18" s="76">
        <v>20675</v>
      </c>
      <c r="CA18" s="76">
        <v>0</v>
      </c>
      <c r="CB18" s="76">
        <v>0</v>
      </c>
      <c r="CC18" s="76">
        <v>10262</v>
      </c>
      <c r="CD18" s="76">
        <v>10262</v>
      </c>
      <c r="CE18" s="76">
        <v>0</v>
      </c>
      <c r="CF18" s="76">
        <v>0</v>
      </c>
      <c r="CG18" s="76">
        <v>0</v>
      </c>
      <c r="CH18" s="76">
        <v>0</v>
      </c>
      <c r="CI18" s="76">
        <v>10262</v>
      </c>
      <c r="CJ18" s="76">
        <v>0</v>
      </c>
      <c r="CK18" s="76">
        <v>0</v>
      </c>
      <c r="CL18" s="76">
        <v>0</v>
      </c>
      <c r="CM18" s="76">
        <v>0</v>
      </c>
      <c r="CN18" s="76">
        <v>34</v>
      </c>
      <c r="CO18" s="76">
        <v>0</v>
      </c>
      <c r="CP18" s="76">
        <v>31</v>
      </c>
      <c r="CQ18" s="76">
        <v>3</v>
      </c>
      <c r="CR18" s="76">
        <v>0</v>
      </c>
      <c r="CS18" s="76">
        <v>0</v>
      </c>
      <c r="CT18" s="76">
        <v>0</v>
      </c>
      <c r="CU18" s="76">
        <v>0</v>
      </c>
      <c r="CV18" s="76">
        <v>0</v>
      </c>
      <c r="CW18" s="76">
        <v>0</v>
      </c>
      <c r="CX18" s="76">
        <v>0</v>
      </c>
      <c r="CY18" s="76">
        <v>0</v>
      </c>
      <c r="CZ18" s="76">
        <v>48</v>
      </c>
      <c r="DA18" s="76">
        <v>0</v>
      </c>
      <c r="DB18" s="76">
        <v>40</v>
      </c>
      <c r="DC18" s="76">
        <v>8</v>
      </c>
      <c r="DD18" s="76">
        <v>82</v>
      </c>
      <c r="DE18" s="76">
        <v>0</v>
      </c>
      <c r="DF18" s="76">
        <v>71</v>
      </c>
      <c r="DG18" s="76">
        <v>11</v>
      </c>
      <c r="DH18" s="76">
        <v>0</v>
      </c>
      <c r="DI18" s="76">
        <v>0</v>
      </c>
      <c r="DJ18" s="76">
        <v>0</v>
      </c>
      <c r="DK18" s="76">
        <v>0</v>
      </c>
      <c r="DL18" s="76">
        <v>0</v>
      </c>
      <c r="DM18" s="76">
        <v>0</v>
      </c>
      <c r="DN18" s="76">
        <v>0</v>
      </c>
      <c r="DO18" s="76">
        <v>0</v>
      </c>
      <c r="DP18" s="76">
        <v>0</v>
      </c>
      <c r="DQ18" s="76">
        <v>0</v>
      </c>
      <c r="DR18" s="76">
        <v>0</v>
      </c>
      <c r="DS18" s="76">
        <v>0</v>
      </c>
      <c r="DT18" s="76">
        <v>0</v>
      </c>
      <c r="DU18" s="76">
        <v>0</v>
      </c>
      <c r="DV18" s="76">
        <v>0</v>
      </c>
      <c r="DW18" s="76">
        <v>0</v>
      </c>
      <c r="DX18" s="76">
        <v>0</v>
      </c>
      <c r="DY18" s="76">
        <v>0</v>
      </c>
      <c r="DZ18" s="76">
        <v>0</v>
      </c>
      <c r="EA18" s="76">
        <v>0</v>
      </c>
      <c r="EB18" s="76">
        <v>18</v>
      </c>
      <c r="EC18" s="76">
        <v>0</v>
      </c>
      <c r="ED18" s="76">
        <v>0</v>
      </c>
      <c r="EE18" s="76">
        <v>18</v>
      </c>
      <c r="EF18" s="76">
        <v>18</v>
      </c>
      <c r="EG18" s="76">
        <v>0</v>
      </c>
      <c r="EH18" s="76">
        <v>0</v>
      </c>
      <c r="EI18" s="76">
        <v>18</v>
      </c>
      <c r="EJ18" s="76">
        <v>100</v>
      </c>
      <c r="EK18" s="76">
        <v>0</v>
      </c>
      <c r="EL18" s="76">
        <v>71</v>
      </c>
      <c r="EM18" s="76">
        <v>29</v>
      </c>
      <c r="EN18" s="76">
        <v>201</v>
      </c>
      <c r="EO18" s="76">
        <v>52</v>
      </c>
      <c r="EP18" s="76">
        <v>70</v>
      </c>
      <c r="EQ18" s="76">
        <v>52</v>
      </c>
      <c r="ER18" s="76">
        <v>35222</v>
      </c>
      <c r="ES18" s="76">
        <v>0</v>
      </c>
      <c r="ET18" s="76">
        <v>35222</v>
      </c>
      <c r="EU18" s="76">
        <v>2131</v>
      </c>
      <c r="EV18" s="76">
        <v>-235</v>
      </c>
      <c r="EW18" s="76">
        <v>0</v>
      </c>
      <c r="EX18" s="76">
        <v>0</v>
      </c>
      <c r="EY18" s="76">
        <v>0</v>
      </c>
      <c r="EZ18" s="76">
        <v>37118</v>
      </c>
      <c r="FA18" s="76">
        <v>5347</v>
      </c>
      <c r="FB18" s="76">
        <v>682</v>
      </c>
      <c r="FC18" s="76">
        <v>0</v>
      </c>
      <c r="FD18" s="76">
        <v>0</v>
      </c>
      <c r="FE18" s="76">
        <v>-122</v>
      </c>
      <c r="FF18" s="76">
        <v>0</v>
      </c>
      <c r="FG18" s="76">
        <v>0</v>
      </c>
      <c r="FH18" s="76">
        <v>5907</v>
      </c>
      <c r="FI18" s="76">
        <v>31211</v>
      </c>
      <c r="FJ18" s="76">
        <v>29875</v>
      </c>
      <c r="FK18" s="76">
        <v>0</v>
      </c>
      <c r="FL18" s="76">
        <v>0</v>
      </c>
      <c r="FM18" s="76">
        <v>0</v>
      </c>
      <c r="FN18" s="76">
        <v>0</v>
      </c>
      <c r="FO18" s="76">
        <v>0</v>
      </c>
      <c r="FP18" s="76">
        <v>0</v>
      </c>
      <c r="FQ18" s="76">
        <v>85</v>
      </c>
      <c r="FR18" s="76">
        <v>71</v>
      </c>
      <c r="FS18" s="76">
        <v>14</v>
      </c>
      <c r="FT18" s="76">
        <v>0</v>
      </c>
      <c r="FU18" s="76">
        <v>0</v>
      </c>
      <c r="FV18" s="76">
        <v>0</v>
      </c>
      <c r="FW18" s="76">
        <v>0</v>
      </c>
      <c r="FX18" s="76">
        <v>0</v>
      </c>
      <c r="FY18" s="76">
        <v>0</v>
      </c>
      <c r="FZ18" s="76">
        <v>0</v>
      </c>
      <c r="GA18" s="76">
        <v>0</v>
      </c>
      <c r="GB18" s="76">
        <v>0</v>
      </c>
      <c r="GC18" s="76">
        <v>85</v>
      </c>
      <c r="GD18" s="76">
        <v>71</v>
      </c>
      <c r="GE18" s="76">
        <v>14</v>
      </c>
      <c r="GF18" s="76">
        <v>0</v>
      </c>
      <c r="GG18" s="76">
        <v>4</v>
      </c>
      <c r="GH18" s="76">
        <v>0</v>
      </c>
      <c r="GI18" s="76">
        <v>0</v>
      </c>
      <c r="GJ18" s="76">
        <v>0</v>
      </c>
      <c r="GK18" s="76">
        <v>0</v>
      </c>
      <c r="GL18" s="76">
        <v>4</v>
      </c>
      <c r="GM18" s="76">
        <v>32</v>
      </c>
      <c r="GN18" s="76">
        <v>110</v>
      </c>
      <c r="GO18" s="76">
        <v>0</v>
      </c>
      <c r="GP18" s="76">
        <v>0</v>
      </c>
      <c r="GQ18" s="76">
        <v>35</v>
      </c>
      <c r="GR18" s="76">
        <v>493</v>
      </c>
      <c r="GS18" s="76">
        <v>0</v>
      </c>
      <c r="GT18" s="76">
        <v>0</v>
      </c>
      <c r="GU18" s="76">
        <v>64</v>
      </c>
      <c r="GV18" s="76">
        <v>0</v>
      </c>
      <c r="GW18" s="76">
        <v>32</v>
      </c>
      <c r="GX18" s="76">
        <v>766</v>
      </c>
      <c r="GY18" s="76">
        <v>0</v>
      </c>
      <c r="GZ18" s="76">
        <v>31</v>
      </c>
      <c r="HA18" s="76">
        <v>456</v>
      </c>
      <c r="HB18" s="76">
        <v>31</v>
      </c>
      <c r="HC18" s="76">
        <v>518</v>
      </c>
      <c r="HD18" s="76">
        <v>0</v>
      </c>
      <c r="HE18" s="76">
        <v>0</v>
      </c>
      <c r="HF18" s="76">
        <v>0</v>
      </c>
      <c r="HG18" s="76">
        <v>549</v>
      </c>
      <c r="HH18" s="76">
        <v>9</v>
      </c>
      <c r="HI18" s="76">
        <v>10</v>
      </c>
      <c r="HJ18" s="76">
        <v>0</v>
      </c>
      <c r="HK18" s="76">
        <v>0</v>
      </c>
      <c r="HL18" s="76">
        <v>0</v>
      </c>
      <c r="HM18" s="76">
        <v>568</v>
      </c>
      <c r="HN18" s="76">
        <v>291</v>
      </c>
      <c r="HO18" s="76">
        <v>695</v>
      </c>
      <c r="HP18" s="76">
        <v>0</v>
      </c>
      <c r="HQ18" s="76">
        <v>8</v>
      </c>
      <c r="HR18" s="76">
        <v>-1</v>
      </c>
      <c r="HS18" s="76">
        <v>20</v>
      </c>
      <c r="HT18" s="76">
        <v>1051</v>
      </c>
      <c r="HU18" s="76">
        <v>0</v>
      </c>
      <c r="HV18" s="76">
        <v>0</v>
      </c>
      <c r="HW18" s="76">
        <v>59</v>
      </c>
      <c r="HX18" s="76">
        <v>60</v>
      </c>
    </row>
    <row r="19" spans="1:232" x14ac:dyDescent="0.2">
      <c r="A19" s="71" t="s">
        <v>12</v>
      </c>
      <c r="B19" s="71" t="s">
        <v>11</v>
      </c>
      <c r="C19" s="72" t="s">
        <v>200</v>
      </c>
      <c r="D19" s="72">
        <v>12</v>
      </c>
      <c r="E19" s="73">
        <v>5891</v>
      </c>
      <c r="F19" s="73">
        <v>-37</v>
      </c>
      <c r="G19" s="73">
        <v>-3698</v>
      </c>
      <c r="H19" s="73">
        <v>2156</v>
      </c>
      <c r="I19" s="73">
        <v>14</v>
      </c>
      <c r="J19" s="73">
        <v>0</v>
      </c>
      <c r="K19" s="73">
        <v>0</v>
      </c>
      <c r="L19" s="73">
        <v>0</v>
      </c>
      <c r="M19" s="73">
        <v>24</v>
      </c>
      <c r="N19" s="73">
        <v>-739</v>
      </c>
      <c r="O19" s="73">
        <v>0</v>
      </c>
      <c r="P19" s="73">
        <v>0</v>
      </c>
      <c r="Q19" s="73">
        <v>0</v>
      </c>
      <c r="R19" s="73">
        <v>0</v>
      </c>
      <c r="S19" s="73">
        <v>1455</v>
      </c>
      <c r="T19" s="73">
        <v>0</v>
      </c>
      <c r="U19" s="73">
        <v>1455</v>
      </c>
      <c r="V19" s="73">
        <v>0</v>
      </c>
      <c r="W19" s="73">
        <v>0</v>
      </c>
      <c r="X19" s="73">
        <v>0</v>
      </c>
      <c r="Y19" s="73">
        <v>0</v>
      </c>
      <c r="Z19" s="73">
        <v>1455</v>
      </c>
      <c r="AA19" s="73">
        <v>4923</v>
      </c>
      <c r="AB19" s="73">
        <v>59</v>
      </c>
      <c r="AC19" s="73">
        <v>4982</v>
      </c>
      <c r="AD19" s="73">
        <v>801</v>
      </c>
      <c r="AE19" s="73">
        <v>0</v>
      </c>
      <c r="AF19" s="73">
        <v>0</v>
      </c>
      <c r="AG19" s="73">
        <v>0</v>
      </c>
      <c r="AH19" s="73">
        <v>5783</v>
      </c>
      <c r="AI19" s="73">
        <v>814</v>
      </c>
      <c r="AJ19" s="73">
        <v>45</v>
      </c>
      <c r="AK19" s="73">
        <v>879</v>
      </c>
      <c r="AL19" s="73">
        <v>262</v>
      </c>
      <c r="AM19" s="73">
        <v>0</v>
      </c>
      <c r="AN19" s="73">
        <v>3</v>
      </c>
      <c r="AO19" s="73">
        <v>1654</v>
      </c>
      <c r="AP19" s="73">
        <v>0</v>
      </c>
      <c r="AQ19" s="73">
        <v>0</v>
      </c>
      <c r="AR19" s="73">
        <v>3657</v>
      </c>
      <c r="AS19" s="73">
        <v>2126</v>
      </c>
      <c r="AT19" s="73">
        <v>22</v>
      </c>
      <c r="AU19" s="73">
        <v>53196</v>
      </c>
      <c r="AV19" s="73">
        <v>0</v>
      </c>
      <c r="AW19" s="73">
        <v>434</v>
      </c>
      <c r="AX19" s="73">
        <v>37</v>
      </c>
      <c r="AY19" s="73">
        <v>0</v>
      </c>
      <c r="AZ19" s="73">
        <v>0</v>
      </c>
      <c r="BA19" s="73">
        <v>0</v>
      </c>
      <c r="BB19" s="73">
        <v>0</v>
      </c>
      <c r="BC19" s="73">
        <v>0</v>
      </c>
      <c r="BD19" s="73">
        <v>0</v>
      </c>
      <c r="BE19" s="73">
        <v>53667</v>
      </c>
      <c r="BF19" s="73">
        <v>179</v>
      </c>
      <c r="BG19" s="73">
        <v>310</v>
      </c>
      <c r="BH19" s="73">
        <v>139</v>
      </c>
      <c r="BI19" s="73">
        <v>2023</v>
      </c>
      <c r="BJ19" s="73">
        <v>0</v>
      </c>
      <c r="BK19" s="73">
        <v>2651</v>
      </c>
      <c r="BL19" s="73">
        <v>473</v>
      </c>
      <c r="BM19" s="73">
        <v>0</v>
      </c>
      <c r="BN19" s="73">
        <v>814</v>
      </c>
      <c r="BO19" s="73">
        <v>1497</v>
      </c>
      <c r="BP19" s="73">
        <v>2784</v>
      </c>
      <c r="BQ19" s="73">
        <v>-133</v>
      </c>
      <c r="BR19" s="73">
        <v>53534</v>
      </c>
      <c r="BS19" s="73">
        <v>18273</v>
      </c>
      <c r="BT19" s="73">
        <v>0</v>
      </c>
      <c r="BU19" s="73">
        <v>0</v>
      </c>
      <c r="BV19" s="73">
        <v>23575</v>
      </c>
      <c r="BW19" s="73">
        <v>0</v>
      </c>
      <c r="BX19" s="73">
        <v>0</v>
      </c>
      <c r="BY19" s="73">
        <v>1497</v>
      </c>
      <c r="BZ19" s="73">
        <v>43345</v>
      </c>
      <c r="CA19" s="73">
        <v>0</v>
      </c>
      <c r="CB19" s="73">
        <v>0</v>
      </c>
      <c r="CC19" s="73">
        <v>10189</v>
      </c>
      <c r="CD19" s="73">
        <v>10189</v>
      </c>
      <c r="CE19" s="73">
        <v>0</v>
      </c>
      <c r="CF19" s="73">
        <v>0</v>
      </c>
      <c r="CG19" s="73">
        <v>0</v>
      </c>
      <c r="CH19" s="73">
        <v>0</v>
      </c>
      <c r="CI19" s="73">
        <v>10189</v>
      </c>
      <c r="CJ19" s="73">
        <v>88</v>
      </c>
      <c r="CK19" s="73">
        <v>37</v>
      </c>
      <c r="CL19" s="73">
        <v>0</v>
      </c>
      <c r="CM19" s="73">
        <v>51</v>
      </c>
      <c r="CN19" s="73">
        <v>0</v>
      </c>
      <c r="CO19" s="73">
        <v>0</v>
      </c>
      <c r="CP19" s="73">
        <v>0</v>
      </c>
      <c r="CQ19" s="73">
        <v>0</v>
      </c>
      <c r="CR19" s="73">
        <v>0</v>
      </c>
      <c r="CS19" s="73">
        <v>0</v>
      </c>
      <c r="CT19" s="73">
        <v>0</v>
      </c>
      <c r="CU19" s="73">
        <v>0</v>
      </c>
      <c r="CV19" s="73">
        <v>0</v>
      </c>
      <c r="CW19" s="73">
        <v>0</v>
      </c>
      <c r="CX19" s="73">
        <v>0</v>
      </c>
      <c r="CY19" s="73">
        <v>0</v>
      </c>
      <c r="CZ19" s="73">
        <v>0</v>
      </c>
      <c r="DA19" s="73">
        <v>0</v>
      </c>
      <c r="DB19" s="73">
        <v>41</v>
      </c>
      <c r="DC19" s="73">
        <v>-41</v>
      </c>
      <c r="DD19" s="73">
        <v>88</v>
      </c>
      <c r="DE19" s="73">
        <v>37</v>
      </c>
      <c r="DF19" s="73">
        <v>41</v>
      </c>
      <c r="DG19" s="73">
        <v>10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20</v>
      </c>
      <c r="EC19" s="73">
        <v>0</v>
      </c>
      <c r="ED19" s="73">
        <v>0</v>
      </c>
      <c r="EE19" s="73">
        <v>20</v>
      </c>
      <c r="EF19" s="73">
        <v>20</v>
      </c>
      <c r="EG19" s="73">
        <v>0</v>
      </c>
      <c r="EH19" s="73">
        <v>0</v>
      </c>
      <c r="EI19" s="73">
        <v>20</v>
      </c>
      <c r="EJ19" s="73">
        <v>108</v>
      </c>
      <c r="EK19" s="73">
        <v>37</v>
      </c>
      <c r="EL19" s="73">
        <v>41</v>
      </c>
      <c r="EM19" s="73">
        <v>30</v>
      </c>
      <c r="EN19" s="73">
        <v>153</v>
      </c>
      <c r="EO19" s="73">
        <v>35</v>
      </c>
      <c r="EP19" s="73">
        <v>61</v>
      </c>
      <c r="EQ19" s="73">
        <v>35</v>
      </c>
      <c r="ER19" s="73">
        <v>71636</v>
      </c>
      <c r="ES19" s="73">
        <v>0</v>
      </c>
      <c r="ET19" s="73">
        <v>71636</v>
      </c>
      <c r="EU19" s="73">
        <v>4294</v>
      </c>
      <c r="EV19" s="73">
        <v>-577</v>
      </c>
      <c r="EW19" s="73">
        <v>0</v>
      </c>
      <c r="EX19" s="73">
        <v>0</v>
      </c>
      <c r="EY19" s="73">
        <v>-10</v>
      </c>
      <c r="EZ19" s="73">
        <v>75343</v>
      </c>
      <c r="FA19" s="73">
        <v>20840</v>
      </c>
      <c r="FB19" s="73">
        <v>1601</v>
      </c>
      <c r="FC19" s="73">
        <v>-11</v>
      </c>
      <c r="FD19" s="73">
        <v>0</v>
      </c>
      <c r="FE19" s="73">
        <v>-283</v>
      </c>
      <c r="FF19" s="73">
        <v>0</v>
      </c>
      <c r="FG19" s="73">
        <v>0</v>
      </c>
      <c r="FH19" s="73">
        <v>22147</v>
      </c>
      <c r="FI19" s="73">
        <v>53196</v>
      </c>
      <c r="FJ19" s="73">
        <v>50796</v>
      </c>
      <c r="FK19" s="73">
        <v>58</v>
      </c>
      <c r="FL19" s="73">
        <v>77</v>
      </c>
      <c r="FM19" s="73">
        <v>-19</v>
      </c>
      <c r="FN19" s="73">
        <v>0</v>
      </c>
      <c r="FO19" s="73">
        <v>0</v>
      </c>
      <c r="FP19" s="73">
        <v>0</v>
      </c>
      <c r="FQ19" s="73">
        <v>0</v>
      </c>
      <c r="FR19" s="73">
        <v>0</v>
      </c>
      <c r="FS19" s="73">
        <v>0</v>
      </c>
      <c r="FT19" s="73">
        <v>283</v>
      </c>
      <c r="FU19" s="73">
        <v>250</v>
      </c>
      <c r="FV19" s="73">
        <v>33</v>
      </c>
      <c r="FW19" s="73">
        <v>0</v>
      </c>
      <c r="FX19" s="73">
        <v>0</v>
      </c>
      <c r="FY19" s="73">
        <v>0</v>
      </c>
      <c r="FZ19" s="73">
        <v>0</v>
      </c>
      <c r="GA19" s="73">
        <v>0</v>
      </c>
      <c r="GB19" s="73">
        <v>0</v>
      </c>
      <c r="GC19" s="73">
        <v>341</v>
      </c>
      <c r="GD19" s="73">
        <v>327</v>
      </c>
      <c r="GE19" s="73">
        <v>14</v>
      </c>
      <c r="GF19" s="73">
        <v>0</v>
      </c>
      <c r="GG19" s="73">
        <v>0</v>
      </c>
      <c r="GH19" s="73">
        <v>0</v>
      </c>
      <c r="GI19" s="73">
        <v>0</v>
      </c>
      <c r="GJ19" s="73">
        <v>0</v>
      </c>
      <c r="GK19" s="73">
        <v>0</v>
      </c>
      <c r="GL19" s="73">
        <v>0</v>
      </c>
      <c r="GM19" s="73">
        <v>369</v>
      </c>
      <c r="GN19" s="73">
        <v>183</v>
      </c>
      <c r="GO19" s="73">
        <v>0</v>
      </c>
      <c r="GP19" s="73">
        <v>0</v>
      </c>
      <c r="GQ19" s="73">
        <v>0</v>
      </c>
      <c r="GR19" s="73">
        <v>264</v>
      </c>
      <c r="GS19" s="73">
        <v>0</v>
      </c>
      <c r="GT19" s="73">
        <v>0</v>
      </c>
      <c r="GU19" s="73">
        <v>81</v>
      </c>
      <c r="GV19" s="73">
        <v>0</v>
      </c>
      <c r="GW19" s="73">
        <v>600</v>
      </c>
      <c r="GX19" s="73">
        <v>1497</v>
      </c>
      <c r="GY19" s="73">
        <v>372</v>
      </c>
      <c r="GZ19" s="73">
        <v>0</v>
      </c>
      <c r="HA19" s="73">
        <v>513</v>
      </c>
      <c r="HB19" s="73">
        <v>612</v>
      </c>
      <c r="HC19" s="73">
        <v>1497</v>
      </c>
      <c r="HD19" s="73">
        <v>0</v>
      </c>
      <c r="HE19" s="73">
        <v>0</v>
      </c>
      <c r="HF19" s="73">
        <v>0</v>
      </c>
      <c r="HG19" s="73">
        <v>770</v>
      </c>
      <c r="HH19" s="73">
        <v>-17</v>
      </c>
      <c r="HI19" s="73">
        <v>12</v>
      </c>
      <c r="HJ19" s="73">
        <v>0</v>
      </c>
      <c r="HK19" s="73">
        <v>7</v>
      </c>
      <c r="HL19" s="73">
        <v>-33</v>
      </c>
      <c r="HM19" s="73">
        <v>739</v>
      </c>
      <c r="HN19" s="73">
        <v>698</v>
      </c>
      <c r="HO19" s="73">
        <v>1692</v>
      </c>
      <c r="HP19" s="73">
        <v>-11</v>
      </c>
      <c r="HQ19" s="73">
        <v>26</v>
      </c>
      <c r="HR19" s="73">
        <v>-7</v>
      </c>
      <c r="HS19" s="73">
        <v>0</v>
      </c>
      <c r="HT19" s="73">
        <v>1156</v>
      </c>
      <c r="HU19" s="73">
        <v>0</v>
      </c>
      <c r="HV19" s="73">
        <v>0</v>
      </c>
      <c r="HW19" s="73">
        <v>0</v>
      </c>
      <c r="HX19" s="73">
        <v>0</v>
      </c>
    </row>
    <row r="20" spans="1:232" x14ac:dyDescent="0.2">
      <c r="A20" s="74" t="s">
        <v>237</v>
      </c>
      <c r="B20" s="74" t="s">
        <v>236</v>
      </c>
      <c r="C20" s="75" t="s">
        <v>200</v>
      </c>
      <c r="D20" s="75">
        <v>12</v>
      </c>
      <c r="E20" s="76">
        <v>6015</v>
      </c>
      <c r="F20" s="76">
        <v>-115</v>
      </c>
      <c r="G20" s="76">
        <v>-4053</v>
      </c>
      <c r="H20" s="76">
        <v>1847</v>
      </c>
      <c r="I20" s="76">
        <v>349</v>
      </c>
      <c r="J20" s="76">
        <v>63</v>
      </c>
      <c r="K20" s="76">
        <v>0</v>
      </c>
      <c r="L20" s="76">
        <v>0</v>
      </c>
      <c r="M20" s="76">
        <v>7</v>
      </c>
      <c r="N20" s="76">
        <v>-737</v>
      </c>
      <c r="O20" s="76">
        <v>0</v>
      </c>
      <c r="P20" s="76">
        <v>0</v>
      </c>
      <c r="Q20" s="76">
        <v>0</v>
      </c>
      <c r="R20" s="76">
        <v>0</v>
      </c>
      <c r="S20" s="76">
        <v>1529</v>
      </c>
      <c r="T20" s="76">
        <v>0</v>
      </c>
      <c r="U20" s="76">
        <v>1529</v>
      </c>
      <c r="V20" s="76">
        <v>0</v>
      </c>
      <c r="W20" s="76">
        <v>0</v>
      </c>
      <c r="X20" s="76">
        <v>0</v>
      </c>
      <c r="Y20" s="76">
        <v>0</v>
      </c>
      <c r="Z20" s="76">
        <v>1529</v>
      </c>
      <c r="AA20" s="76">
        <v>5039</v>
      </c>
      <c r="AB20" s="76">
        <v>229</v>
      </c>
      <c r="AC20" s="76">
        <v>5268</v>
      </c>
      <c r="AD20" s="76">
        <v>477</v>
      </c>
      <c r="AE20" s="76">
        <v>0</v>
      </c>
      <c r="AF20" s="76">
        <v>0</v>
      </c>
      <c r="AG20" s="76">
        <v>145</v>
      </c>
      <c r="AH20" s="76">
        <v>5890</v>
      </c>
      <c r="AI20" s="76">
        <v>1078</v>
      </c>
      <c r="AJ20" s="76">
        <v>223</v>
      </c>
      <c r="AK20" s="76">
        <v>814</v>
      </c>
      <c r="AL20" s="76">
        <v>208</v>
      </c>
      <c r="AM20" s="76">
        <v>304</v>
      </c>
      <c r="AN20" s="76">
        <v>51</v>
      </c>
      <c r="AO20" s="76">
        <v>1255</v>
      </c>
      <c r="AP20" s="76">
        <v>0</v>
      </c>
      <c r="AQ20" s="76">
        <v>120</v>
      </c>
      <c r="AR20" s="76">
        <v>4053</v>
      </c>
      <c r="AS20" s="76">
        <v>1837</v>
      </c>
      <c r="AT20" s="76">
        <v>34</v>
      </c>
      <c r="AU20" s="76">
        <v>52393</v>
      </c>
      <c r="AV20" s="76">
        <v>0</v>
      </c>
      <c r="AW20" s="76">
        <v>86</v>
      </c>
      <c r="AX20" s="76">
        <v>0</v>
      </c>
      <c r="AY20" s="76">
        <v>0</v>
      </c>
      <c r="AZ20" s="76">
        <v>0</v>
      </c>
      <c r="BA20" s="76">
        <v>0</v>
      </c>
      <c r="BB20" s="76">
        <v>0</v>
      </c>
      <c r="BC20" s="76">
        <v>0</v>
      </c>
      <c r="BD20" s="76">
        <v>0</v>
      </c>
      <c r="BE20" s="76">
        <v>52479</v>
      </c>
      <c r="BF20" s="76">
        <v>94</v>
      </c>
      <c r="BG20" s="76">
        <v>612</v>
      </c>
      <c r="BH20" s="76">
        <v>921</v>
      </c>
      <c r="BI20" s="76">
        <v>1004</v>
      </c>
      <c r="BJ20" s="76">
        <v>0</v>
      </c>
      <c r="BK20" s="76">
        <v>2631</v>
      </c>
      <c r="BL20" s="76">
        <v>251</v>
      </c>
      <c r="BM20" s="76">
        <v>0</v>
      </c>
      <c r="BN20" s="76">
        <v>427</v>
      </c>
      <c r="BO20" s="76">
        <v>739</v>
      </c>
      <c r="BP20" s="76">
        <v>1417</v>
      </c>
      <c r="BQ20" s="76">
        <v>1214</v>
      </c>
      <c r="BR20" s="76">
        <v>53693</v>
      </c>
      <c r="BS20" s="76">
        <v>16417</v>
      </c>
      <c r="BT20" s="76">
        <v>0</v>
      </c>
      <c r="BU20" s="76">
        <v>0</v>
      </c>
      <c r="BV20" s="76">
        <v>19507</v>
      </c>
      <c r="BW20" s="76">
        <v>0</v>
      </c>
      <c r="BX20" s="76">
        <v>0</v>
      </c>
      <c r="BY20" s="76">
        <v>150</v>
      </c>
      <c r="BZ20" s="76">
        <v>36074</v>
      </c>
      <c r="CA20" s="76">
        <v>0</v>
      </c>
      <c r="CB20" s="76">
        <v>0</v>
      </c>
      <c r="CC20" s="76">
        <v>17619</v>
      </c>
      <c r="CD20" s="76">
        <v>17619</v>
      </c>
      <c r="CE20" s="76">
        <v>0</v>
      </c>
      <c r="CF20" s="76">
        <v>0</v>
      </c>
      <c r="CG20" s="76">
        <v>0</v>
      </c>
      <c r="CH20" s="76">
        <v>0</v>
      </c>
      <c r="CI20" s="76">
        <v>17619</v>
      </c>
      <c r="CJ20" s="76">
        <v>125</v>
      </c>
      <c r="CK20" s="76">
        <v>115</v>
      </c>
      <c r="CL20" s="76">
        <v>0</v>
      </c>
      <c r="CM20" s="76">
        <v>10</v>
      </c>
      <c r="CN20" s="76">
        <v>0</v>
      </c>
      <c r="CO20" s="76">
        <v>0</v>
      </c>
      <c r="CP20" s="76">
        <v>0</v>
      </c>
      <c r="CQ20" s="76">
        <v>0</v>
      </c>
      <c r="CR20" s="76">
        <v>0</v>
      </c>
      <c r="CS20" s="76">
        <v>0</v>
      </c>
      <c r="CT20" s="76">
        <v>0</v>
      </c>
      <c r="CU20" s="76">
        <v>0</v>
      </c>
      <c r="CV20" s="76">
        <v>0</v>
      </c>
      <c r="CW20" s="76">
        <v>0</v>
      </c>
      <c r="CX20" s="76">
        <v>0</v>
      </c>
      <c r="CY20" s="76">
        <v>0</v>
      </c>
      <c r="CZ20" s="76">
        <v>0</v>
      </c>
      <c r="DA20" s="76">
        <v>0</v>
      </c>
      <c r="DB20" s="76">
        <v>0</v>
      </c>
      <c r="DC20" s="76">
        <v>0</v>
      </c>
      <c r="DD20" s="76">
        <v>125</v>
      </c>
      <c r="DE20" s="76">
        <v>115</v>
      </c>
      <c r="DF20" s="76">
        <v>0</v>
      </c>
      <c r="DG20" s="76">
        <v>10</v>
      </c>
      <c r="DH20" s="76">
        <v>0</v>
      </c>
      <c r="DI20" s="76">
        <v>0</v>
      </c>
      <c r="DJ20" s="76">
        <v>0</v>
      </c>
      <c r="DK20" s="76">
        <v>0</v>
      </c>
      <c r="DL20" s="76">
        <v>0</v>
      </c>
      <c r="DM20" s="76">
        <v>0</v>
      </c>
      <c r="DN20" s="76">
        <v>0</v>
      </c>
      <c r="DO20" s="76">
        <v>0</v>
      </c>
      <c r="DP20" s="76">
        <v>0</v>
      </c>
      <c r="DQ20" s="76">
        <v>0</v>
      </c>
      <c r="DR20" s="76">
        <v>0</v>
      </c>
      <c r="DS20" s="76">
        <v>0</v>
      </c>
      <c r="DT20" s="76">
        <v>0</v>
      </c>
      <c r="DU20" s="76">
        <v>0</v>
      </c>
      <c r="DV20" s="76">
        <v>0</v>
      </c>
      <c r="DW20" s="76">
        <v>0</v>
      </c>
      <c r="DX20" s="76">
        <v>0</v>
      </c>
      <c r="DY20" s="76">
        <v>0</v>
      </c>
      <c r="DZ20" s="76">
        <v>0</v>
      </c>
      <c r="EA20" s="76">
        <v>0</v>
      </c>
      <c r="EB20" s="76">
        <v>0</v>
      </c>
      <c r="EC20" s="76">
        <v>0</v>
      </c>
      <c r="ED20" s="76">
        <v>0</v>
      </c>
      <c r="EE20" s="76">
        <v>0</v>
      </c>
      <c r="EF20" s="76">
        <v>0</v>
      </c>
      <c r="EG20" s="76">
        <v>0</v>
      </c>
      <c r="EH20" s="76">
        <v>0</v>
      </c>
      <c r="EI20" s="76">
        <v>0</v>
      </c>
      <c r="EJ20" s="76">
        <v>125</v>
      </c>
      <c r="EK20" s="76">
        <v>115</v>
      </c>
      <c r="EL20" s="76">
        <v>0</v>
      </c>
      <c r="EM20" s="76">
        <v>10</v>
      </c>
      <c r="EN20" s="76">
        <v>163</v>
      </c>
      <c r="EO20" s="76">
        <v>44</v>
      </c>
      <c r="EP20" s="76">
        <v>42</v>
      </c>
      <c r="EQ20" s="76">
        <v>35</v>
      </c>
      <c r="ER20" s="76">
        <v>67154</v>
      </c>
      <c r="ES20" s="76">
        <v>0</v>
      </c>
      <c r="ET20" s="76">
        <v>67154</v>
      </c>
      <c r="EU20" s="76">
        <v>1942</v>
      </c>
      <c r="EV20" s="76">
        <v>-521</v>
      </c>
      <c r="EW20" s="76">
        <v>0</v>
      </c>
      <c r="EX20" s="76">
        <v>0</v>
      </c>
      <c r="EY20" s="76">
        <v>-314</v>
      </c>
      <c r="EZ20" s="76">
        <v>68261</v>
      </c>
      <c r="FA20" s="76">
        <v>15038</v>
      </c>
      <c r="FB20" s="76">
        <v>1154</v>
      </c>
      <c r="FC20" s="76">
        <v>0</v>
      </c>
      <c r="FD20" s="76">
        <v>0</v>
      </c>
      <c r="FE20" s="76">
        <v>-324</v>
      </c>
      <c r="FF20" s="76">
        <v>0</v>
      </c>
      <c r="FG20" s="76">
        <v>0</v>
      </c>
      <c r="FH20" s="76">
        <v>15868</v>
      </c>
      <c r="FI20" s="76">
        <v>52393</v>
      </c>
      <c r="FJ20" s="76">
        <v>52116</v>
      </c>
      <c r="FK20" s="76">
        <v>0</v>
      </c>
      <c r="FL20" s="76">
        <v>0</v>
      </c>
      <c r="FM20" s="76">
        <v>0</v>
      </c>
      <c r="FN20" s="76">
        <v>48</v>
      </c>
      <c r="FO20" s="76">
        <v>24</v>
      </c>
      <c r="FP20" s="76">
        <v>24</v>
      </c>
      <c r="FQ20" s="76">
        <v>0</v>
      </c>
      <c r="FR20" s="76">
        <v>0</v>
      </c>
      <c r="FS20" s="76">
        <v>0</v>
      </c>
      <c r="FT20" s="76">
        <v>652</v>
      </c>
      <c r="FU20" s="76">
        <v>327</v>
      </c>
      <c r="FV20" s="76">
        <v>325</v>
      </c>
      <c r="FW20" s="76">
        <v>0</v>
      </c>
      <c r="FX20" s="76">
        <v>0</v>
      </c>
      <c r="FY20" s="76">
        <v>0</v>
      </c>
      <c r="FZ20" s="76">
        <v>0</v>
      </c>
      <c r="GA20" s="76">
        <v>0</v>
      </c>
      <c r="GB20" s="76">
        <v>0</v>
      </c>
      <c r="GC20" s="76">
        <v>700</v>
      </c>
      <c r="GD20" s="76">
        <v>351</v>
      </c>
      <c r="GE20" s="76">
        <v>349</v>
      </c>
      <c r="GF20" s="76">
        <v>0</v>
      </c>
      <c r="GG20" s="76">
        <v>0</v>
      </c>
      <c r="GH20" s="76">
        <v>0</v>
      </c>
      <c r="GI20" s="76">
        <v>0</v>
      </c>
      <c r="GJ20" s="76">
        <v>0</v>
      </c>
      <c r="GK20" s="76">
        <v>0</v>
      </c>
      <c r="GL20" s="76">
        <v>0</v>
      </c>
      <c r="GM20" s="76">
        <v>88</v>
      </c>
      <c r="GN20" s="76">
        <v>102</v>
      </c>
      <c r="GO20" s="76">
        <v>0</v>
      </c>
      <c r="GP20" s="76">
        <v>53</v>
      </c>
      <c r="GQ20" s="76">
        <v>0</v>
      </c>
      <c r="GR20" s="76">
        <v>496</v>
      </c>
      <c r="GS20" s="76">
        <v>0</v>
      </c>
      <c r="GT20" s="76">
        <v>0</v>
      </c>
      <c r="GU20" s="76">
        <v>0</v>
      </c>
      <c r="GV20" s="76">
        <v>0</v>
      </c>
      <c r="GW20" s="76">
        <v>0</v>
      </c>
      <c r="GX20" s="76">
        <v>739</v>
      </c>
      <c r="GY20" s="76">
        <v>138</v>
      </c>
      <c r="GZ20" s="76">
        <v>0</v>
      </c>
      <c r="HA20" s="76">
        <v>0</v>
      </c>
      <c r="HB20" s="76">
        <v>12</v>
      </c>
      <c r="HC20" s="76">
        <v>150</v>
      </c>
      <c r="HD20" s="76">
        <v>0</v>
      </c>
      <c r="HE20" s="76">
        <v>0</v>
      </c>
      <c r="HF20" s="76">
        <v>0</v>
      </c>
      <c r="HG20" s="76">
        <v>737</v>
      </c>
      <c r="HH20" s="76">
        <v>0</v>
      </c>
      <c r="HI20" s="76">
        <v>0</v>
      </c>
      <c r="HJ20" s="76">
        <v>0</v>
      </c>
      <c r="HK20" s="76">
        <v>0</v>
      </c>
      <c r="HL20" s="76">
        <v>0</v>
      </c>
      <c r="HM20" s="76">
        <v>737</v>
      </c>
      <c r="HN20" s="76">
        <v>445</v>
      </c>
      <c r="HO20" s="76">
        <v>1255</v>
      </c>
      <c r="HP20" s="76">
        <v>0</v>
      </c>
      <c r="HQ20" s="76">
        <v>20</v>
      </c>
      <c r="HR20" s="76">
        <v>-9</v>
      </c>
      <c r="HS20" s="76">
        <v>0</v>
      </c>
      <c r="HT20" s="76">
        <v>1179</v>
      </c>
      <c r="HU20" s="76">
        <v>0</v>
      </c>
      <c r="HV20" s="76">
        <v>-1</v>
      </c>
      <c r="HW20" s="76">
        <v>0</v>
      </c>
      <c r="HX20" s="76">
        <v>59</v>
      </c>
    </row>
    <row r="21" spans="1:232" x14ac:dyDescent="0.2">
      <c r="A21" s="74" t="s">
        <v>238</v>
      </c>
      <c r="B21" s="74" t="s">
        <v>239</v>
      </c>
      <c r="C21" s="75" t="s">
        <v>200</v>
      </c>
      <c r="D21" s="75">
        <v>12</v>
      </c>
      <c r="E21" s="76">
        <v>74464</v>
      </c>
      <c r="F21" s="76">
        <v>-3810</v>
      </c>
      <c r="G21" s="76">
        <v>-53484</v>
      </c>
      <c r="H21" s="76">
        <v>17170</v>
      </c>
      <c r="I21" s="76">
        <v>723</v>
      </c>
      <c r="J21" s="76">
        <v>1000</v>
      </c>
      <c r="K21" s="76">
        <v>0</v>
      </c>
      <c r="L21" s="76">
        <v>0</v>
      </c>
      <c r="M21" s="76">
        <v>155</v>
      </c>
      <c r="N21" s="76">
        <v>-8402</v>
      </c>
      <c r="O21" s="76">
        <v>0</v>
      </c>
      <c r="P21" s="76">
        <v>0</v>
      </c>
      <c r="Q21" s="76">
        <v>0</v>
      </c>
      <c r="R21" s="76">
        <v>0</v>
      </c>
      <c r="S21" s="76">
        <v>10646</v>
      </c>
      <c r="T21" s="76">
        <v>0</v>
      </c>
      <c r="U21" s="76">
        <v>10646</v>
      </c>
      <c r="V21" s="76">
        <v>0</v>
      </c>
      <c r="W21" s="76">
        <v>-3084</v>
      </c>
      <c r="X21" s="76">
        <v>0</v>
      </c>
      <c r="Y21" s="76">
        <v>0</v>
      </c>
      <c r="Z21" s="76">
        <v>7562</v>
      </c>
      <c r="AA21" s="76">
        <v>49030</v>
      </c>
      <c r="AB21" s="76">
        <v>12715</v>
      </c>
      <c r="AC21" s="76">
        <v>61745</v>
      </c>
      <c r="AD21" s="76">
        <v>2870</v>
      </c>
      <c r="AE21" s="76">
        <v>0</v>
      </c>
      <c r="AF21" s="76">
        <v>0</v>
      </c>
      <c r="AG21" s="76">
        <v>2305</v>
      </c>
      <c r="AH21" s="76">
        <v>66920</v>
      </c>
      <c r="AI21" s="76">
        <v>19327</v>
      </c>
      <c r="AJ21" s="76">
        <v>8936</v>
      </c>
      <c r="AK21" s="76">
        <v>5349</v>
      </c>
      <c r="AL21" s="76">
        <v>3566</v>
      </c>
      <c r="AM21" s="76">
        <v>756</v>
      </c>
      <c r="AN21" s="76">
        <v>794</v>
      </c>
      <c r="AO21" s="76">
        <v>9115</v>
      </c>
      <c r="AP21" s="76">
        <v>1348</v>
      </c>
      <c r="AQ21" s="76">
        <v>1375</v>
      </c>
      <c r="AR21" s="76">
        <v>50566</v>
      </c>
      <c r="AS21" s="76">
        <v>16354</v>
      </c>
      <c r="AT21" s="76">
        <v>2437</v>
      </c>
      <c r="AU21" s="76">
        <v>501596</v>
      </c>
      <c r="AV21" s="76">
        <v>0</v>
      </c>
      <c r="AW21" s="76">
        <v>7363</v>
      </c>
      <c r="AX21" s="76">
        <v>0</v>
      </c>
      <c r="AY21" s="76">
        <v>0</v>
      </c>
      <c r="AZ21" s="76">
        <v>191</v>
      </c>
      <c r="BA21" s="76">
        <v>0</v>
      </c>
      <c r="BB21" s="76">
        <v>0</v>
      </c>
      <c r="BC21" s="76">
        <v>0</v>
      </c>
      <c r="BD21" s="76">
        <v>0</v>
      </c>
      <c r="BE21" s="76">
        <v>509150</v>
      </c>
      <c r="BF21" s="76">
        <v>30169</v>
      </c>
      <c r="BG21" s="76">
        <v>1858</v>
      </c>
      <c r="BH21" s="76">
        <v>20956</v>
      </c>
      <c r="BI21" s="76">
        <v>0</v>
      </c>
      <c r="BJ21" s="76">
        <v>7585</v>
      </c>
      <c r="BK21" s="76">
        <v>60568</v>
      </c>
      <c r="BL21" s="76">
        <v>37663</v>
      </c>
      <c r="BM21" s="76">
        <v>0</v>
      </c>
      <c r="BN21" s="76">
        <v>2871</v>
      </c>
      <c r="BO21" s="76">
        <v>16311</v>
      </c>
      <c r="BP21" s="76">
        <v>56845</v>
      </c>
      <c r="BQ21" s="76">
        <v>3723</v>
      </c>
      <c r="BR21" s="76">
        <v>512873</v>
      </c>
      <c r="BS21" s="76">
        <v>157070</v>
      </c>
      <c r="BT21" s="76">
        <v>0</v>
      </c>
      <c r="BU21" s="76">
        <v>0</v>
      </c>
      <c r="BV21" s="76">
        <v>253587</v>
      </c>
      <c r="BW21" s="76">
        <v>0</v>
      </c>
      <c r="BX21" s="76">
        <v>0</v>
      </c>
      <c r="BY21" s="76">
        <v>6973</v>
      </c>
      <c r="BZ21" s="76">
        <v>417630</v>
      </c>
      <c r="CA21" s="76">
        <v>4743</v>
      </c>
      <c r="CB21" s="76">
        <v>45</v>
      </c>
      <c r="CC21" s="76">
        <v>90455</v>
      </c>
      <c r="CD21" s="76">
        <v>90455</v>
      </c>
      <c r="CE21" s="76">
        <v>0</v>
      </c>
      <c r="CF21" s="76">
        <v>0</v>
      </c>
      <c r="CG21" s="76">
        <v>0</v>
      </c>
      <c r="CH21" s="76">
        <v>0</v>
      </c>
      <c r="CI21" s="76">
        <v>90455</v>
      </c>
      <c r="CJ21" s="76">
        <v>1986</v>
      </c>
      <c r="CK21" s="76">
        <v>1472</v>
      </c>
      <c r="CL21" s="76">
        <v>0</v>
      </c>
      <c r="CM21" s="76">
        <v>514</v>
      </c>
      <c r="CN21" s="76">
        <v>2102</v>
      </c>
      <c r="CO21" s="76">
        <v>0</v>
      </c>
      <c r="CP21" s="76">
        <v>1500</v>
      </c>
      <c r="CQ21" s="76">
        <v>602</v>
      </c>
      <c r="CR21" s="76">
        <v>0</v>
      </c>
      <c r="CS21" s="76">
        <v>0</v>
      </c>
      <c r="CT21" s="76">
        <v>0</v>
      </c>
      <c r="CU21" s="76">
        <v>0</v>
      </c>
      <c r="CV21" s="76">
        <v>0</v>
      </c>
      <c r="CW21" s="76">
        <v>0</v>
      </c>
      <c r="CX21" s="76">
        <v>500</v>
      </c>
      <c r="CY21" s="76">
        <v>-500</v>
      </c>
      <c r="CZ21" s="76">
        <v>485</v>
      </c>
      <c r="DA21" s="76">
        <v>0</v>
      </c>
      <c r="DB21" s="76">
        <v>896</v>
      </c>
      <c r="DC21" s="76">
        <v>-411</v>
      </c>
      <c r="DD21" s="76">
        <v>4573</v>
      </c>
      <c r="DE21" s="76">
        <v>1472</v>
      </c>
      <c r="DF21" s="76">
        <v>2896</v>
      </c>
      <c r="DG21" s="76">
        <v>205</v>
      </c>
      <c r="DH21" s="76">
        <v>2862</v>
      </c>
      <c r="DI21" s="76">
        <v>2338</v>
      </c>
      <c r="DJ21" s="76">
        <v>0</v>
      </c>
      <c r="DK21" s="76">
        <v>524</v>
      </c>
      <c r="DL21" s="76">
        <v>0</v>
      </c>
      <c r="DM21" s="76">
        <v>0</v>
      </c>
      <c r="DN21" s="76">
        <v>0</v>
      </c>
      <c r="DO21" s="76">
        <v>0</v>
      </c>
      <c r="DP21" s="76">
        <v>0</v>
      </c>
      <c r="DQ21" s="76">
        <v>0</v>
      </c>
      <c r="DR21" s="76">
        <v>0</v>
      </c>
      <c r="DS21" s="76">
        <v>0</v>
      </c>
      <c r="DT21" s="76">
        <v>0</v>
      </c>
      <c r="DU21" s="76">
        <v>0</v>
      </c>
      <c r="DV21" s="76">
        <v>0</v>
      </c>
      <c r="DW21" s="76">
        <v>0</v>
      </c>
      <c r="DX21" s="76">
        <v>0</v>
      </c>
      <c r="DY21" s="76">
        <v>0</v>
      </c>
      <c r="DZ21" s="76">
        <v>0</v>
      </c>
      <c r="EA21" s="76">
        <v>0</v>
      </c>
      <c r="EB21" s="76">
        <v>109</v>
      </c>
      <c r="EC21" s="76">
        <v>0</v>
      </c>
      <c r="ED21" s="76">
        <v>22</v>
      </c>
      <c r="EE21" s="76">
        <v>87</v>
      </c>
      <c r="EF21" s="76">
        <v>2971</v>
      </c>
      <c r="EG21" s="76">
        <v>2338</v>
      </c>
      <c r="EH21" s="76">
        <v>22</v>
      </c>
      <c r="EI21" s="76">
        <v>611</v>
      </c>
      <c r="EJ21" s="76">
        <v>7544</v>
      </c>
      <c r="EK21" s="76">
        <v>3810</v>
      </c>
      <c r="EL21" s="76">
        <v>2918</v>
      </c>
      <c r="EM21" s="76">
        <v>816</v>
      </c>
      <c r="EN21" s="76">
        <v>2486</v>
      </c>
      <c r="EO21" s="76">
        <v>1214</v>
      </c>
      <c r="EP21" s="76">
        <v>628</v>
      </c>
      <c r="EQ21" s="76">
        <v>1214</v>
      </c>
      <c r="ER21" s="76">
        <v>628760</v>
      </c>
      <c r="ES21" s="76">
        <v>0</v>
      </c>
      <c r="ET21" s="76">
        <v>628760</v>
      </c>
      <c r="EU21" s="76">
        <v>8809</v>
      </c>
      <c r="EV21" s="76">
        <v>-5259</v>
      </c>
      <c r="EW21" s="76">
        <v>0</v>
      </c>
      <c r="EX21" s="76">
        <v>0</v>
      </c>
      <c r="EY21" s="76">
        <v>-35673</v>
      </c>
      <c r="EZ21" s="76">
        <v>596637</v>
      </c>
      <c r="FA21" s="76">
        <v>94730</v>
      </c>
      <c r="FB21" s="76">
        <v>7811</v>
      </c>
      <c r="FC21" s="76">
        <v>1303</v>
      </c>
      <c r="FD21" s="76">
        <v>0</v>
      </c>
      <c r="FE21" s="76">
        <v>-1589</v>
      </c>
      <c r="FF21" s="76">
        <v>0</v>
      </c>
      <c r="FG21" s="76">
        <v>-7214</v>
      </c>
      <c r="FH21" s="76">
        <v>95041</v>
      </c>
      <c r="FI21" s="76">
        <v>501596</v>
      </c>
      <c r="FJ21" s="76">
        <v>534030</v>
      </c>
      <c r="FK21" s="76">
        <v>1064</v>
      </c>
      <c r="FL21" s="76">
        <v>475</v>
      </c>
      <c r="FM21" s="76">
        <v>589</v>
      </c>
      <c r="FN21" s="76">
        <v>338</v>
      </c>
      <c r="FO21" s="76">
        <v>170</v>
      </c>
      <c r="FP21" s="76">
        <v>168</v>
      </c>
      <c r="FQ21" s="76">
        <v>95</v>
      </c>
      <c r="FR21" s="76">
        <v>85</v>
      </c>
      <c r="FS21" s="76">
        <v>10</v>
      </c>
      <c r="FT21" s="76">
        <v>1921</v>
      </c>
      <c r="FU21" s="76">
        <v>1965</v>
      </c>
      <c r="FV21" s="76">
        <v>-44</v>
      </c>
      <c r="FW21" s="76">
        <v>0</v>
      </c>
      <c r="FX21" s="76">
        <v>0</v>
      </c>
      <c r="FY21" s="76">
        <v>0</v>
      </c>
      <c r="FZ21" s="76">
        <v>0</v>
      </c>
      <c r="GA21" s="76">
        <v>0</v>
      </c>
      <c r="GB21" s="76">
        <v>0</v>
      </c>
      <c r="GC21" s="76">
        <v>3418</v>
      </c>
      <c r="GD21" s="76">
        <v>2695</v>
      </c>
      <c r="GE21" s="76">
        <v>723</v>
      </c>
      <c r="GF21" s="76">
        <v>6541</v>
      </c>
      <c r="GG21" s="76">
        <v>0</v>
      </c>
      <c r="GH21" s="76">
        <v>0</v>
      </c>
      <c r="GI21" s="76">
        <v>0</v>
      </c>
      <c r="GJ21" s="76">
        <v>0</v>
      </c>
      <c r="GK21" s="76">
        <v>1044</v>
      </c>
      <c r="GL21" s="76">
        <v>7585</v>
      </c>
      <c r="GM21" s="76">
        <v>1331</v>
      </c>
      <c r="GN21" s="76">
        <v>2558</v>
      </c>
      <c r="GO21" s="76">
        <v>1369</v>
      </c>
      <c r="GP21" s="76">
        <v>899</v>
      </c>
      <c r="GQ21" s="76">
        <v>0</v>
      </c>
      <c r="GR21" s="76">
        <v>9595</v>
      </c>
      <c r="GS21" s="76">
        <v>0</v>
      </c>
      <c r="GT21" s="76">
        <v>0</v>
      </c>
      <c r="GU21" s="76">
        <v>0</v>
      </c>
      <c r="GV21" s="76">
        <v>0</v>
      </c>
      <c r="GW21" s="76">
        <v>559</v>
      </c>
      <c r="GX21" s="76">
        <v>16311</v>
      </c>
      <c r="GY21" s="76">
        <v>1364</v>
      </c>
      <c r="GZ21" s="76">
        <v>81</v>
      </c>
      <c r="HA21" s="76">
        <v>5528</v>
      </c>
      <c r="HB21" s="76">
        <v>0</v>
      </c>
      <c r="HC21" s="76">
        <v>6973</v>
      </c>
      <c r="HD21" s="76">
        <v>0</v>
      </c>
      <c r="HE21" s="76">
        <v>45</v>
      </c>
      <c r="HF21" s="76">
        <v>45</v>
      </c>
      <c r="HG21" s="76">
        <v>8126</v>
      </c>
      <c r="HH21" s="76">
        <v>0</v>
      </c>
      <c r="HI21" s="76">
        <v>289</v>
      </c>
      <c r="HJ21" s="76">
        <v>0</v>
      </c>
      <c r="HK21" s="76">
        <v>0</v>
      </c>
      <c r="HL21" s="76">
        <v>-13</v>
      </c>
      <c r="HM21" s="76">
        <v>8402</v>
      </c>
      <c r="HN21" s="76">
        <v>6129</v>
      </c>
      <c r="HO21" s="76">
        <v>10127</v>
      </c>
      <c r="HP21" s="76">
        <v>1348</v>
      </c>
      <c r="HQ21" s="76">
        <v>4</v>
      </c>
      <c r="HR21" s="76">
        <v>-71</v>
      </c>
      <c r="HS21" s="76">
        <v>-22</v>
      </c>
      <c r="HT21" s="76">
        <v>11430</v>
      </c>
      <c r="HU21" s="76">
        <v>0</v>
      </c>
      <c r="HV21" s="76">
        <v>0</v>
      </c>
      <c r="HW21" s="76">
        <v>2</v>
      </c>
      <c r="HX21" s="76">
        <v>3</v>
      </c>
    </row>
    <row r="22" spans="1:232" x14ac:dyDescent="0.2">
      <c r="A22" s="74" t="s">
        <v>242</v>
      </c>
      <c r="B22" s="74" t="s">
        <v>241</v>
      </c>
      <c r="C22" s="75" t="s">
        <v>200</v>
      </c>
      <c r="D22" s="75">
        <v>12</v>
      </c>
      <c r="E22" s="76">
        <v>41945</v>
      </c>
      <c r="F22" s="76">
        <v>0</v>
      </c>
      <c r="G22" s="76">
        <v>-26453</v>
      </c>
      <c r="H22" s="76">
        <v>15492</v>
      </c>
      <c r="I22" s="76">
        <v>2733</v>
      </c>
      <c r="J22" s="76">
        <v>0</v>
      </c>
      <c r="K22" s="76">
        <v>-324</v>
      </c>
      <c r="L22" s="76">
        <v>0</v>
      </c>
      <c r="M22" s="76">
        <v>16</v>
      </c>
      <c r="N22" s="76">
        <v>-7335</v>
      </c>
      <c r="O22" s="76">
        <v>0</v>
      </c>
      <c r="P22" s="76">
        <v>0</v>
      </c>
      <c r="Q22" s="76">
        <v>0</v>
      </c>
      <c r="R22" s="76">
        <v>0</v>
      </c>
      <c r="S22" s="76">
        <v>10582</v>
      </c>
      <c r="T22" s="76">
        <v>0</v>
      </c>
      <c r="U22" s="76">
        <v>10582</v>
      </c>
      <c r="V22" s="76">
        <v>0</v>
      </c>
      <c r="W22" s="76">
        <v>-6235</v>
      </c>
      <c r="X22" s="76">
        <v>0</v>
      </c>
      <c r="Y22" s="76">
        <v>0</v>
      </c>
      <c r="Z22" s="76">
        <v>4347</v>
      </c>
      <c r="AA22" s="76">
        <v>34879</v>
      </c>
      <c r="AB22" s="76">
        <v>2951</v>
      </c>
      <c r="AC22" s="76">
        <v>37830</v>
      </c>
      <c r="AD22" s="76">
        <v>560</v>
      </c>
      <c r="AE22" s="76">
        <v>0</v>
      </c>
      <c r="AF22" s="76">
        <v>0</v>
      </c>
      <c r="AG22" s="76">
        <v>0</v>
      </c>
      <c r="AH22" s="76">
        <v>38390</v>
      </c>
      <c r="AI22" s="76">
        <v>5383</v>
      </c>
      <c r="AJ22" s="76">
        <v>2701</v>
      </c>
      <c r="AK22" s="76">
        <v>4578</v>
      </c>
      <c r="AL22" s="76">
        <v>4766</v>
      </c>
      <c r="AM22" s="76">
        <v>0</v>
      </c>
      <c r="AN22" s="76">
        <v>148</v>
      </c>
      <c r="AO22" s="76">
        <v>5781</v>
      </c>
      <c r="AP22" s="76">
        <v>0</v>
      </c>
      <c r="AQ22" s="76">
        <v>0</v>
      </c>
      <c r="AR22" s="76">
        <v>23357</v>
      </c>
      <c r="AS22" s="76">
        <v>15033</v>
      </c>
      <c r="AT22" s="76">
        <v>247</v>
      </c>
      <c r="AU22" s="76">
        <v>190784</v>
      </c>
      <c r="AV22" s="76">
        <v>0</v>
      </c>
      <c r="AW22" s="76">
        <v>5744</v>
      </c>
      <c r="AX22" s="76">
        <v>0</v>
      </c>
      <c r="AY22" s="76">
        <v>0</v>
      </c>
      <c r="AZ22" s="76">
        <v>0</v>
      </c>
      <c r="BA22" s="76">
        <v>0</v>
      </c>
      <c r="BB22" s="76">
        <v>0</v>
      </c>
      <c r="BC22" s="76">
        <v>0</v>
      </c>
      <c r="BD22" s="76">
        <v>3222</v>
      </c>
      <c r="BE22" s="76">
        <v>199750</v>
      </c>
      <c r="BF22" s="76">
        <v>1695</v>
      </c>
      <c r="BG22" s="76">
        <v>1280</v>
      </c>
      <c r="BH22" s="76">
        <v>2485</v>
      </c>
      <c r="BI22" s="76">
        <v>0</v>
      </c>
      <c r="BJ22" s="76">
        <v>462</v>
      </c>
      <c r="BK22" s="76">
        <v>5922</v>
      </c>
      <c r="BL22" s="76">
        <v>0</v>
      </c>
      <c r="BM22" s="76">
        <v>0</v>
      </c>
      <c r="BN22" s="76">
        <v>578</v>
      </c>
      <c r="BO22" s="76">
        <v>5227</v>
      </c>
      <c r="BP22" s="76">
        <v>5805</v>
      </c>
      <c r="BQ22" s="76">
        <v>117</v>
      </c>
      <c r="BR22" s="76">
        <v>199867</v>
      </c>
      <c r="BS22" s="76">
        <v>125731</v>
      </c>
      <c r="BT22" s="76">
        <v>0</v>
      </c>
      <c r="BU22" s="76">
        <v>0</v>
      </c>
      <c r="BV22" s="76">
        <v>31155</v>
      </c>
      <c r="BW22" s="76">
        <v>0</v>
      </c>
      <c r="BX22" s="76">
        <v>0</v>
      </c>
      <c r="BY22" s="76">
        <v>1873</v>
      </c>
      <c r="BZ22" s="76">
        <v>158759</v>
      </c>
      <c r="CA22" s="76">
        <v>15055</v>
      </c>
      <c r="CB22" s="76">
        <v>0</v>
      </c>
      <c r="CC22" s="76">
        <v>26053</v>
      </c>
      <c r="CD22" s="76">
        <v>26053</v>
      </c>
      <c r="CE22" s="76">
        <v>0</v>
      </c>
      <c r="CF22" s="76">
        <v>0</v>
      </c>
      <c r="CG22" s="76">
        <v>0</v>
      </c>
      <c r="CH22" s="76">
        <v>0</v>
      </c>
      <c r="CI22" s="76">
        <v>26053</v>
      </c>
      <c r="CJ22" s="76">
        <v>1579</v>
      </c>
      <c r="CK22" s="76">
        <v>0</v>
      </c>
      <c r="CL22" s="76">
        <v>885</v>
      </c>
      <c r="CM22" s="76">
        <v>694</v>
      </c>
      <c r="CN22" s="76">
        <v>0</v>
      </c>
      <c r="CO22" s="76">
        <v>0</v>
      </c>
      <c r="CP22" s="76">
        <v>0</v>
      </c>
      <c r="CQ22" s="76">
        <v>0</v>
      </c>
      <c r="CR22" s="76">
        <v>0</v>
      </c>
      <c r="CS22" s="76">
        <v>0</v>
      </c>
      <c r="CT22" s="76">
        <v>0</v>
      </c>
      <c r="CU22" s="76">
        <v>0</v>
      </c>
      <c r="CV22" s="76">
        <v>0</v>
      </c>
      <c r="CW22" s="76">
        <v>0</v>
      </c>
      <c r="CX22" s="76">
        <v>0</v>
      </c>
      <c r="CY22" s="76">
        <v>0</v>
      </c>
      <c r="CZ22" s="76">
        <v>673</v>
      </c>
      <c r="DA22" s="76">
        <v>0</v>
      </c>
      <c r="DB22" s="76">
        <v>1226</v>
      </c>
      <c r="DC22" s="76">
        <v>-553</v>
      </c>
      <c r="DD22" s="76">
        <v>2252</v>
      </c>
      <c r="DE22" s="76">
        <v>0</v>
      </c>
      <c r="DF22" s="76">
        <v>2111</v>
      </c>
      <c r="DG22" s="76">
        <v>141</v>
      </c>
      <c r="DH22" s="76">
        <v>0</v>
      </c>
      <c r="DI22" s="76">
        <v>0</v>
      </c>
      <c r="DJ22" s="76">
        <v>0</v>
      </c>
      <c r="DK22" s="76">
        <v>0</v>
      </c>
      <c r="DL22" s="76">
        <v>0</v>
      </c>
      <c r="DM22" s="76">
        <v>0</v>
      </c>
      <c r="DN22" s="76">
        <v>0</v>
      </c>
      <c r="DO22" s="76">
        <v>0</v>
      </c>
      <c r="DP22" s="76">
        <v>0</v>
      </c>
      <c r="DQ22" s="76">
        <v>0</v>
      </c>
      <c r="DR22" s="76">
        <v>0</v>
      </c>
      <c r="DS22" s="76">
        <v>0</v>
      </c>
      <c r="DT22" s="76">
        <v>0</v>
      </c>
      <c r="DU22" s="76">
        <v>0</v>
      </c>
      <c r="DV22" s="76">
        <v>0</v>
      </c>
      <c r="DW22" s="76">
        <v>0</v>
      </c>
      <c r="DX22" s="76">
        <v>0</v>
      </c>
      <c r="DY22" s="76">
        <v>0</v>
      </c>
      <c r="DZ22" s="76">
        <v>0</v>
      </c>
      <c r="EA22" s="76">
        <v>0</v>
      </c>
      <c r="EB22" s="76">
        <v>1303</v>
      </c>
      <c r="EC22" s="76">
        <v>0</v>
      </c>
      <c r="ED22" s="76">
        <v>985</v>
      </c>
      <c r="EE22" s="76">
        <v>318</v>
      </c>
      <c r="EF22" s="76">
        <v>1303</v>
      </c>
      <c r="EG22" s="76">
        <v>0</v>
      </c>
      <c r="EH22" s="76">
        <v>985</v>
      </c>
      <c r="EI22" s="76">
        <v>318</v>
      </c>
      <c r="EJ22" s="76">
        <v>3555</v>
      </c>
      <c r="EK22" s="76">
        <v>0</v>
      </c>
      <c r="EL22" s="76">
        <v>3096</v>
      </c>
      <c r="EM22" s="76">
        <v>459</v>
      </c>
      <c r="EN22" s="76">
        <v>363</v>
      </c>
      <c r="EO22" s="76">
        <v>720</v>
      </c>
      <c r="EP22" s="76">
        <v>119</v>
      </c>
      <c r="EQ22" s="76">
        <v>720</v>
      </c>
      <c r="ER22" s="76">
        <v>224274</v>
      </c>
      <c r="ES22" s="76">
        <v>0</v>
      </c>
      <c r="ET22" s="76">
        <v>224274</v>
      </c>
      <c r="EU22" s="76">
        <v>18235</v>
      </c>
      <c r="EV22" s="76">
        <v>-1971</v>
      </c>
      <c r="EW22" s="76">
        <v>0</v>
      </c>
      <c r="EX22" s="76">
        <v>0</v>
      </c>
      <c r="EY22" s="76">
        <v>19</v>
      </c>
      <c r="EZ22" s="76">
        <v>240557</v>
      </c>
      <c r="FA22" s="76">
        <v>44728</v>
      </c>
      <c r="FB22" s="76">
        <v>5826</v>
      </c>
      <c r="FC22" s="76">
        <v>0</v>
      </c>
      <c r="FD22" s="76">
        <v>0</v>
      </c>
      <c r="FE22" s="76">
        <v>-781</v>
      </c>
      <c r="FF22" s="76">
        <v>0</v>
      </c>
      <c r="FG22" s="76">
        <v>0</v>
      </c>
      <c r="FH22" s="76">
        <v>49773</v>
      </c>
      <c r="FI22" s="76">
        <v>190784</v>
      </c>
      <c r="FJ22" s="76">
        <v>179546</v>
      </c>
      <c r="FK22" s="76">
        <v>330</v>
      </c>
      <c r="FL22" s="76">
        <v>280</v>
      </c>
      <c r="FM22" s="76">
        <v>50</v>
      </c>
      <c r="FN22" s="76">
        <v>319</v>
      </c>
      <c r="FO22" s="76">
        <v>344</v>
      </c>
      <c r="FP22" s="76">
        <v>-25</v>
      </c>
      <c r="FQ22" s="76">
        <v>345</v>
      </c>
      <c r="FR22" s="76">
        <v>356</v>
      </c>
      <c r="FS22" s="76">
        <v>-11</v>
      </c>
      <c r="FT22" s="76">
        <v>3549</v>
      </c>
      <c r="FU22" s="76">
        <v>1034</v>
      </c>
      <c r="FV22" s="76">
        <v>2515</v>
      </c>
      <c r="FW22" s="76">
        <v>0</v>
      </c>
      <c r="FX22" s="76">
        <v>0</v>
      </c>
      <c r="FY22" s="76">
        <v>0</v>
      </c>
      <c r="FZ22" s="76">
        <v>341</v>
      </c>
      <c r="GA22" s="76">
        <v>137</v>
      </c>
      <c r="GB22" s="76">
        <v>204</v>
      </c>
      <c r="GC22" s="76">
        <v>4884</v>
      </c>
      <c r="GD22" s="76">
        <v>2151</v>
      </c>
      <c r="GE22" s="76">
        <v>2733</v>
      </c>
      <c r="GF22" s="76">
        <v>29</v>
      </c>
      <c r="GG22" s="76">
        <v>0</v>
      </c>
      <c r="GH22" s="76">
        <v>378</v>
      </c>
      <c r="GI22" s="76">
        <v>0</v>
      </c>
      <c r="GJ22" s="76">
        <v>0</v>
      </c>
      <c r="GK22" s="76">
        <v>55</v>
      </c>
      <c r="GL22" s="76">
        <v>462</v>
      </c>
      <c r="GM22" s="76">
        <v>180</v>
      </c>
      <c r="GN22" s="76">
        <v>875</v>
      </c>
      <c r="GO22" s="76">
        <v>182</v>
      </c>
      <c r="GP22" s="76">
        <v>0</v>
      </c>
      <c r="GQ22" s="76">
        <v>443</v>
      </c>
      <c r="GR22" s="76">
        <v>1644</v>
      </c>
      <c r="GS22" s="76">
        <v>0</v>
      </c>
      <c r="GT22" s="76">
        <v>0</v>
      </c>
      <c r="GU22" s="76">
        <v>139</v>
      </c>
      <c r="GV22" s="76">
        <v>0</v>
      </c>
      <c r="GW22" s="76">
        <v>1764</v>
      </c>
      <c r="GX22" s="76">
        <v>5227</v>
      </c>
      <c r="GY22" s="76">
        <v>86</v>
      </c>
      <c r="GZ22" s="76">
        <v>935</v>
      </c>
      <c r="HA22" s="76">
        <v>771</v>
      </c>
      <c r="HB22" s="76">
        <v>81</v>
      </c>
      <c r="HC22" s="76">
        <v>1873</v>
      </c>
      <c r="HD22" s="76">
        <v>0</v>
      </c>
      <c r="HE22" s="76">
        <v>0</v>
      </c>
      <c r="HF22" s="76">
        <v>0</v>
      </c>
      <c r="HG22" s="76">
        <v>7330</v>
      </c>
      <c r="HH22" s="76">
        <v>0</v>
      </c>
      <c r="HI22" s="76">
        <v>0</v>
      </c>
      <c r="HJ22" s="76">
        <v>5</v>
      </c>
      <c r="HK22" s="76">
        <v>0</v>
      </c>
      <c r="HL22" s="76">
        <v>0</v>
      </c>
      <c r="HM22" s="76">
        <v>7335</v>
      </c>
      <c r="HN22" s="76">
        <v>3768</v>
      </c>
      <c r="HO22" s="76">
        <v>6467</v>
      </c>
      <c r="HP22" s="76">
        <v>0</v>
      </c>
      <c r="HQ22" s="76">
        <v>139</v>
      </c>
      <c r="HR22" s="76">
        <v>-67</v>
      </c>
      <c r="HS22" s="76">
        <v>0</v>
      </c>
      <c r="HT22" s="76">
        <v>9329</v>
      </c>
      <c r="HU22" s="76">
        <v>0</v>
      </c>
      <c r="HV22" s="76">
        <v>0</v>
      </c>
      <c r="HW22" s="76">
        <v>0</v>
      </c>
      <c r="HX22" s="76">
        <v>0</v>
      </c>
    </row>
    <row r="23" spans="1:232" x14ac:dyDescent="0.2">
      <c r="A23" s="74" t="s">
        <v>243</v>
      </c>
      <c r="B23" s="74" t="s">
        <v>244</v>
      </c>
      <c r="C23" s="75" t="s">
        <v>200</v>
      </c>
      <c r="D23" s="75">
        <v>12</v>
      </c>
      <c r="E23" s="76">
        <v>48425</v>
      </c>
      <c r="F23" s="76">
        <v>-3614</v>
      </c>
      <c r="G23" s="76">
        <v>-30790</v>
      </c>
      <c r="H23" s="76">
        <v>14021</v>
      </c>
      <c r="I23" s="76">
        <v>1252</v>
      </c>
      <c r="J23" s="76">
        <v>713</v>
      </c>
      <c r="K23" s="76">
        <v>1551</v>
      </c>
      <c r="L23" s="76">
        <v>0</v>
      </c>
      <c r="M23" s="76">
        <v>146</v>
      </c>
      <c r="N23" s="76">
        <v>-6725</v>
      </c>
      <c r="O23" s="76">
        <v>317</v>
      </c>
      <c r="P23" s="76">
        <v>-8060</v>
      </c>
      <c r="Q23" s="76">
        <v>0</v>
      </c>
      <c r="R23" s="76">
        <v>0</v>
      </c>
      <c r="S23" s="76">
        <v>3215</v>
      </c>
      <c r="T23" s="76">
        <v>-95</v>
      </c>
      <c r="U23" s="76">
        <v>3120</v>
      </c>
      <c r="V23" s="76">
        <v>0</v>
      </c>
      <c r="W23" s="76">
        <v>0</v>
      </c>
      <c r="X23" s="76">
        <v>-266</v>
      </c>
      <c r="Y23" s="76">
        <v>0</v>
      </c>
      <c r="Z23" s="76">
        <v>2854</v>
      </c>
      <c r="AA23" s="76">
        <v>32852</v>
      </c>
      <c r="AB23" s="76">
        <v>3389</v>
      </c>
      <c r="AC23" s="76">
        <v>36241</v>
      </c>
      <c r="AD23" s="76">
        <v>2984</v>
      </c>
      <c r="AE23" s="76">
        <v>0</v>
      </c>
      <c r="AF23" s="76">
        <v>0</v>
      </c>
      <c r="AG23" s="76">
        <v>256</v>
      </c>
      <c r="AH23" s="76">
        <v>39481</v>
      </c>
      <c r="AI23" s="76">
        <v>8447</v>
      </c>
      <c r="AJ23" s="76">
        <v>3396</v>
      </c>
      <c r="AK23" s="76">
        <v>4458</v>
      </c>
      <c r="AL23" s="76">
        <v>1483</v>
      </c>
      <c r="AM23" s="76">
        <v>130</v>
      </c>
      <c r="AN23" s="76">
        <v>300</v>
      </c>
      <c r="AO23" s="76">
        <v>10074</v>
      </c>
      <c r="AP23" s="76">
        <v>0</v>
      </c>
      <c r="AQ23" s="76">
        <v>0</v>
      </c>
      <c r="AR23" s="76">
        <v>28288</v>
      </c>
      <c r="AS23" s="76">
        <v>11193</v>
      </c>
      <c r="AT23" s="76">
        <v>423</v>
      </c>
      <c r="AU23" s="76">
        <v>569979</v>
      </c>
      <c r="AV23" s="76">
        <v>0</v>
      </c>
      <c r="AW23" s="76">
        <v>200</v>
      </c>
      <c r="AX23" s="76">
        <v>-13930</v>
      </c>
      <c r="AY23" s="76">
        <v>0</v>
      </c>
      <c r="AZ23" s="76">
        <v>1863</v>
      </c>
      <c r="BA23" s="76">
        <v>0</v>
      </c>
      <c r="BB23" s="76">
        <v>0</v>
      </c>
      <c r="BC23" s="76">
        <v>0</v>
      </c>
      <c r="BD23" s="76">
        <v>0</v>
      </c>
      <c r="BE23" s="76">
        <v>558112</v>
      </c>
      <c r="BF23" s="76">
        <v>13350</v>
      </c>
      <c r="BG23" s="76">
        <v>1095</v>
      </c>
      <c r="BH23" s="76">
        <v>9506</v>
      </c>
      <c r="BI23" s="76">
        <v>3970</v>
      </c>
      <c r="BJ23" s="76">
        <v>465</v>
      </c>
      <c r="BK23" s="76">
        <v>28386</v>
      </c>
      <c r="BL23" s="76">
        <v>23945</v>
      </c>
      <c r="BM23" s="76">
        <v>0</v>
      </c>
      <c r="BN23" s="76">
        <v>3040</v>
      </c>
      <c r="BO23" s="76">
        <v>10520</v>
      </c>
      <c r="BP23" s="76">
        <v>37505</v>
      </c>
      <c r="BQ23" s="76">
        <v>-9119</v>
      </c>
      <c r="BR23" s="76">
        <v>548993</v>
      </c>
      <c r="BS23" s="76">
        <v>170135</v>
      </c>
      <c r="BT23" s="76">
        <v>0</v>
      </c>
      <c r="BU23" s="76">
        <v>0</v>
      </c>
      <c r="BV23" s="76">
        <v>264690</v>
      </c>
      <c r="BW23" s="76">
        <v>0</v>
      </c>
      <c r="BX23" s="76">
        <v>41384</v>
      </c>
      <c r="BY23" s="76">
        <v>4345</v>
      </c>
      <c r="BZ23" s="76">
        <v>480554</v>
      </c>
      <c r="CA23" s="76">
        <v>0</v>
      </c>
      <c r="CB23" s="76">
        <v>0</v>
      </c>
      <c r="CC23" s="76">
        <v>68439</v>
      </c>
      <c r="CD23" s="76">
        <v>82550</v>
      </c>
      <c r="CE23" s="76">
        <v>110</v>
      </c>
      <c r="CF23" s="76">
        <v>77</v>
      </c>
      <c r="CG23" s="76">
        <v>-14298</v>
      </c>
      <c r="CH23" s="76">
        <v>0</v>
      </c>
      <c r="CI23" s="76">
        <v>68439</v>
      </c>
      <c r="CJ23" s="76">
        <v>6037</v>
      </c>
      <c r="CK23" s="76">
        <v>2919</v>
      </c>
      <c r="CL23" s="76">
        <v>0</v>
      </c>
      <c r="CM23" s="76">
        <v>3118</v>
      </c>
      <c r="CN23" s="76">
        <v>0</v>
      </c>
      <c r="CO23" s="76">
        <v>0</v>
      </c>
      <c r="CP23" s="76">
        <v>0</v>
      </c>
      <c r="CQ23" s="76">
        <v>0</v>
      </c>
      <c r="CR23" s="76">
        <v>0</v>
      </c>
      <c r="CS23" s="76">
        <v>0</v>
      </c>
      <c r="CT23" s="76">
        <v>400</v>
      </c>
      <c r="CU23" s="76">
        <v>-400</v>
      </c>
      <c r="CV23" s="76">
        <v>0</v>
      </c>
      <c r="CW23" s="76">
        <v>0</v>
      </c>
      <c r="CX23" s="76">
        <v>0</v>
      </c>
      <c r="CY23" s="76">
        <v>0</v>
      </c>
      <c r="CZ23" s="76">
        <v>661</v>
      </c>
      <c r="DA23" s="76">
        <v>0</v>
      </c>
      <c r="DB23" s="76">
        <v>1372</v>
      </c>
      <c r="DC23" s="76">
        <v>-711</v>
      </c>
      <c r="DD23" s="76">
        <v>6698</v>
      </c>
      <c r="DE23" s="76">
        <v>2919</v>
      </c>
      <c r="DF23" s="76">
        <v>1772</v>
      </c>
      <c r="DG23" s="76">
        <v>2007</v>
      </c>
      <c r="DH23" s="76">
        <v>1212</v>
      </c>
      <c r="DI23" s="76">
        <v>695</v>
      </c>
      <c r="DJ23" s="76">
        <v>0</v>
      </c>
      <c r="DK23" s="76">
        <v>517</v>
      </c>
      <c r="DL23" s="76">
        <v>0</v>
      </c>
      <c r="DM23" s="76">
        <v>0</v>
      </c>
      <c r="DN23" s="76">
        <v>0</v>
      </c>
      <c r="DO23" s="76">
        <v>0</v>
      </c>
      <c r="DP23" s="76">
        <v>0</v>
      </c>
      <c r="DQ23" s="76">
        <v>0</v>
      </c>
      <c r="DR23" s="76">
        <v>0</v>
      </c>
      <c r="DS23" s="76">
        <v>0</v>
      </c>
      <c r="DT23" s="76">
        <v>84</v>
      </c>
      <c r="DU23" s="76">
        <v>0</v>
      </c>
      <c r="DV23" s="76">
        <v>0</v>
      </c>
      <c r="DW23" s="76">
        <v>84</v>
      </c>
      <c r="DX23" s="76">
        <v>0</v>
      </c>
      <c r="DY23" s="76">
        <v>0</v>
      </c>
      <c r="DZ23" s="76">
        <v>0</v>
      </c>
      <c r="EA23" s="76">
        <v>0</v>
      </c>
      <c r="EB23" s="76">
        <v>950</v>
      </c>
      <c r="EC23" s="76">
        <v>0</v>
      </c>
      <c r="ED23" s="76">
        <v>730</v>
      </c>
      <c r="EE23" s="76">
        <v>220</v>
      </c>
      <c r="EF23" s="76">
        <v>2246</v>
      </c>
      <c r="EG23" s="76">
        <v>695</v>
      </c>
      <c r="EH23" s="76">
        <v>730</v>
      </c>
      <c r="EI23" s="76">
        <v>821</v>
      </c>
      <c r="EJ23" s="76">
        <v>8944</v>
      </c>
      <c r="EK23" s="76">
        <v>3614</v>
      </c>
      <c r="EL23" s="76">
        <v>2502</v>
      </c>
      <c r="EM23" s="76">
        <v>2828</v>
      </c>
      <c r="EN23" s="76">
        <v>1350</v>
      </c>
      <c r="EO23" s="76">
        <v>348</v>
      </c>
      <c r="EP23" s="76">
        <v>255</v>
      </c>
      <c r="EQ23" s="76">
        <v>348</v>
      </c>
      <c r="ER23" s="76">
        <v>592948</v>
      </c>
      <c r="ES23" s="76">
        <v>0</v>
      </c>
      <c r="ET23" s="76">
        <v>592948</v>
      </c>
      <c r="EU23" s="76">
        <v>27605</v>
      </c>
      <c r="EV23" s="76">
        <v>-2677</v>
      </c>
      <c r="EW23" s="76">
        <v>0</v>
      </c>
      <c r="EX23" s="76">
        <v>0</v>
      </c>
      <c r="EY23" s="76">
        <v>-6013</v>
      </c>
      <c r="EZ23" s="76">
        <v>611863</v>
      </c>
      <c r="FA23" s="76">
        <v>31608</v>
      </c>
      <c r="FB23" s="76">
        <v>9392</v>
      </c>
      <c r="FC23" s="76">
        <v>1372</v>
      </c>
      <c r="FD23" s="76">
        <v>0</v>
      </c>
      <c r="FE23" s="76">
        <v>-156</v>
      </c>
      <c r="FF23" s="76">
        <v>0</v>
      </c>
      <c r="FG23" s="76">
        <v>-332</v>
      </c>
      <c r="FH23" s="76">
        <v>41884</v>
      </c>
      <c r="FI23" s="76">
        <v>569979</v>
      </c>
      <c r="FJ23" s="76">
        <v>561340</v>
      </c>
      <c r="FK23" s="76">
        <v>1606</v>
      </c>
      <c r="FL23" s="76">
        <v>977</v>
      </c>
      <c r="FM23" s="76">
        <v>629</v>
      </c>
      <c r="FN23" s="76">
        <v>0</v>
      </c>
      <c r="FO23" s="76">
        <v>0</v>
      </c>
      <c r="FP23" s="76">
        <v>0</v>
      </c>
      <c r="FQ23" s="76">
        <v>615</v>
      </c>
      <c r="FR23" s="76">
        <v>615</v>
      </c>
      <c r="FS23" s="76">
        <v>0</v>
      </c>
      <c r="FT23" s="76">
        <v>1904</v>
      </c>
      <c r="FU23" s="76">
        <v>1281</v>
      </c>
      <c r="FV23" s="76">
        <v>623</v>
      </c>
      <c r="FW23" s="76">
        <v>0</v>
      </c>
      <c r="FX23" s="76">
        <v>0</v>
      </c>
      <c r="FY23" s="76">
        <v>0</v>
      </c>
      <c r="FZ23" s="76">
        <v>0</v>
      </c>
      <c r="GA23" s="76">
        <v>0</v>
      </c>
      <c r="GB23" s="76">
        <v>0</v>
      </c>
      <c r="GC23" s="76">
        <v>4125</v>
      </c>
      <c r="GD23" s="76">
        <v>2873</v>
      </c>
      <c r="GE23" s="76">
        <v>1252</v>
      </c>
      <c r="GF23" s="76">
        <v>0</v>
      </c>
      <c r="GG23" s="76">
        <v>0</v>
      </c>
      <c r="GH23" s="76">
        <v>0</v>
      </c>
      <c r="GI23" s="76">
        <v>0</v>
      </c>
      <c r="GJ23" s="76">
        <v>0</v>
      </c>
      <c r="GK23" s="76">
        <v>465</v>
      </c>
      <c r="GL23" s="76">
        <v>465</v>
      </c>
      <c r="GM23" s="76">
        <v>843</v>
      </c>
      <c r="GN23" s="76">
        <v>0</v>
      </c>
      <c r="GO23" s="76">
        <v>1690</v>
      </c>
      <c r="GP23" s="76">
        <v>327</v>
      </c>
      <c r="GQ23" s="76">
        <v>67</v>
      </c>
      <c r="GR23" s="76">
        <v>7050</v>
      </c>
      <c r="GS23" s="76">
        <v>0</v>
      </c>
      <c r="GT23" s="76">
        <v>0</v>
      </c>
      <c r="GU23" s="76">
        <v>369</v>
      </c>
      <c r="GV23" s="76">
        <v>0</v>
      </c>
      <c r="GW23" s="76">
        <v>174</v>
      </c>
      <c r="GX23" s="76">
        <v>10520</v>
      </c>
      <c r="GY23" s="76">
        <v>908</v>
      </c>
      <c r="GZ23" s="76">
        <v>957</v>
      </c>
      <c r="HA23" s="76">
        <v>2480</v>
      </c>
      <c r="HB23" s="76">
        <v>0</v>
      </c>
      <c r="HC23" s="76">
        <v>4345</v>
      </c>
      <c r="HD23" s="76">
        <v>0</v>
      </c>
      <c r="HE23" s="76">
        <v>0</v>
      </c>
      <c r="HF23" s="76">
        <v>0</v>
      </c>
      <c r="HG23" s="76">
        <v>8297</v>
      </c>
      <c r="HH23" s="76">
        <v>168</v>
      </c>
      <c r="HI23" s="76">
        <v>152</v>
      </c>
      <c r="HJ23" s="76">
        <v>1</v>
      </c>
      <c r="HK23" s="76">
        <v>0</v>
      </c>
      <c r="HL23" s="76">
        <v>-1893</v>
      </c>
      <c r="HM23" s="76">
        <v>6725</v>
      </c>
      <c r="HN23" s="76">
        <v>4229</v>
      </c>
      <c r="HO23" s="76">
        <v>10305</v>
      </c>
      <c r="HP23" s="76">
        <v>1372</v>
      </c>
      <c r="HQ23" s="76">
        <v>70</v>
      </c>
      <c r="HR23" s="76">
        <v>-7</v>
      </c>
      <c r="HS23" s="76">
        <v>207</v>
      </c>
      <c r="HT23" s="76">
        <v>6359</v>
      </c>
      <c r="HU23" s="76">
        <v>0</v>
      </c>
      <c r="HV23" s="76">
        <v>0</v>
      </c>
      <c r="HW23" s="76">
        <v>0</v>
      </c>
      <c r="HX23" s="76">
        <v>6</v>
      </c>
    </row>
    <row r="24" spans="1:232" x14ac:dyDescent="0.2">
      <c r="A24" s="74" t="s">
        <v>247</v>
      </c>
      <c r="B24" s="74" t="s">
        <v>248</v>
      </c>
      <c r="C24" s="75" t="s">
        <v>200</v>
      </c>
      <c r="D24" s="75">
        <v>12</v>
      </c>
      <c r="E24" s="76">
        <v>111828</v>
      </c>
      <c r="F24" s="76">
        <v>0</v>
      </c>
      <c r="G24" s="76">
        <v>-75191</v>
      </c>
      <c r="H24" s="76">
        <v>36637</v>
      </c>
      <c r="I24" s="76">
        <v>3176</v>
      </c>
      <c r="J24" s="76">
        <v>-5500</v>
      </c>
      <c r="K24" s="76">
        <v>0</v>
      </c>
      <c r="L24" s="76">
        <v>0</v>
      </c>
      <c r="M24" s="76">
        <v>1876</v>
      </c>
      <c r="N24" s="76">
        <v>-15553</v>
      </c>
      <c r="O24" s="76">
        <v>-130</v>
      </c>
      <c r="P24" s="76">
        <v>0</v>
      </c>
      <c r="Q24" s="76">
        <v>0</v>
      </c>
      <c r="R24" s="76">
        <v>0</v>
      </c>
      <c r="S24" s="76">
        <v>20506</v>
      </c>
      <c r="T24" s="76">
        <v>0</v>
      </c>
      <c r="U24" s="76">
        <v>20506</v>
      </c>
      <c r="V24" s="76">
        <v>0</v>
      </c>
      <c r="W24" s="76">
        <v>-1748</v>
      </c>
      <c r="X24" s="76">
        <v>-1024</v>
      </c>
      <c r="Y24" s="76">
        <v>0</v>
      </c>
      <c r="Z24" s="76">
        <v>17734</v>
      </c>
      <c r="AA24" s="76">
        <v>91062</v>
      </c>
      <c r="AB24" s="76">
        <v>4663</v>
      </c>
      <c r="AC24" s="76">
        <v>95725</v>
      </c>
      <c r="AD24" s="76">
        <v>99</v>
      </c>
      <c r="AE24" s="76">
        <v>0</v>
      </c>
      <c r="AF24" s="76">
        <v>607</v>
      </c>
      <c r="AG24" s="76">
        <v>0</v>
      </c>
      <c r="AH24" s="76">
        <v>96431</v>
      </c>
      <c r="AI24" s="76">
        <v>17510</v>
      </c>
      <c r="AJ24" s="76">
        <v>4904</v>
      </c>
      <c r="AK24" s="76">
        <v>8574</v>
      </c>
      <c r="AL24" s="76">
        <v>4765</v>
      </c>
      <c r="AM24" s="76">
        <v>10246</v>
      </c>
      <c r="AN24" s="76">
        <v>512</v>
      </c>
      <c r="AO24" s="76">
        <v>14406</v>
      </c>
      <c r="AP24" s="76">
        <v>0</v>
      </c>
      <c r="AQ24" s="76">
        <v>0</v>
      </c>
      <c r="AR24" s="76">
        <v>60917</v>
      </c>
      <c r="AS24" s="76">
        <v>35514</v>
      </c>
      <c r="AT24" s="76">
        <v>761</v>
      </c>
      <c r="AU24" s="76">
        <v>850449</v>
      </c>
      <c r="AV24" s="76">
        <v>0</v>
      </c>
      <c r="AW24" s="76">
        <v>11833</v>
      </c>
      <c r="AX24" s="76">
        <v>1354</v>
      </c>
      <c r="AY24" s="76">
        <v>4495</v>
      </c>
      <c r="AZ24" s="76">
        <v>1000</v>
      </c>
      <c r="BA24" s="76">
        <v>0</v>
      </c>
      <c r="BB24" s="76">
        <v>0</v>
      </c>
      <c r="BC24" s="76">
        <v>0</v>
      </c>
      <c r="BD24" s="76">
        <v>4500</v>
      </c>
      <c r="BE24" s="76">
        <v>873631</v>
      </c>
      <c r="BF24" s="76">
        <v>10770</v>
      </c>
      <c r="BG24" s="76">
        <v>33239</v>
      </c>
      <c r="BH24" s="76">
        <v>29697</v>
      </c>
      <c r="BI24" s="76">
        <v>0</v>
      </c>
      <c r="BJ24" s="76">
        <v>4568</v>
      </c>
      <c r="BK24" s="76">
        <v>78274</v>
      </c>
      <c r="BL24" s="76">
        <v>0</v>
      </c>
      <c r="BM24" s="76">
        <v>0</v>
      </c>
      <c r="BN24" s="76">
        <v>1515</v>
      </c>
      <c r="BO24" s="76">
        <v>19531</v>
      </c>
      <c r="BP24" s="76">
        <v>21046</v>
      </c>
      <c r="BQ24" s="76">
        <v>57228</v>
      </c>
      <c r="BR24" s="76">
        <v>930859</v>
      </c>
      <c r="BS24" s="76">
        <v>338584</v>
      </c>
      <c r="BT24" s="76">
        <v>136769</v>
      </c>
      <c r="BU24" s="76">
        <v>0</v>
      </c>
      <c r="BV24" s="76">
        <v>11347</v>
      </c>
      <c r="BW24" s="76">
        <v>4495</v>
      </c>
      <c r="BX24" s="76">
        <v>15458</v>
      </c>
      <c r="BY24" s="76">
        <v>3773</v>
      </c>
      <c r="BZ24" s="76">
        <v>510426</v>
      </c>
      <c r="CA24" s="76">
        <v>19461</v>
      </c>
      <c r="CB24" s="76">
        <v>0</v>
      </c>
      <c r="CC24" s="76">
        <v>400972</v>
      </c>
      <c r="CD24" s="76">
        <v>172969</v>
      </c>
      <c r="CE24" s="76">
        <v>243252</v>
      </c>
      <c r="CF24" s="76">
        <v>208</v>
      </c>
      <c r="CG24" s="76">
        <v>-15457</v>
      </c>
      <c r="CH24" s="76">
        <v>0</v>
      </c>
      <c r="CI24" s="76">
        <v>400972</v>
      </c>
      <c r="CJ24" s="76">
        <v>10752</v>
      </c>
      <c r="CK24" s="76">
        <v>0</v>
      </c>
      <c r="CL24" s="76">
        <v>10171</v>
      </c>
      <c r="CM24" s="76">
        <v>581</v>
      </c>
      <c r="CN24" s="76">
        <v>2017</v>
      </c>
      <c r="CO24" s="76">
        <v>0</v>
      </c>
      <c r="CP24" s="76">
        <v>2541</v>
      </c>
      <c r="CQ24" s="76">
        <v>-524</v>
      </c>
      <c r="CR24" s="76">
        <v>0</v>
      </c>
      <c r="CS24" s="76">
        <v>0</v>
      </c>
      <c r="CT24" s="76">
        <v>0</v>
      </c>
      <c r="CU24" s="76">
        <v>0</v>
      </c>
      <c r="CV24" s="76">
        <v>0</v>
      </c>
      <c r="CW24" s="76">
        <v>0</v>
      </c>
      <c r="CX24" s="76">
        <v>305</v>
      </c>
      <c r="CY24" s="76">
        <v>-305</v>
      </c>
      <c r="CZ24" s="76">
        <v>148</v>
      </c>
      <c r="DA24" s="76">
        <v>0</v>
      </c>
      <c r="DB24" s="76">
        <v>836</v>
      </c>
      <c r="DC24" s="76">
        <v>-688</v>
      </c>
      <c r="DD24" s="76">
        <v>12917</v>
      </c>
      <c r="DE24" s="76">
        <v>0</v>
      </c>
      <c r="DF24" s="76">
        <v>13853</v>
      </c>
      <c r="DG24" s="76">
        <v>-936</v>
      </c>
      <c r="DH24" s="76">
        <v>0</v>
      </c>
      <c r="DI24" s="76">
        <v>0</v>
      </c>
      <c r="DJ24" s="76">
        <v>0</v>
      </c>
      <c r="DK24" s="76">
        <v>0</v>
      </c>
      <c r="DL24" s="76">
        <v>0</v>
      </c>
      <c r="DM24" s="76">
        <v>0</v>
      </c>
      <c r="DN24" s="76">
        <v>0</v>
      </c>
      <c r="DO24" s="76">
        <v>0</v>
      </c>
      <c r="DP24" s="76">
        <v>0</v>
      </c>
      <c r="DQ24" s="76">
        <v>0</v>
      </c>
      <c r="DR24" s="76">
        <v>0</v>
      </c>
      <c r="DS24" s="76">
        <v>0</v>
      </c>
      <c r="DT24" s="76">
        <v>51</v>
      </c>
      <c r="DU24" s="76">
        <v>0</v>
      </c>
      <c r="DV24" s="76">
        <v>2</v>
      </c>
      <c r="DW24" s="76">
        <v>49</v>
      </c>
      <c r="DX24" s="76">
        <v>0</v>
      </c>
      <c r="DY24" s="76">
        <v>0</v>
      </c>
      <c r="DZ24" s="76">
        <v>0</v>
      </c>
      <c r="EA24" s="76">
        <v>0</v>
      </c>
      <c r="EB24" s="76">
        <v>2429</v>
      </c>
      <c r="EC24" s="76">
        <v>0</v>
      </c>
      <c r="ED24" s="76">
        <v>419</v>
      </c>
      <c r="EE24" s="76">
        <v>2010</v>
      </c>
      <c r="EF24" s="76">
        <v>2480</v>
      </c>
      <c r="EG24" s="76">
        <v>0</v>
      </c>
      <c r="EH24" s="76">
        <v>421</v>
      </c>
      <c r="EI24" s="76">
        <v>2059</v>
      </c>
      <c r="EJ24" s="76">
        <v>15397</v>
      </c>
      <c r="EK24" s="76">
        <v>0</v>
      </c>
      <c r="EL24" s="76">
        <v>14274</v>
      </c>
      <c r="EM24" s="76">
        <v>1123</v>
      </c>
      <c r="EN24" s="76">
        <v>3075</v>
      </c>
      <c r="EO24" s="76">
        <v>1836</v>
      </c>
      <c r="EP24" s="76">
        <v>403</v>
      </c>
      <c r="EQ24" s="76">
        <v>1836</v>
      </c>
      <c r="ER24" s="76">
        <v>826013</v>
      </c>
      <c r="ES24" s="76">
        <v>0</v>
      </c>
      <c r="ET24" s="76">
        <v>826013</v>
      </c>
      <c r="EU24" s="76">
        <v>81913</v>
      </c>
      <c r="EV24" s="76">
        <v>-6026</v>
      </c>
      <c r="EW24" s="76">
        <v>0</v>
      </c>
      <c r="EX24" s="76">
        <v>0</v>
      </c>
      <c r="EY24" s="76">
        <v>-18600</v>
      </c>
      <c r="EZ24" s="76">
        <v>883300</v>
      </c>
      <c r="FA24" s="76">
        <v>21617</v>
      </c>
      <c r="FB24" s="76">
        <v>13705</v>
      </c>
      <c r="FC24" s="76">
        <v>0</v>
      </c>
      <c r="FD24" s="76">
        <v>0</v>
      </c>
      <c r="FE24" s="76">
        <v>-2471</v>
      </c>
      <c r="FF24" s="76">
        <v>0</v>
      </c>
      <c r="FG24" s="76">
        <v>0</v>
      </c>
      <c r="FH24" s="76">
        <v>32851</v>
      </c>
      <c r="FI24" s="76">
        <v>850449</v>
      </c>
      <c r="FJ24" s="76">
        <v>804396</v>
      </c>
      <c r="FK24" s="76">
        <v>2088</v>
      </c>
      <c r="FL24" s="76">
        <v>1505</v>
      </c>
      <c r="FM24" s="76">
        <v>583</v>
      </c>
      <c r="FN24" s="76">
        <v>2367</v>
      </c>
      <c r="FO24" s="76">
        <v>2347</v>
      </c>
      <c r="FP24" s="76">
        <v>20</v>
      </c>
      <c r="FQ24" s="76">
        <v>288</v>
      </c>
      <c r="FR24" s="76">
        <v>158</v>
      </c>
      <c r="FS24" s="76">
        <v>130</v>
      </c>
      <c r="FT24" s="76">
        <v>2900</v>
      </c>
      <c r="FU24" s="76">
        <v>457</v>
      </c>
      <c r="FV24" s="76">
        <v>2443</v>
      </c>
      <c r="FW24" s="76">
        <v>0</v>
      </c>
      <c r="FX24" s="76">
        <v>0</v>
      </c>
      <c r="FY24" s="76">
        <v>0</v>
      </c>
      <c r="FZ24" s="76">
        <v>0</v>
      </c>
      <c r="GA24" s="76">
        <v>0</v>
      </c>
      <c r="GB24" s="76">
        <v>0</v>
      </c>
      <c r="GC24" s="76">
        <v>7643</v>
      </c>
      <c r="GD24" s="76">
        <v>4467</v>
      </c>
      <c r="GE24" s="76">
        <v>3176</v>
      </c>
      <c r="GF24" s="76">
        <v>3531</v>
      </c>
      <c r="GG24" s="76">
        <v>0</v>
      </c>
      <c r="GH24" s="76">
        <v>0</v>
      </c>
      <c r="GI24" s="76">
        <v>0</v>
      </c>
      <c r="GJ24" s="76">
        <v>0</v>
      </c>
      <c r="GK24" s="76">
        <v>1037</v>
      </c>
      <c r="GL24" s="76">
        <v>4568</v>
      </c>
      <c r="GM24" s="76">
        <v>283</v>
      </c>
      <c r="GN24" s="76">
        <v>4707</v>
      </c>
      <c r="GO24" s="76">
        <v>7507</v>
      </c>
      <c r="GP24" s="76">
        <v>854</v>
      </c>
      <c r="GQ24" s="76">
        <v>65</v>
      </c>
      <c r="GR24" s="76">
        <v>3078</v>
      </c>
      <c r="GS24" s="76">
        <v>0</v>
      </c>
      <c r="GT24" s="76">
        <v>0</v>
      </c>
      <c r="GU24" s="76">
        <v>468</v>
      </c>
      <c r="GV24" s="76">
        <v>0</v>
      </c>
      <c r="GW24" s="76">
        <v>2569</v>
      </c>
      <c r="GX24" s="76">
        <v>19531</v>
      </c>
      <c r="GY24" s="76">
        <v>1147</v>
      </c>
      <c r="GZ24" s="76">
        <v>304</v>
      </c>
      <c r="HA24" s="76">
        <v>2322</v>
      </c>
      <c r="HB24" s="76">
        <v>0</v>
      </c>
      <c r="HC24" s="76">
        <v>3773</v>
      </c>
      <c r="HD24" s="76">
        <v>0</v>
      </c>
      <c r="HE24" s="76">
        <v>0</v>
      </c>
      <c r="HF24" s="76">
        <v>0</v>
      </c>
      <c r="HG24" s="76">
        <v>16545</v>
      </c>
      <c r="HH24" s="76">
        <v>145</v>
      </c>
      <c r="HI24" s="76">
        <v>57</v>
      </c>
      <c r="HJ24" s="76">
        <v>8</v>
      </c>
      <c r="HK24" s="76">
        <v>188</v>
      </c>
      <c r="HL24" s="76">
        <v>-1390</v>
      </c>
      <c r="HM24" s="76">
        <v>15553</v>
      </c>
      <c r="HN24" s="76">
        <v>9100</v>
      </c>
      <c r="HO24" s="76">
        <v>14772</v>
      </c>
      <c r="HP24" s="76">
        <v>230</v>
      </c>
      <c r="HQ24" s="76">
        <v>657</v>
      </c>
      <c r="HR24" s="76">
        <v>-76</v>
      </c>
      <c r="HS24" s="76">
        <v>18</v>
      </c>
      <c r="HT24" s="76">
        <v>19814</v>
      </c>
      <c r="HU24" s="76">
        <v>0</v>
      </c>
      <c r="HV24" s="76">
        <v>0</v>
      </c>
      <c r="HW24" s="76">
        <v>-69</v>
      </c>
      <c r="HX24" s="76">
        <v>23</v>
      </c>
    </row>
    <row r="25" spans="1:232" x14ac:dyDescent="0.2">
      <c r="A25" s="74" t="s">
        <v>14</v>
      </c>
      <c r="B25" s="74" t="s">
        <v>13</v>
      </c>
      <c r="C25" s="75" t="s">
        <v>200</v>
      </c>
      <c r="D25" s="75">
        <v>12</v>
      </c>
      <c r="E25" s="76">
        <v>17490</v>
      </c>
      <c r="F25" s="76">
        <v>-67</v>
      </c>
      <c r="G25" s="76">
        <v>-13240</v>
      </c>
      <c r="H25" s="76">
        <v>4183</v>
      </c>
      <c r="I25" s="76">
        <v>475</v>
      </c>
      <c r="J25" s="76">
        <v>0</v>
      </c>
      <c r="K25" s="76">
        <v>-410</v>
      </c>
      <c r="L25" s="76">
        <v>0</v>
      </c>
      <c r="M25" s="76">
        <v>1</v>
      </c>
      <c r="N25" s="76">
        <v>-2705</v>
      </c>
      <c r="O25" s="76">
        <v>0</v>
      </c>
      <c r="P25" s="76">
        <v>0</v>
      </c>
      <c r="Q25" s="76">
        <v>0</v>
      </c>
      <c r="R25" s="76">
        <v>0</v>
      </c>
      <c r="S25" s="76">
        <v>1544</v>
      </c>
      <c r="T25" s="76">
        <v>0</v>
      </c>
      <c r="U25" s="76">
        <v>1544</v>
      </c>
      <c r="V25" s="76">
        <v>0</v>
      </c>
      <c r="W25" s="76">
        <v>0</v>
      </c>
      <c r="X25" s="76">
        <v>0</v>
      </c>
      <c r="Y25" s="76">
        <v>0</v>
      </c>
      <c r="Z25" s="76">
        <v>1544</v>
      </c>
      <c r="AA25" s="76">
        <v>10347</v>
      </c>
      <c r="AB25" s="76">
        <v>3135</v>
      </c>
      <c r="AC25" s="76">
        <v>13482</v>
      </c>
      <c r="AD25" s="76">
        <v>457</v>
      </c>
      <c r="AE25" s="76">
        <v>0</v>
      </c>
      <c r="AF25" s="76">
        <v>0</v>
      </c>
      <c r="AG25" s="76">
        <v>73</v>
      </c>
      <c r="AH25" s="76">
        <v>14012</v>
      </c>
      <c r="AI25" s="76">
        <v>1510</v>
      </c>
      <c r="AJ25" s="76">
        <v>4106</v>
      </c>
      <c r="AK25" s="76">
        <v>992</v>
      </c>
      <c r="AL25" s="76">
        <v>1033</v>
      </c>
      <c r="AM25" s="76">
        <v>254</v>
      </c>
      <c r="AN25" s="76">
        <v>96</v>
      </c>
      <c r="AO25" s="76">
        <v>1976</v>
      </c>
      <c r="AP25" s="76">
        <v>0</v>
      </c>
      <c r="AQ25" s="76">
        <v>0</v>
      </c>
      <c r="AR25" s="76">
        <v>9967</v>
      </c>
      <c r="AS25" s="76">
        <v>4045</v>
      </c>
      <c r="AT25" s="76">
        <v>175</v>
      </c>
      <c r="AU25" s="76">
        <v>106426</v>
      </c>
      <c r="AV25" s="76">
        <v>0</v>
      </c>
      <c r="AW25" s="76">
        <v>2902</v>
      </c>
      <c r="AX25" s="76">
        <v>0</v>
      </c>
      <c r="AY25" s="76">
        <v>0</v>
      </c>
      <c r="AZ25" s="76">
        <v>0</v>
      </c>
      <c r="BA25" s="76">
        <v>0</v>
      </c>
      <c r="BB25" s="76">
        <v>0</v>
      </c>
      <c r="BC25" s="76">
        <v>0</v>
      </c>
      <c r="BD25" s="76">
        <v>0</v>
      </c>
      <c r="BE25" s="76">
        <v>109328</v>
      </c>
      <c r="BF25" s="76">
        <v>172</v>
      </c>
      <c r="BG25" s="76">
        <v>1015</v>
      </c>
      <c r="BH25" s="76">
        <v>1247</v>
      </c>
      <c r="BI25" s="76">
        <v>0</v>
      </c>
      <c r="BJ25" s="76">
        <v>0</v>
      </c>
      <c r="BK25" s="76">
        <v>2434</v>
      </c>
      <c r="BL25" s="76">
        <v>702</v>
      </c>
      <c r="BM25" s="76">
        <v>20</v>
      </c>
      <c r="BN25" s="76">
        <v>457</v>
      </c>
      <c r="BO25" s="76">
        <v>2842</v>
      </c>
      <c r="BP25" s="76">
        <v>4021</v>
      </c>
      <c r="BQ25" s="76">
        <v>-1587</v>
      </c>
      <c r="BR25" s="76">
        <v>107741</v>
      </c>
      <c r="BS25" s="76">
        <v>52521</v>
      </c>
      <c r="BT25" s="76">
        <v>0</v>
      </c>
      <c r="BU25" s="76">
        <v>0</v>
      </c>
      <c r="BV25" s="76">
        <v>44535</v>
      </c>
      <c r="BW25" s="76">
        <v>0</v>
      </c>
      <c r="BX25" s="76">
        <v>0</v>
      </c>
      <c r="BY25" s="76">
        <v>228</v>
      </c>
      <c r="BZ25" s="76">
        <v>97284</v>
      </c>
      <c r="CA25" s="76">
        <v>2290</v>
      </c>
      <c r="CB25" s="76">
        <v>0</v>
      </c>
      <c r="CC25" s="76">
        <v>8167</v>
      </c>
      <c r="CD25" s="76">
        <v>8167</v>
      </c>
      <c r="CE25" s="76">
        <v>0</v>
      </c>
      <c r="CF25" s="76">
        <v>0</v>
      </c>
      <c r="CG25" s="76">
        <v>0</v>
      </c>
      <c r="CH25" s="76">
        <v>0</v>
      </c>
      <c r="CI25" s="76">
        <v>8167</v>
      </c>
      <c r="CJ25" s="76">
        <v>86</v>
      </c>
      <c r="CK25" s="76">
        <v>67</v>
      </c>
      <c r="CL25" s="76">
        <v>0</v>
      </c>
      <c r="CM25" s="76">
        <v>19</v>
      </c>
      <c r="CN25" s="76">
        <v>1729</v>
      </c>
      <c r="CO25" s="76">
        <v>0</v>
      </c>
      <c r="CP25" s="76">
        <v>1401</v>
      </c>
      <c r="CQ25" s="76">
        <v>328</v>
      </c>
      <c r="CR25" s="76">
        <v>0</v>
      </c>
      <c r="CS25" s="76">
        <v>0</v>
      </c>
      <c r="CT25" s="76">
        <v>0</v>
      </c>
      <c r="CU25" s="76">
        <v>0</v>
      </c>
      <c r="CV25" s="76">
        <v>0</v>
      </c>
      <c r="CW25" s="76">
        <v>0</v>
      </c>
      <c r="CX25" s="76">
        <v>0</v>
      </c>
      <c r="CY25" s="76">
        <v>0</v>
      </c>
      <c r="CZ25" s="76">
        <v>0</v>
      </c>
      <c r="DA25" s="76">
        <v>0</v>
      </c>
      <c r="DB25" s="76">
        <v>0</v>
      </c>
      <c r="DC25" s="76">
        <v>0</v>
      </c>
      <c r="DD25" s="76">
        <v>1815</v>
      </c>
      <c r="DE25" s="76">
        <v>67</v>
      </c>
      <c r="DF25" s="76">
        <v>1401</v>
      </c>
      <c r="DG25" s="76">
        <v>347</v>
      </c>
      <c r="DH25" s="76">
        <v>0</v>
      </c>
      <c r="DI25" s="76">
        <v>0</v>
      </c>
      <c r="DJ25" s="76">
        <v>0</v>
      </c>
      <c r="DK25" s="76">
        <v>0</v>
      </c>
      <c r="DL25" s="76">
        <v>0</v>
      </c>
      <c r="DM25" s="76">
        <v>0</v>
      </c>
      <c r="DN25" s="76">
        <v>0</v>
      </c>
      <c r="DO25" s="76">
        <v>0</v>
      </c>
      <c r="DP25" s="76">
        <v>0</v>
      </c>
      <c r="DQ25" s="76">
        <v>0</v>
      </c>
      <c r="DR25" s="76">
        <v>0</v>
      </c>
      <c r="DS25" s="76">
        <v>0</v>
      </c>
      <c r="DT25" s="76">
        <v>0</v>
      </c>
      <c r="DU25" s="76">
        <v>0</v>
      </c>
      <c r="DV25" s="76">
        <v>0</v>
      </c>
      <c r="DW25" s="76">
        <v>0</v>
      </c>
      <c r="DX25" s="76">
        <v>0</v>
      </c>
      <c r="DY25" s="76">
        <v>0</v>
      </c>
      <c r="DZ25" s="76">
        <v>0</v>
      </c>
      <c r="EA25" s="76">
        <v>0</v>
      </c>
      <c r="EB25" s="76">
        <v>1663</v>
      </c>
      <c r="EC25" s="76">
        <v>0</v>
      </c>
      <c r="ED25" s="76">
        <v>1872</v>
      </c>
      <c r="EE25" s="76">
        <v>-209</v>
      </c>
      <c r="EF25" s="76">
        <v>1663</v>
      </c>
      <c r="EG25" s="76">
        <v>0</v>
      </c>
      <c r="EH25" s="76">
        <v>1872</v>
      </c>
      <c r="EI25" s="76">
        <v>-209</v>
      </c>
      <c r="EJ25" s="76">
        <v>3478</v>
      </c>
      <c r="EK25" s="76">
        <v>67</v>
      </c>
      <c r="EL25" s="76">
        <v>3273</v>
      </c>
      <c r="EM25" s="76">
        <v>138</v>
      </c>
      <c r="EN25" s="76">
        <v>316</v>
      </c>
      <c r="EO25" s="76">
        <v>151</v>
      </c>
      <c r="EP25" s="76">
        <v>34</v>
      </c>
      <c r="EQ25" s="76">
        <v>150</v>
      </c>
      <c r="ER25" s="76">
        <v>126710</v>
      </c>
      <c r="ES25" s="76">
        <v>0</v>
      </c>
      <c r="ET25" s="76">
        <v>126710</v>
      </c>
      <c r="EU25" s="76">
        <v>1892</v>
      </c>
      <c r="EV25" s="76">
        <v>-575</v>
      </c>
      <c r="EW25" s="76">
        <v>0</v>
      </c>
      <c r="EX25" s="76">
        <v>0</v>
      </c>
      <c r="EY25" s="76">
        <v>-231</v>
      </c>
      <c r="EZ25" s="76">
        <v>127796</v>
      </c>
      <c r="FA25" s="76">
        <v>19655</v>
      </c>
      <c r="FB25" s="76">
        <v>1976</v>
      </c>
      <c r="FC25" s="76">
        <v>0</v>
      </c>
      <c r="FD25" s="76">
        <v>0</v>
      </c>
      <c r="FE25" s="76">
        <v>-261</v>
      </c>
      <c r="FF25" s="76">
        <v>0</v>
      </c>
      <c r="FG25" s="76">
        <v>0</v>
      </c>
      <c r="FH25" s="76">
        <v>21370</v>
      </c>
      <c r="FI25" s="76">
        <v>106426</v>
      </c>
      <c r="FJ25" s="76">
        <v>107055</v>
      </c>
      <c r="FK25" s="76">
        <v>0</v>
      </c>
      <c r="FL25" s="76">
        <v>0</v>
      </c>
      <c r="FM25" s="76">
        <v>0</v>
      </c>
      <c r="FN25" s="76">
        <v>0</v>
      </c>
      <c r="FO25" s="76">
        <v>0</v>
      </c>
      <c r="FP25" s="76">
        <v>0</v>
      </c>
      <c r="FQ25" s="76">
        <v>0</v>
      </c>
      <c r="FR25" s="76">
        <v>0</v>
      </c>
      <c r="FS25" s="76">
        <v>0</v>
      </c>
      <c r="FT25" s="76">
        <v>707</v>
      </c>
      <c r="FU25" s="76">
        <v>232</v>
      </c>
      <c r="FV25" s="76">
        <v>475</v>
      </c>
      <c r="FW25" s="76">
        <v>0</v>
      </c>
      <c r="FX25" s="76">
        <v>0</v>
      </c>
      <c r="FY25" s="76">
        <v>0</v>
      </c>
      <c r="FZ25" s="76">
        <v>0</v>
      </c>
      <c r="GA25" s="76">
        <v>0</v>
      </c>
      <c r="GB25" s="76">
        <v>0</v>
      </c>
      <c r="GC25" s="76">
        <v>707</v>
      </c>
      <c r="GD25" s="76">
        <v>232</v>
      </c>
      <c r="GE25" s="76">
        <v>475</v>
      </c>
      <c r="GF25" s="76">
        <v>0</v>
      </c>
      <c r="GG25" s="76">
        <v>0</v>
      </c>
      <c r="GH25" s="76">
        <v>0</v>
      </c>
      <c r="GI25" s="76">
        <v>0</v>
      </c>
      <c r="GJ25" s="76">
        <v>0</v>
      </c>
      <c r="GK25" s="76">
        <v>0</v>
      </c>
      <c r="GL25" s="76">
        <v>0</v>
      </c>
      <c r="GM25" s="76">
        <v>258</v>
      </c>
      <c r="GN25" s="76">
        <v>395</v>
      </c>
      <c r="GO25" s="76">
        <v>0</v>
      </c>
      <c r="GP25" s="76">
        <v>213</v>
      </c>
      <c r="GQ25" s="76">
        <v>0</v>
      </c>
      <c r="GR25" s="76">
        <v>1217</v>
      </c>
      <c r="GS25" s="76">
        <v>0</v>
      </c>
      <c r="GT25" s="76">
        <v>0</v>
      </c>
      <c r="GU25" s="76">
        <v>0</v>
      </c>
      <c r="GV25" s="76">
        <v>0</v>
      </c>
      <c r="GW25" s="76">
        <v>759</v>
      </c>
      <c r="GX25" s="76">
        <v>2842</v>
      </c>
      <c r="GY25" s="76">
        <v>228</v>
      </c>
      <c r="GZ25" s="76">
        <v>0</v>
      </c>
      <c r="HA25" s="76">
        <v>0</v>
      </c>
      <c r="HB25" s="76">
        <v>0</v>
      </c>
      <c r="HC25" s="76">
        <v>228</v>
      </c>
      <c r="HD25" s="76">
        <v>0</v>
      </c>
      <c r="HE25" s="76">
        <v>0</v>
      </c>
      <c r="HF25" s="76">
        <v>0</v>
      </c>
      <c r="HG25" s="76">
        <v>2500</v>
      </c>
      <c r="HH25" s="76">
        <v>0</v>
      </c>
      <c r="HI25" s="76">
        <v>55</v>
      </c>
      <c r="HJ25" s="76">
        <v>0</v>
      </c>
      <c r="HK25" s="76">
        <v>162</v>
      </c>
      <c r="HL25" s="76">
        <v>-12</v>
      </c>
      <c r="HM25" s="76">
        <v>2705</v>
      </c>
      <c r="HN25" s="76">
        <v>1081</v>
      </c>
      <c r="HO25" s="76">
        <v>2348</v>
      </c>
      <c r="HP25" s="76">
        <v>0</v>
      </c>
      <c r="HQ25" s="76">
        <v>8</v>
      </c>
      <c r="HR25" s="76">
        <v>-5</v>
      </c>
      <c r="HS25" s="76">
        <v>3</v>
      </c>
      <c r="HT25" s="76">
        <v>2268</v>
      </c>
      <c r="HU25" s="76">
        <v>0</v>
      </c>
      <c r="HV25" s="76">
        <v>0</v>
      </c>
      <c r="HW25" s="76">
        <v>0</v>
      </c>
      <c r="HX25" s="76">
        <v>0</v>
      </c>
    </row>
    <row r="26" spans="1:232" x14ac:dyDescent="0.2">
      <c r="A26" s="74" t="s">
        <v>16</v>
      </c>
      <c r="B26" s="74" t="s">
        <v>15</v>
      </c>
      <c r="C26" s="75" t="s">
        <v>200</v>
      </c>
      <c r="D26" s="75">
        <v>12</v>
      </c>
      <c r="E26" s="76">
        <v>26489</v>
      </c>
      <c r="F26" s="76">
        <v>-471</v>
      </c>
      <c r="G26" s="76">
        <v>-14538</v>
      </c>
      <c r="H26" s="76">
        <v>11480</v>
      </c>
      <c r="I26" s="76">
        <v>595</v>
      </c>
      <c r="J26" s="76">
        <v>0</v>
      </c>
      <c r="K26" s="76">
        <v>0</v>
      </c>
      <c r="L26" s="76">
        <v>0</v>
      </c>
      <c r="M26" s="76">
        <v>55</v>
      </c>
      <c r="N26" s="76">
        <v>-5244</v>
      </c>
      <c r="O26" s="76">
        <v>495</v>
      </c>
      <c r="P26" s="76">
        <v>0</v>
      </c>
      <c r="Q26" s="76">
        <v>0</v>
      </c>
      <c r="R26" s="76">
        <v>0</v>
      </c>
      <c r="S26" s="76">
        <v>7381</v>
      </c>
      <c r="T26" s="76">
        <v>0</v>
      </c>
      <c r="U26" s="76">
        <v>7381</v>
      </c>
      <c r="V26" s="76">
        <v>0</v>
      </c>
      <c r="W26" s="76">
        <v>-1086</v>
      </c>
      <c r="X26" s="76">
        <v>0</v>
      </c>
      <c r="Y26" s="76">
        <v>0</v>
      </c>
      <c r="Z26" s="76">
        <v>6295</v>
      </c>
      <c r="AA26" s="76">
        <v>24082</v>
      </c>
      <c r="AB26" s="76">
        <v>899</v>
      </c>
      <c r="AC26" s="76">
        <v>24981</v>
      </c>
      <c r="AD26" s="76">
        <v>216</v>
      </c>
      <c r="AE26" s="76">
        <v>0</v>
      </c>
      <c r="AF26" s="76">
        <v>0</v>
      </c>
      <c r="AG26" s="76">
        <v>0</v>
      </c>
      <c r="AH26" s="76">
        <v>25197</v>
      </c>
      <c r="AI26" s="76">
        <v>4651</v>
      </c>
      <c r="AJ26" s="76">
        <v>2725</v>
      </c>
      <c r="AK26" s="76">
        <v>1905</v>
      </c>
      <c r="AL26" s="76">
        <v>1159</v>
      </c>
      <c r="AM26" s="76">
        <v>0</v>
      </c>
      <c r="AN26" s="76">
        <v>120</v>
      </c>
      <c r="AO26" s="76">
        <v>3182</v>
      </c>
      <c r="AP26" s="76">
        <v>0</v>
      </c>
      <c r="AQ26" s="76">
        <v>117</v>
      </c>
      <c r="AR26" s="76">
        <v>13859</v>
      </c>
      <c r="AS26" s="76">
        <v>11338</v>
      </c>
      <c r="AT26" s="76">
        <v>284</v>
      </c>
      <c r="AU26" s="76">
        <v>158168</v>
      </c>
      <c r="AV26" s="76">
        <v>0</v>
      </c>
      <c r="AW26" s="76">
        <v>3274</v>
      </c>
      <c r="AX26" s="76">
        <v>0</v>
      </c>
      <c r="AY26" s="76">
        <v>0</v>
      </c>
      <c r="AZ26" s="76">
        <v>3277</v>
      </c>
      <c r="BA26" s="76">
        <v>2081</v>
      </c>
      <c r="BB26" s="76">
        <v>0</v>
      </c>
      <c r="BC26" s="76">
        <v>0</v>
      </c>
      <c r="BD26" s="76">
        <v>0</v>
      </c>
      <c r="BE26" s="76">
        <v>166800</v>
      </c>
      <c r="BF26" s="76">
        <v>5898</v>
      </c>
      <c r="BG26" s="76">
        <v>4921</v>
      </c>
      <c r="BH26" s="76">
        <v>2183</v>
      </c>
      <c r="BI26" s="76">
        <v>0</v>
      </c>
      <c r="BJ26" s="76">
        <v>11052</v>
      </c>
      <c r="BK26" s="76">
        <v>24054</v>
      </c>
      <c r="BL26" s="76">
        <v>0</v>
      </c>
      <c r="BM26" s="76">
        <v>0</v>
      </c>
      <c r="BN26" s="76">
        <v>154</v>
      </c>
      <c r="BO26" s="76">
        <v>5283</v>
      </c>
      <c r="BP26" s="76">
        <v>5437</v>
      </c>
      <c r="BQ26" s="76">
        <v>18617</v>
      </c>
      <c r="BR26" s="76">
        <v>185417</v>
      </c>
      <c r="BS26" s="76">
        <v>130312</v>
      </c>
      <c r="BT26" s="76">
        <v>0</v>
      </c>
      <c r="BU26" s="76">
        <v>0</v>
      </c>
      <c r="BV26" s="76">
        <v>11527</v>
      </c>
      <c r="BW26" s="76">
        <v>0</v>
      </c>
      <c r="BX26" s="76">
        <v>0</v>
      </c>
      <c r="BY26" s="76">
        <v>329</v>
      </c>
      <c r="BZ26" s="76">
        <v>142168</v>
      </c>
      <c r="CA26" s="76">
        <v>3006</v>
      </c>
      <c r="CB26" s="76">
        <v>11757</v>
      </c>
      <c r="CC26" s="76">
        <v>28486</v>
      </c>
      <c r="CD26" s="76">
        <v>28486</v>
      </c>
      <c r="CE26" s="76">
        <v>0</v>
      </c>
      <c r="CF26" s="76">
        <v>0</v>
      </c>
      <c r="CG26" s="76">
        <v>0</v>
      </c>
      <c r="CH26" s="76">
        <v>0</v>
      </c>
      <c r="CI26" s="76">
        <v>28486</v>
      </c>
      <c r="CJ26" s="76">
        <v>550</v>
      </c>
      <c r="CK26" s="76">
        <v>471</v>
      </c>
      <c r="CL26" s="76">
        <v>0</v>
      </c>
      <c r="CM26" s="76">
        <v>79</v>
      </c>
      <c r="CN26" s="76">
        <v>86</v>
      </c>
      <c r="CO26" s="76">
        <v>0</v>
      </c>
      <c r="CP26" s="76">
        <v>86</v>
      </c>
      <c r="CQ26" s="76">
        <v>0</v>
      </c>
      <c r="CR26" s="76">
        <v>0</v>
      </c>
      <c r="CS26" s="76">
        <v>0</v>
      </c>
      <c r="CT26" s="76">
        <v>0</v>
      </c>
      <c r="CU26" s="76">
        <v>0</v>
      </c>
      <c r="CV26" s="76">
        <v>0</v>
      </c>
      <c r="CW26" s="76">
        <v>0</v>
      </c>
      <c r="CX26" s="76">
        <v>0</v>
      </c>
      <c r="CY26" s="76">
        <v>0</v>
      </c>
      <c r="CZ26" s="76">
        <v>0</v>
      </c>
      <c r="DA26" s="76">
        <v>0</v>
      </c>
      <c r="DB26" s="76">
        <v>0</v>
      </c>
      <c r="DC26" s="76">
        <v>0</v>
      </c>
      <c r="DD26" s="76">
        <v>636</v>
      </c>
      <c r="DE26" s="76">
        <v>471</v>
      </c>
      <c r="DF26" s="76">
        <v>86</v>
      </c>
      <c r="DG26" s="76">
        <v>79</v>
      </c>
      <c r="DH26" s="76">
        <v>0</v>
      </c>
      <c r="DI26" s="76">
        <v>0</v>
      </c>
      <c r="DJ26" s="76">
        <v>0</v>
      </c>
      <c r="DK26" s="76">
        <v>0</v>
      </c>
      <c r="DL26" s="76">
        <v>0</v>
      </c>
      <c r="DM26" s="76">
        <v>0</v>
      </c>
      <c r="DN26" s="76">
        <v>0</v>
      </c>
      <c r="DO26" s="76">
        <v>0</v>
      </c>
      <c r="DP26" s="76">
        <v>0</v>
      </c>
      <c r="DQ26" s="76">
        <v>0</v>
      </c>
      <c r="DR26" s="76">
        <v>0</v>
      </c>
      <c r="DS26" s="76">
        <v>0</v>
      </c>
      <c r="DT26" s="76">
        <v>85</v>
      </c>
      <c r="DU26" s="76">
        <v>0</v>
      </c>
      <c r="DV26" s="76">
        <v>0</v>
      </c>
      <c r="DW26" s="76">
        <v>85</v>
      </c>
      <c r="DX26" s="76">
        <v>0</v>
      </c>
      <c r="DY26" s="76">
        <v>0</v>
      </c>
      <c r="DZ26" s="76">
        <v>0</v>
      </c>
      <c r="EA26" s="76">
        <v>0</v>
      </c>
      <c r="EB26" s="76">
        <v>571</v>
      </c>
      <c r="EC26" s="76">
        <v>0</v>
      </c>
      <c r="ED26" s="76">
        <v>593</v>
      </c>
      <c r="EE26" s="76">
        <v>-22</v>
      </c>
      <c r="EF26" s="76">
        <v>656</v>
      </c>
      <c r="EG26" s="76">
        <v>0</v>
      </c>
      <c r="EH26" s="76">
        <v>593</v>
      </c>
      <c r="EI26" s="76">
        <v>63</v>
      </c>
      <c r="EJ26" s="76">
        <v>1292</v>
      </c>
      <c r="EK26" s="76">
        <v>471</v>
      </c>
      <c r="EL26" s="76">
        <v>679</v>
      </c>
      <c r="EM26" s="76">
        <v>142</v>
      </c>
      <c r="EN26" s="76">
        <v>842</v>
      </c>
      <c r="EO26" s="76">
        <v>171</v>
      </c>
      <c r="EP26" s="76">
        <v>100</v>
      </c>
      <c r="EQ26" s="76">
        <v>171</v>
      </c>
      <c r="ER26" s="76">
        <v>155478</v>
      </c>
      <c r="ES26" s="76">
        <v>0</v>
      </c>
      <c r="ET26" s="76">
        <v>155478</v>
      </c>
      <c r="EU26" s="76">
        <v>19549</v>
      </c>
      <c r="EV26" s="76">
        <v>-827</v>
      </c>
      <c r="EW26" s="76">
        <v>0</v>
      </c>
      <c r="EX26" s="76">
        <v>-142</v>
      </c>
      <c r="EY26" s="76">
        <v>0</v>
      </c>
      <c r="EZ26" s="76">
        <v>174058</v>
      </c>
      <c r="FA26" s="76">
        <v>12706</v>
      </c>
      <c r="FB26" s="76">
        <v>3249</v>
      </c>
      <c r="FC26" s="76">
        <v>0</v>
      </c>
      <c r="FD26" s="76">
        <v>0</v>
      </c>
      <c r="FE26" s="76">
        <v>-48</v>
      </c>
      <c r="FF26" s="76">
        <v>0</v>
      </c>
      <c r="FG26" s="76">
        <v>-17</v>
      </c>
      <c r="FH26" s="76">
        <v>15890</v>
      </c>
      <c r="FI26" s="76">
        <v>158168</v>
      </c>
      <c r="FJ26" s="76">
        <v>142772</v>
      </c>
      <c r="FK26" s="76">
        <v>341</v>
      </c>
      <c r="FL26" s="76">
        <v>145</v>
      </c>
      <c r="FM26" s="76">
        <v>196</v>
      </c>
      <c r="FN26" s="76">
        <v>907</v>
      </c>
      <c r="FO26" s="76">
        <v>394</v>
      </c>
      <c r="FP26" s="76">
        <v>513</v>
      </c>
      <c r="FQ26" s="76">
        <v>0</v>
      </c>
      <c r="FR26" s="76">
        <v>0</v>
      </c>
      <c r="FS26" s="76">
        <v>0</v>
      </c>
      <c r="FT26" s="76">
        <v>136</v>
      </c>
      <c r="FU26" s="76">
        <v>250</v>
      </c>
      <c r="FV26" s="76">
        <v>-114</v>
      </c>
      <c r="FW26" s="76">
        <v>0</v>
      </c>
      <c r="FX26" s="76">
        <v>0</v>
      </c>
      <c r="FY26" s="76">
        <v>0</v>
      </c>
      <c r="FZ26" s="76">
        <v>0</v>
      </c>
      <c r="GA26" s="76">
        <v>0</v>
      </c>
      <c r="GB26" s="76">
        <v>0</v>
      </c>
      <c r="GC26" s="76">
        <v>1384</v>
      </c>
      <c r="GD26" s="76">
        <v>789</v>
      </c>
      <c r="GE26" s="76">
        <v>595</v>
      </c>
      <c r="GF26" s="76">
        <v>0</v>
      </c>
      <c r="GG26" s="76">
        <v>86</v>
      </c>
      <c r="GH26" s="76">
        <v>0</v>
      </c>
      <c r="GI26" s="76">
        <v>10966</v>
      </c>
      <c r="GJ26" s="76">
        <v>0</v>
      </c>
      <c r="GK26" s="76">
        <v>0</v>
      </c>
      <c r="GL26" s="76">
        <v>11052</v>
      </c>
      <c r="GM26" s="76">
        <v>1218</v>
      </c>
      <c r="GN26" s="76">
        <v>436</v>
      </c>
      <c r="GO26" s="76">
        <v>0</v>
      </c>
      <c r="GP26" s="76">
        <v>0</v>
      </c>
      <c r="GQ26" s="76">
        <v>656</v>
      </c>
      <c r="GR26" s="76">
        <v>2309</v>
      </c>
      <c r="GS26" s="76">
        <v>0</v>
      </c>
      <c r="GT26" s="76">
        <v>0</v>
      </c>
      <c r="GU26" s="76">
        <v>10</v>
      </c>
      <c r="GV26" s="76">
        <v>0</v>
      </c>
      <c r="GW26" s="76">
        <v>654</v>
      </c>
      <c r="GX26" s="76">
        <v>5283</v>
      </c>
      <c r="GY26" s="76">
        <v>0</v>
      </c>
      <c r="GZ26" s="76">
        <v>230</v>
      </c>
      <c r="HA26" s="76">
        <v>89</v>
      </c>
      <c r="HB26" s="76">
        <v>10</v>
      </c>
      <c r="HC26" s="76">
        <v>329</v>
      </c>
      <c r="HD26" s="76">
        <v>10966</v>
      </c>
      <c r="HE26" s="76">
        <v>791</v>
      </c>
      <c r="HF26" s="76">
        <v>11757</v>
      </c>
      <c r="HG26" s="76">
        <v>5599</v>
      </c>
      <c r="HH26" s="76">
        <v>139</v>
      </c>
      <c r="HI26" s="76">
        <v>67</v>
      </c>
      <c r="HJ26" s="76">
        <v>1</v>
      </c>
      <c r="HK26" s="76">
        <v>2</v>
      </c>
      <c r="HL26" s="76">
        <v>-564</v>
      </c>
      <c r="HM26" s="76">
        <v>5244</v>
      </c>
      <c r="HN26" s="76">
        <v>1847</v>
      </c>
      <c r="HO26" s="76">
        <v>3480</v>
      </c>
      <c r="HP26" s="76">
        <v>0</v>
      </c>
      <c r="HQ26" s="76">
        <v>23</v>
      </c>
      <c r="HR26" s="76">
        <v>-8</v>
      </c>
      <c r="HS26" s="76">
        <v>13</v>
      </c>
      <c r="HT26" s="76">
        <v>4568</v>
      </c>
      <c r="HU26" s="76">
        <v>0</v>
      </c>
      <c r="HV26" s="76">
        <v>0</v>
      </c>
      <c r="HW26" s="76">
        <v>0</v>
      </c>
      <c r="HX26" s="76">
        <v>105</v>
      </c>
    </row>
    <row r="27" spans="1:232" x14ac:dyDescent="0.2">
      <c r="A27" s="71" t="s">
        <v>18</v>
      </c>
      <c r="B27" s="71" t="s">
        <v>17</v>
      </c>
      <c r="C27" s="72" t="s">
        <v>200</v>
      </c>
      <c r="D27" s="72">
        <v>12</v>
      </c>
      <c r="E27" s="73">
        <v>4040</v>
      </c>
      <c r="F27" s="73">
        <v>-183</v>
      </c>
      <c r="G27" s="73">
        <v>-2298</v>
      </c>
      <c r="H27" s="73">
        <v>1559</v>
      </c>
      <c r="I27" s="73">
        <v>47</v>
      </c>
      <c r="J27" s="73">
        <v>-473</v>
      </c>
      <c r="K27" s="73">
        <v>0</v>
      </c>
      <c r="L27" s="73">
        <v>0</v>
      </c>
      <c r="M27" s="73">
        <v>13</v>
      </c>
      <c r="N27" s="73">
        <v>-980</v>
      </c>
      <c r="O27" s="73">
        <v>0</v>
      </c>
      <c r="P27" s="73">
        <v>0</v>
      </c>
      <c r="Q27" s="73">
        <v>0</v>
      </c>
      <c r="R27" s="73">
        <v>0</v>
      </c>
      <c r="S27" s="73">
        <v>166</v>
      </c>
      <c r="T27" s="73">
        <v>-62</v>
      </c>
      <c r="U27" s="73">
        <v>104</v>
      </c>
      <c r="V27" s="73">
        <v>0</v>
      </c>
      <c r="W27" s="73">
        <v>0</v>
      </c>
      <c r="X27" s="73">
        <v>0</v>
      </c>
      <c r="Y27" s="73">
        <v>0</v>
      </c>
      <c r="Z27" s="73">
        <v>104</v>
      </c>
      <c r="AA27" s="73">
        <v>2793</v>
      </c>
      <c r="AB27" s="73">
        <v>757</v>
      </c>
      <c r="AC27" s="73">
        <v>3550</v>
      </c>
      <c r="AD27" s="73">
        <v>205</v>
      </c>
      <c r="AE27" s="73">
        <v>0</v>
      </c>
      <c r="AF27" s="73">
        <v>0</v>
      </c>
      <c r="AG27" s="73">
        <v>0</v>
      </c>
      <c r="AH27" s="73">
        <v>3755</v>
      </c>
      <c r="AI27" s="73">
        <v>559</v>
      </c>
      <c r="AJ27" s="73">
        <v>761</v>
      </c>
      <c r="AK27" s="73">
        <v>231</v>
      </c>
      <c r="AL27" s="73">
        <v>294</v>
      </c>
      <c r="AM27" s="73">
        <v>15</v>
      </c>
      <c r="AN27" s="73">
        <v>5</v>
      </c>
      <c r="AO27" s="73">
        <v>390</v>
      </c>
      <c r="AP27" s="73">
        <v>0</v>
      </c>
      <c r="AQ27" s="73">
        <v>43</v>
      </c>
      <c r="AR27" s="73">
        <v>2298</v>
      </c>
      <c r="AS27" s="73">
        <v>1457</v>
      </c>
      <c r="AT27" s="73">
        <v>18</v>
      </c>
      <c r="AU27" s="73">
        <v>39032</v>
      </c>
      <c r="AV27" s="73">
        <v>0</v>
      </c>
      <c r="AW27" s="73">
        <v>250</v>
      </c>
      <c r="AX27" s="73">
        <v>0</v>
      </c>
      <c r="AY27" s="73">
        <v>0</v>
      </c>
      <c r="AZ27" s="73">
        <v>0</v>
      </c>
      <c r="BA27" s="73">
        <v>0</v>
      </c>
      <c r="BB27" s="73">
        <v>0</v>
      </c>
      <c r="BC27" s="73">
        <v>0</v>
      </c>
      <c r="BD27" s="73">
        <v>0</v>
      </c>
      <c r="BE27" s="73">
        <v>39282</v>
      </c>
      <c r="BF27" s="73">
        <v>0</v>
      </c>
      <c r="BG27" s="73">
        <v>132</v>
      </c>
      <c r="BH27" s="73">
        <v>4032</v>
      </c>
      <c r="BI27" s="73">
        <v>0</v>
      </c>
      <c r="BJ27" s="73">
        <v>0</v>
      </c>
      <c r="BK27" s="73">
        <v>4164</v>
      </c>
      <c r="BL27" s="73">
        <v>791</v>
      </c>
      <c r="BM27" s="73">
        <v>0</v>
      </c>
      <c r="BN27" s="73">
        <v>200</v>
      </c>
      <c r="BO27" s="73">
        <v>1300</v>
      </c>
      <c r="BP27" s="73">
        <v>2291</v>
      </c>
      <c r="BQ27" s="73">
        <v>1873</v>
      </c>
      <c r="BR27" s="73">
        <v>41155</v>
      </c>
      <c r="BS27" s="73">
        <v>17763</v>
      </c>
      <c r="BT27" s="73">
        <v>0</v>
      </c>
      <c r="BU27" s="73">
        <v>0</v>
      </c>
      <c r="BV27" s="73">
        <v>17008</v>
      </c>
      <c r="BW27" s="73">
        <v>0</v>
      </c>
      <c r="BX27" s="73">
        <v>0</v>
      </c>
      <c r="BY27" s="73">
        <v>0</v>
      </c>
      <c r="BZ27" s="73">
        <v>34771</v>
      </c>
      <c r="CA27" s="73">
        <v>0</v>
      </c>
      <c r="CB27" s="73">
        <v>0</v>
      </c>
      <c r="CC27" s="73">
        <v>6384</v>
      </c>
      <c r="CD27" s="73">
        <v>6384</v>
      </c>
      <c r="CE27" s="73">
        <v>0</v>
      </c>
      <c r="CF27" s="73">
        <v>0</v>
      </c>
      <c r="CG27" s="73">
        <v>0</v>
      </c>
      <c r="CH27" s="73">
        <v>0</v>
      </c>
      <c r="CI27" s="73">
        <v>6384</v>
      </c>
      <c r="CJ27" s="73">
        <v>251</v>
      </c>
      <c r="CK27" s="73">
        <v>183</v>
      </c>
      <c r="CL27" s="73">
        <v>0</v>
      </c>
      <c r="CM27" s="73">
        <v>68</v>
      </c>
      <c r="CN27" s="73">
        <v>0</v>
      </c>
      <c r="CO27" s="73">
        <v>0</v>
      </c>
      <c r="CP27" s="73">
        <v>0</v>
      </c>
      <c r="CQ27" s="73">
        <v>0</v>
      </c>
      <c r="CR27" s="73">
        <v>0</v>
      </c>
      <c r="CS27" s="73">
        <v>0</v>
      </c>
      <c r="CT27" s="73">
        <v>0</v>
      </c>
      <c r="CU27" s="73">
        <v>0</v>
      </c>
      <c r="CV27" s="73">
        <v>0</v>
      </c>
      <c r="CW27" s="73">
        <v>0</v>
      </c>
      <c r="CX27" s="73">
        <v>0</v>
      </c>
      <c r="CY27" s="73">
        <v>0</v>
      </c>
      <c r="CZ27" s="73">
        <v>34</v>
      </c>
      <c r="DA27" s="73">
        <v>0</v>
      </c>
      <c r="DB27" s="73">
        <v>0</v>
      </c>
      <c r="DC27" s="73">
        <v>34</v>
      </c>
      <c r="DD27" s="73">
        <v>285</v>
      </c>
      <c r="DE27" s="73">
        <v>183</v>
      </c>
      <c r="DF27" s="73">
        <v>0</v>
      </c>
      <c r="DG27" s="73">
        <v>102</v>
      </c>
      <c r="DH27" s="73">
        <v>0</v>
      </c>
      <c r="DI27" s="73">
        <v>0</v>
      </c>
      <c r="DJ27" s="73">
        <v>0</v>
      </c>
      <c r="DK27" s="73">
        <v>0</v>
      </c>
      <c r="DL27" s="73">
        <v>0</v>
      </c>
      <c r="DM27" s="73">
        <v>0</v>
      </c>
      <c r="DN27" s="73">
        <v>0</v>
      </c>
      <c r="DO27" s="73">
        <v>0</v>
      </c>
      <c r="DP27" s="73">
        <v>0</v>
      </c>
      <c r="DQ27" s="73">
        <v>0</v>
      </c>
      <c r="DR27" s="73">
        <v>0</v>
      </c>
      <c r="DS27" s="73">
        <v>0</v>
      </c>
      <c r="DT27" s="73">
        <v>0</v>
      </c>
      <c r="DU27" s="73">
        <v>0</v>
      </c>
      <c r="DV27" s="73">
        <v>0</v>
      </c>
      <c r="DW27" s="73">
        <v>0</v>
      </c>
      <c r="DX27" s="73">
        <v>0</v>
      </c>
      <c r="DY27" s="73">
        <v>0</v>
      </c>
      <c r="DZ27" s="73">
        <v>0</v>
      </c>
      <c r="EA27" s="73">
        <v>0</v>
      </c>
      <c r="EB27" s="73">
        <v>0</v>
      </c>
      <c r="EC27" s="73">
        <v>0</v>
      </c>
      <c r="ED27" s="73">
        <v>0</v>
      </c>
      <c r="EE27" s="73">
        <v>0</v>
      </c>
      <c r="EF27" s="73">
        <v>0</v>
      </c>
      <c r="EG27" s="73">
        <v>0</v>
      </c>
      <c r="EH27" s="73">
        <v>0</v>
      </c>
      <c r="EI27" s="73">
        <v>0</v>
      </c>
      <c r="EJ27" s="73">
        <v>285</v>
      </c>
      <c r="EK27" s="73">
        <v>183</v>
      </c>
      <c r="EL27" s="73">
        <v>0</v>
      </c>
      <c r="EM27" s="73">
        <v>102</v>
      </c>
      <c r="EN27" s="73">
        <v>53</v>
      </c>
      <c r="EO27" s="73">
        <v>15</v>
      </c>
      <c r="EP27" s="73">
        <v>16</v>
      </c>
      <c r="EQ27" s="73">
        <v>15</v>
      </c>
      <c r="ER27" s="73">
        <v>44785</v>
      </c>
      <c r="ES27" s="73">
        <v>0</v>
      </c>
      <c r="ET27" s="73">
        <v>44785</v>
      </c>
      <c r="EU27" s="73">
        <v>348</v>
      </c>
      <c r="EV27" s="73">
        <v>-1283</v>
      </c>
      <c r="EW27" s="73">
        <v>0</v>
      </c>
      <c r="EX27" s="73">
        <v>0</v>
      </c>
      <c r="EY27" s="73">
        <v>0</v>
      </c>
      <c r="EZ27" s="73">
        <v>43850</v>
      </c>
      <c r="FA27" s="73">
        <v>4528</v>
      </c>
      <c r="FB27" s="73">
        <v>390</v>
      </c>
      <c r="FC27" s="73">
        <v>0</v>
      </c>
      <c r="FD27" s="73">
        <v>0</v>
      </c>
      <c r="FE27" s="73">
        <v>-100</v>
      </c>
      <c r="FF27" s="73">
        <v>0</v>
      </c>
      <c r="FG27" s="73">
        <v>0</v>
      </c>
      <c r="FH27" s="73">
        <v>4818</v>
      </c>
      <c r="FI27" s="73">
        <v>39032</v>
      </c>
      <c r="FJ27" s="73">
        <v>40257</v>
      </c>
      <c r="FK27" s="73">
        <v>765</v>
      </c>
      <c r="FL27" s="73">
        <v>739</v>
      </c>
      <c r="FM27" s="73">
        <v>26</v>
      </c>
      <c r="FN27" s="73">
        <v>0</v>
      </c>
      <c r="FO27" s="73">
        <v>0</v>
      </c>
      <c r="FP27" s="73">
        <v>0</v>
      </c>
      <c r="FQ27" s="73">
        <v>0</v>
      </c>
      <c r="FR27" s="73">
        <v>0</v>
      </c>
      <c r="FS27" s="73">
        <v>0</v>
      </c>
      <c r="FT27" s="73">
        <v>79</v>
      </c>
      <c r="FU27" s="73">
        <v>58</v>
      </c>
      <c r="FV27" s="73">
        <v>21</v>
      </c>
      <c r="FW27" s="73">
        <v>0</v>
      </c>
      <c r="FX27" s="73">
        <v>0</v>
      </c>
      <c r="FY27" s="73">
        <v>0</v>
      </c>
      <c r="FZ27" s="73">
        <v>0</v>
      </c>
      <c r="GA27" s="73">
        <v>0</v>
      </c>
      <c r="GB27" s="73">
        <v>0</v>
      </c>
      <c r="GC27" s="73">
        <v>844</v>
      </c>
      <c r="GD27" s="73">
        <v>797</v>
      </c>
      <c r="GE27" s="73">
        <v>47</v>
      </c>
      <c r="GF27" s="73">
        <v>0</v>
      </c>
      <c r="GG27" s="73">
        <v>0</v>
      </c>
      <c r="GH27" s="73">
        <v>0</v>
      </c>
      <c r="GI27" s="73">
        <v>0</v>
      </c>
      <c r="GJ27" s="73">
        <v>0</v>
      </c>
      <c r="GK27" s="73">
        <v>0</v>
      </c>
      <c r="GL27" s="73">
        <v>0</v>
      </c>
      <c r="GM27" s="73">
        <v>66</v>
      </c>
      <c r="GN27" s="73">
        <v>205</v>
      </c>
      <c r="GO27" s="73">
        <v>26</v>
      </c>
      <c r="GP27" s="73">
        <v>0</v>
      </c>
      <c r="GQ27" s="73">
        <v>0</v>
      </c>
      <c r="GR27" s="73">
        <v>167</v>
      </c>
      <c r="GS27" s="73">
        <v>0</v>
      </c>
      <c r="GT27" s="73">
        <v>0</v>
      </c>
      <c r="GU27" s="73">
        <v>0</v>
      </c>
      <c r="GV27" s="73">
        <v>0</v>
      </c>
      <c r="GW27" s="73">
        <v>836</v>
      </c>
      <c r="GX27" s="73">
        <v>1300</v>
      </c>
      <c r="GY27" s="73">
        <v>0</v>
      </c>
      <c r="GZ27" s="73">
        <v>0</v>
      </c>
      <c r="HA27" s="73">
        <v>0</v>
      </c>
      <c r="HB27" s="73">
        <v>0</v>
      </c>
      <c r="HC27" s="73">
        <v>0</v>
      </c>
      <c r="HD27" s="73">
        <v>0</v>
      </c>
      <c r="HE27" s="73">
        <v>0</v>
      </c>
      <c r="HF27" s="73">
        <v>0</v>
      </c>
      <c r="HG27" s="73">
        <v>975</v>
      </c>
      <c r="HH27" s="73">
        <v>5</v>
      </c>
      <c r="HI27" s="73">
        <v>0</v>
      </c>
      <c r="HJ27" s="73">
        <v>0</v>
      </c>
      <c r="HK27" s="73">
        <v>0</v>
      </c>
      <c r="HL27" s="73">
        <v>0</v>
      </c>
      <c r="HM27" s="73">
        <v>980</v>
      </c>
      <c r="HN27" s="73">
        <v>163</v>
      </c>
      <c r="HO27" s="73">
        <v>407</v>
      </c>
      <c r="HP27" s="73">
        <v>0</v>
      </c>
      <c r="HQ27" s="73">
        <v>0</v>
      </c>
      <c r="HR27" s="73">
        <v>-12</v>
      </c>
      <c r="HS27" s="73">
        <v>100</v>
      </c>
      <c r="HT27" s="73">
        <v>1370</v>
      </c>
      <c r="HU27" s="73">
        <v>0</v>
      </c>
      <c r="HV27" s="73">
        <v>0</v>
      </c>
      <c r="HW27" s="73">
        <v>0</v>
      </c>
      <c r="HX27" s="73">
        <v>0</v>
      </c>
    </row>
    <row r="28" spans="1:232" x14ac:dyDescent="0.2">
      <c r="A28" s="74" t="s">
        <v>253</v>
      </c>
      <c r="B28" s="74" t="s">
        <v>254</v>
      </c>
      <c r="C28" s="75" t="s">
        <v>200</v>
      </c>
      <c r="D28" s="75">
        <v>12</v>
      </c>
      <c r="E28" s="76">
        <v>8255</v>
      </c>
      <c r="F28" s="76">
        <v>0</v>
      </c>
      <c r="G28" s="76">
        <v>-6201</v>
      </c>
      <c r="H28" s="76">
        <v>2054</v>
      </c>
      <c r="I28" s="76">
        <v>212</v>
      </c>
      <c r="J28" s="76">
        <v>0</v>
      </c>
      <c r="K28" s="76">
        <v>0</v>
      </c>
      <c r="L28" s="76">
        <v>0</v>
      </c>
      <c r="M28" s="76">
        <v>19</v>
      </c>
      <c r="N28" s="76">
        <v>-284</v>
      </c>
      <c r="O28" s="76">
        <v>0</v>
      </c>
      <c r="P28" s="76">
        <v>0</v>
      </c>
      <c r="Q28" s="76">
        <v>0</v>
      </c>
      <c r="R28" s="76">
        <v>0</v>
      </c>
      <c r="S28" s="76">
        <v>2001</v>
      </c>
      <c r="T28" s="76">
        <v>0</v>
      </c>
      <c r="U28" s="76">
        <v>2001</v>
      </c>
      <c r="V28" s="76">
        <v>0</v>
      </c>
      <c r="W28" s="76">
        <v>309</v>
      </c>
      <c r="X28" s="76">
        <v>0</v>
      </c>
      <c r="Y28" s="76">
        <v>0</v>
      </c>
      <c r="Z28" s="76">
        <v>2310</v>
      </c>
      <c r="AA28" s="76">
        <v>7190</v>
      </c>
      <c r="AB28" s="76">
        <v>2</v>
      </c>
      <c r="AC28" s="76">
        <v>7192</v>
      </c>
      <c r="AD28" s="76">
        <v>291</v>
      </c>
      <c r="AE28" s="76">
        <v>0</v>
      </c>
      <c r="AF28" s="76">
        <v>0</v>
      </c>
      <c r="AG28" s="76">
        <v>683</v>
      </c>
      <c r="AH28" s="76">
        <v>8166</v>
      </c>
      <c r="AI28" s="76">
        <v>1042</v>
      </c>
      <c r="AJ28" s="76">
        <v>240</v>
      </c>
      <c r="AK28" s="76">
        <v>1475</v>
      </c>
      <c r="AL28" s="76">
        <v>613</v>
      </c>
      <c r="AM28" s="76">
        <v>835</v>
      </c>
      <c r="AN28" s="76">
        <v>52</v>
      </c>
      <c r="AO28" s="76">
        <v>1065</v>
      </c>
      <c r="AP28" s="76">
        <v>0</v>
      </c>
      <c r="AQ28" s="76">
        <v>770</v>
      </c>
      <c r="AR28" s="76">
        <v>6092</v>
      </c>
      <c r="AS28" s="76">
        <v>2074</v>
      </c>
      <c r="AT28" s="76">
        <v>170</v>
      </c>
      <c r="AU28" s="76">
        <v>28020</v>
      </c>
      <c r="AV28" s="76">
        <v>0</v>
      </c>
      <c r="AW28" s="76">
        <v>27</v>
      </c>
      <c r="AX28" s="76">
        <v>0</v>
      </c>
      <c r="AY28" s="76">
        <v>0</v>
      </c>
      <c r="AZ28" s="76">
        <v>0</v>
      </c>
      <c r="BA28" s="76">
        <v>0</v>
      </c>
      <c r="BB28" s="76">
        <v>0</v>
      </c>
      <c r="BC28" s="76">
        <v>0</v>
      </c>
      <c r="BD28" s="76">
        <v>0</v>
      </c>
      <c r="BE28" s="76">
        <v>28047</v>
      </c>
      <c r="BF28" s="76">
        <v>0</v>
      </c>
      <c r="BG28" s="76">
        <v>439</v>
      </c>
      <c r="BH28" s="76">
        <v>5807</v>
      </c>
      <c r="BI28" s="76">
        <v>0</v>
      </c>
      <c r="BJ28" s="76">
        <v>23998</v>
      </c>
      <c r="BK28" s="76">
        <v>30244</v>
      </c>
      <c r="BL28" s="76">
        <v>167</v>
      </c>
      <c r="BM28" s="76">
        <v>0</v>
      </c>
      <c r="BN28" s="76">
        <v>292</v>
      </c>
      <c r="BO28" s="76">
        <v>2508</v>
      </c>
      <c r="BP28" s="76">
        <v>2967</v>
      </c>
      <c r="BQ28" s="76">
        <v>27277</v>
      </c>
      <c r="BR28" s="76">
        <v>55324</v>
      </c>
      <c r="BS28" s="76">
        <v>7500</v>
      </c>
      <c r="BT28" s="76">
        <v>0</v>
      </c>
      <c r="BU28" s="76">
        <v>0</v>
      </c>
      <c r="BV28" s="76">
        <v>5869</v>
      </c>
      <c r="BW28" s="76">
        <v>0</v>
      </c>
      <c r="BX28" s="76">
        <v>0</v>
      </c>
      <c r="BY28" s="76">
        <v>32</v>
      </c>
      <c r="BZ28" s="76">
        <v>13401</v>
      </c>
      <c r="CA28" s="76">
        <v>-747</v>
      </c>
      <c r="CB28" s="76">
        <v>23764</v>
      </c>
      <c r="CC28" s="76">
        <v>18906</v>
      </c>
      <c r="CD28" s="76">
        <v>18906</v>
      </c>
      <c r="CE28" s="76">
        <v>0</v>
      </c>
      <c r="CF28" s="76">
        <v>0</v>
      </c>
      <c r="CG28" s="76">
        <v>0</v>
      </c>
      <c r="CH28" s="76">
        <v>0</v>
      </c>
      <c r="CI28" s="76">
        <v>18906</v>
      </c>
      <c r="CJ28" s="76">
        <v>0</v>
      </c>
      <c r="CK28" s="76">
        <v>0</v>
      </c>
      <c r="CL28" s="76">
        <v>0</v>
      </c>
      <c r="CM28" s="76">
        <v>0</v>
      </c>
      <c r="CN28" s="76">
        <v>0</v>
      </c>
      <c r="CO28" s="76">
        <v>0</v>
      </c>
      <c r="CP28" s="76">
        <v>0</v>
      </c>
      <c r="CQ28" s="76">
        <v>0</v>
      </c>
      <c r="CR28" s="76">
        <v>0</v>
      </c>
      <c r="CS28" s="76">
        <v>0</v>
      </c>
      <c r="CT28" s="76">
        <v>0</v>
      </c>
      <c r="CU28" s="76">
        <v>0</v>
      </c>
      <c r="CV28" s="76">
        <v>0</v>
      </c>
      <c r="CW28" s="76">
        <v>0</v>
      </c>
      <c r="CX28" s="76">
        <v>0</v>
      </c>
      <c r="CY28" s="76">
        <v>0</v>
      </c>
      <c r="CZ28" s="76">
        <v>0</v>
      </c>
      <c r="DA28" s="76">
        <v>0</v>
      </c>
      <c r="DB28" s="76">
        <v>109</v>
      </c>
      <c r="DC28" s="76">
        <v>-109</v>
      </c>
      <c r="DD28" s="76">
        <v>0</v>
      </c>
      <c r="DE28" s="76">
        <v>0</v>
      </c>
      <c r="DF28" s="76">
        <v>109</v>
      </c>
      <c r="DG28" s="76">
        <v>-109</v>
      </c>
      <c r="DH28" s="76">
        <v>0</v>
      </c>
      <c r="DI28" s="76">
        <v>0</v>
      </c>
      <c r="DJ28" s="76">
        <v>0</v>
      </c>
      <c r="DK28" s="76">
        <v>0</v>
      </c>
      <c r="DL28" s="76">
        <v>0</v>
      </c>
      <c r="DM28" s="76">
        <v>0</v>
      </c>
      <c r="DN28" s="76">
        <v>0</v>
      </c>
      <c r="DO28" s="76">
        <v>0</v>
      </c>
      <c r="DP28" s="76">
        <v>0</v>
      </c>
      <c r="DQ28" s="76">
        <v>0</v>
      </c>
      <c r="DR28" s="76">
        <v>0</v>
      </c>
      <c r="DS28" s="76">
        <v>0</v>
      </c>
      <c r="DT28" s="76">
        <v>0</v>
      </c>
      <c r="DU28" s="76">
        <v>0</v>
      </c>
      <c r="DV28" s="76">
        <v>0</v>
      </c>
      <c r="DW28" s="76">
        <v>0</v>
      </c>
      <c r="DX28" s="76">
        <v>0</v>
      </c>
      <c r="DY28" s="76">
        <v>0</v>
      </c>
      <c r="DZ28" s="76">
        <v>0</v>
      </c>
      <c r="EA28" s="76">
        <v>0</v>
      </c>
      <c r="EB28" s="76">
        <v>89</v>
      </c>
      <c r="EC28" s="76">
        <v>0</v>
      </c>
      <c r="ED28" s="76">
        <v>0</v>
      </c>
      <c r="EE28" s="76">
        <v>89</v>
      </c>
      <c r="EF28" s="76">
        <v>89</v>
      </c>
      <c r="EG28" s="76">
        <v>0</v>
      </c>
      <c r="EH28" s="76">
        <v>0</v>
      </c>
      <c r="EI28" s="76">
        <v>89</v>
      </c>
      <c r="EJ28" s="76">
        <v>89</v>
      </c>
      <c r="EK28" s="76">
        <v>0</v>
      </c>
      <c r="EL28" s="76">
        <v>109</v>
      </c>
      <c r="EM28" s="76">
        <v>-20</v>
      </c>
      <c r="EN28" s="76">
        <v>492</v>
      </c>
      <c r="EO28" s="76">
        <v>206</v>
      </c>
      <c r="EP28" s="76">
        <v>53</v>
      </c>
      <c r="EQ28" s="76">
        <v>206</v>
      </c>
      <c r="ER28" s="76">
        <v>32574</v>
      </c>
      <c r="ES28" s="76">
        <v>0</v>
      </c>
      <c r="ET28" s="76">
        <v>32574</v>
      </c>
      <c r="EU28" s="76">
        <v>1904</v>
      </c>
      <c r="EV28" s="76">
        <v>-232</v>
      </c>
      <c r="EW28" s="76">
        <v>0</v>
      </c>
      <c r="EX28" s="76">
        <v>0</v>
      </c>
      <c r="EY28" s="76">
        <v>0</v>
      </c>
      <c r="EZ28" s="76">
        <v>34246</v>
      </c>
      <c r="FA28" s="76">
        <v>5200</v>
      </c>
      <c r="FB28" s="76">
        <v>1065</v>
      </c>
      <c r="FC28" s="76">
        <v>0</v>
      </c>
      <c r="FD28" s="76">
        <v>0</v>
      </c>
      <c r="FE28" s="76">
        <v>-39</v>
      </c>
      <c r="FF28" s="76">
        <v>0</v>
      </c>
      <c r="FG28" s="76">
        <v>0</v>
      </c>
      <c r="FH28" s="76">
        <v>6226</v>
      </c>
      <c r="FI28" s="76">
        <v>28020</v>
      </c>
      <c r="FJ28" s="76">
        <v>27374</v>
      </c>
      <c r="FK28" s="76">
        <v>0</v>
      </c>
      <c r="FL28" s="76">
        <v>0</v>
      </c>
      <c r="FM28" s="76">
        <v>0</v>
      </c>
      <c r="FN28" s="76">
        <v>487</v>
      </c>
      <c r="FO28" s="76">
        <v>275</v>
      </c>
      <c r="FP28" s="76">
        <v>212</v>
      </c>
      <c r="FQ28" s="76">
        <v>0</v>
      </c>
      <c r="FR28" s="76">
        <v>0</v>
      </c>
      <c r="FS28" s="76">
        <v>0</v>
      </c>
      <c r="FT28" s="76">
        <v>0</v>
      </c>
      <c r="FU28" s="76">
        <v>0</v>
      </c>
      <c r="FV28" s="76">
        <v>0</v>
      </c>
      <c r="FW28" s="76">
        <v>0</v>
      </c>
      <c r="FX28" s="76">
        <v>0</v>
      </c>
      <c r="FY28" s="76">
        <v>0</v>
      </c>
      <c r="FZ28" s="76">
        <v>0</v>
      </c>
      <c r="GA28" s="76">
        <v>0</v>
      </c>
      <c r="GB28" s="76">
        <v>0</v>
      </c>
      <c r="GC28" s="76">
        <v>487</v>
      </c>
      <c r="GD28" s="76">
        <v>275</v>
      </c>
      <c r="GE28" s="76">
        <v>212</v>
      </c>
      <c r="GF28" s="76">
        <v>0</v>
      </c>
      <c r="GG28" s="76">
        <v>0</v>
      </c>
      <c r="GH28" s="76">
        <v>0</v>
      </c>
      <c r="GI28" s="76">
        <v>23764</v>
      </c>
      <c r="GJ28" s="76">
        <v>0</v>
      </c>
      <c r="GK28" s="76">
        <v>234</v>
      </c>
      <c r="GL28" s="76">
        <v>23998</v>
      </c>
      <c r="GM28" s="76">
        <v>151</v>
      </c>
      <c r="GN28" s="76">
        <v>220</v>
      </c>
      <c r="GO28" s="76">
        <v>264</v>
      </c>
      <c r="GP28" s="76">
        <v>0</v>
      </c>
      <c r="GQ28" s="76">
        <v>0</v>
      </c>
      <c r="GR28" s="76">
        <v>1002</v>
      </c>
      <c r="GS28" s="76">
        <v>0</v>
      </c>
      <c r="GT28" s="76">
        <v>0</v>
      </c>
      <c r="GU28" s="76">
        <v>3</v>
      </c>
      <c r="GV28" s="76">
        <v>0</v>
      </c>
      <c r="GW28" s="76">
        <v>868</v>
      </c>
      <c r="GX28" s="76">
        <v>2508</v>
      </c>
      <c r="GY28" s="76">
        <v>0</v>
      </c>
      <c r="GZ28" s="76">
        <v>0</v>
      </c>
      <c r="HA28" s="76">
        <v>32</v>
      </c>
      <c r="HB28" s="76">
        <v>0</v>
      </c>
      <c r="HC28" s="76">
        <v>32</v>
      </c>
      <c r="HD28" s="76">
        <v>23764</v>
      </c>
      <c r="HE28" s="76">
        <v>0</v>
      </c>
      <c r="HF28" s="76">
        <v>23764</v>
      </c>
      <c r="HG28" s="76">
        <v>284</v>
      </c>
      <c r="HH28" s="76">
        <v>0</v>
      </c>
      <c r="HI28" s="76">
        <v>0</v>
      </c>
      <c r="HJ28" s="76">
        <v>0</v>
      </c>
      <c r="HK28" s="76">
        <v>0</v>
      </c>
      <c r="HL28" s="76">
        <v>0</v>
      </c>
      <c r="HM28" s="76">
        <v>284</v>
      </c>
      <c r="HN28" s="76">
        <v>1904</v>
      </c>
      <c r="HO28" s="76">
        <v>1065</v>
      </c>
      <c r="HP28" s="76">
        <v>0</v>
      </c>
      <c r="HQ28" s="76">
        <v>14</v>
      </c>
      <c r="HR28" s="76">
        <v>-13</v>
      </c>
      <c r="HS28" s="76">
        <v>0</v>
      </c>
      <c r="HT28" s="76">
        <v>1944</v>
      </c>
      <c r="HU28" s="76">
        <v>0</v>
      </c>
      <c r="HV28" s="76">
        <v>0</v>
      </c>
      <c r="HW28" s="76">
        <v>551</v>
      </c>
      <c r="HX28" s="76">
        <v>551</v>
      </c>
    </row>
    <row r="29" spans="1:232" x14ac:dyDescent="0.2">
      <c r="A29" s="74" t="s">
        <v>20</v>
      </c>
      <c r="B29" s="74" t="s">
        <v>19</v>
      </c>
      <c r="C29" s="75" t="s">
        <v>200</v>
      </c>
      <c r="D29" s="75">
        <v>12</v>
      </c>
      <c r="E29" s="76">
        <v>15646</v>
      </c>
      <c r="F29" s="76">
        <v>-247</v>
      </c>
      <c r="G29" s="76">
        <v>-11372</v>
      </c>
      <c r="H29" s="76">
        <v>4027</v>
      </c>
      <c r="I29" s="76">
        <v>183</v>
      </c>
      <c r="J29" s="76">
        <v>0</v>
      </c>
      <c r="K29" s="76">
        <v>0</v>
      </c>
      <c r="L29" s="76">
        <v>0</v>
      </c>
      <c r="M29" s="76">
        <v>3</v>
      </c>
      <c r="N29" s="76">
        <v>-1750</v>
      </c>
      <c r="O29" s="76">
        <v>0</v>
      </c>
      <c r="P29" s="76">
        <v>0</v>
      </c>
      <c r="Q29" s="76">
        <v>0</v>
      </c>
      <c r="R29" s="76">
        <v>0</v>
      </c>
      <c r="S29" s="76">
        <v>2463</v>
      </c>
      <c r="T29" s="76">
        <v>-6</v>
      </c>
      <c r="U29" s="76">
        <v>2457</v>
      </c>
      <c r="V29" s="76">
        <v>0</v>
      </c>
      <c r="W29" s="76">
        <v>0</v>
      </c>
      <c r="X29" s="76">
        <v>0</v>
      </c>
      <c r="Y29" s="76">
        <v>0</v>
      </c>
      <c r="Z29" s="76">
        <v>2457</v>
      </c>
      <c r="AA29" s="76">
        <v>9214</v>
      </c>
      <c r="AB29" s="76">
        <v>900</v>
      </c>
      <c r="AC29" s="76">
        <v>10114</v>
      </c>
      <c r="AD29" s="76">
        <v>508</v>
      </c>
      <c r="AE29" s="76">
        <v>0</v>
      </c>
      <c r="AF29" s="76">
        <v>0</v>
      </c>
      <c r="AG29" s="76">
        <v>902</v>
      </c>
      <c r="AH29" s="76">
        <v>11524</v>
      </c>
      <c r="AI29" s="76">
        <v>2465</v>
      </c>
      <c r="AJ29" s="76">
        <v>1102</v>
      </c>
      <c r="AK29" s="76">
        <v>1873</v>
      </c>
      <c r="AL29" s="76">
        <v>320</v>
      </c>
      <c r="AM29" s="76">
        <v>0</v>
      </c>
      <c r="AN29" s="76">
        <v>6</v>
      </c>
      <c r="AO29" s="76">
        <v>1487</v>
      </c>
      <c r="AP29" s="76">
        <v>0</v>
      </c>
      <c r="AQ29" s="76">
        <v>0</v>
      </c>
      <c r="AR29" s="76">
        <v>7253</v>
      </c>
      <c r="AS29" s="76">
        <v>4271</v>
      </c>
      <c r="AT29" s="76">
        <v>148</v>
      </c>
      <c r="AU29" s="76">
        <v>112272</v>
      </c>
      <c r="AV29" s="76">
        <v>0</v>
      </c>
      <c r="AW29" s="76">
        <v>2894</v>
      </c>
      <c r="AX29" s="76">
        <v>57</v>
      </c>
      <c r="AY29" s="76">
        <v>0</v>
      </c>
      <c r="AZ29" s="76">
        <v>0</v>
      </c>
      <c r="BA29" s="76">
        <v>0</v>
      </c>
      <c r="BB29" s="76">
        <v>0</v>
      </c>
      <c r="BC29" s="76">
        <v>0</v>
      </c>
      <c r="BD29" s="76">
        <v>0</v>
      </c>
      <c r="BE29" s="76">
        <v>115223</v>
      </c>
      <c r="BF29" s="76">
        <v>47</v>
      </c>
      <c r="BG29" s="76">
        <v>1413</v>
      </c>
      <c r="BH29" s="76">
        <v>1823</v>
      </c>
      <c r="BI29" s="76">
        <v>0</v>
      </c>
      <c r="BJ29" s="76">
        <v>36</v>
      </c>
      <c r="BK29" s="76">
        <v>3319</v>
      </c>
      <c r="BL29" s="76">
        <v>1450</v>
      </c>
      <c r="BM29" s="76">
        <v>0</v>
      </c>
      <c r="BN29" s="76">
        <v>508</v>
      </c>
      <c r="BO29" s="76">
        <v>2009</v>
      </c>
      <c r="BP29" s="76">
        <v>3967</v>
      </c>
      <c r="BQ29" s="76">
        <v>-648</v>
      </c>
      <c r="BR29" s="76">
        <v>114575</v>
      </c>
      <c r="BS29" s="76">
        <v>44027</v>
      </c>
      <c r="BT29" s="76">
        <v>0</v>
      </c>
      <c r="BU29" s="76">
        <v>0</v>
      </c>
      <c r="BV29" s="76">
        <v>47948</v>
      </c>
      <c r="BW29" s="76">
        <v>0</v>
      </c>
      <c r="BX29" s="76">
        <v>0</v>
      </c>
      <c r="BY29" s="76">
        <v>513</v>
      </c>
      <c r="BZ29" s="76">
        <v>92488</v>
      </c>
      <c r="CA29" s="76">
        <v>2313</v>
      </c>
      <c r="CB29" s="76">
        <v>0</v>
      </c>
      <c r="CC29" s="76">
        <v>19774</v>
      </c>
      <c r="CD29" s="76">
        <v>19774</v>
      </c>
      <c r="CE29" s="76">
        <v>0</v>
      </c>
      <c r="CF29" s="76">
        <v>0</v>
      </c>
      <c r="CG29" s="76">
        <v>0</v>
      </c>
      <c r="CH29" s="76">
        <v>0</v>
      </c>
      <c r="CI29" s="76">
        <v>19774</v>
      </c>
      <c r="CJ29" s="76">
        <v>322</v>
      </c>
      <c r="CK29" s="76">
        <v>247</v>
      </c>
      <c r="CL29" s="76">
        <v>0</v>
      </c>
      <c r="CM29" s="76">
        <v>75</v>
      </c>
      <c r="CN29" s="76">
        <v>122</v>
      </c>
      <c r="CO29" s="76">
        <v>0</v>
      </c>
      <c r="CP29" s="76">
        <v>80</v>
      </c>
      <c r="CQ29" s="76">
        <v>42</v>
      </c>
      <c r="CR29" s="76">
        <v>0</v>
      </c>
      <c r="CS29" s="76">
        <v>0</v>
      </c>
      <c r="CT29" s="76">
        <v>0</v>
      </c>
      <c r="CU29" s="76">
        <v>0</v>
      </c>
      <c r="CV29" s="76">
        <v>0</v>
      </c>
      <c r="CW29" s="76">
        <v>0</v>
      </c>
      <c r="CX29" s="76">
        <v>0</v>
      </c>
      <c r="CY29" s="76">
        <v>0</v>
      </c>
      <c r="CZ29" s="76">
        <v>0</v>
      </c>
      <c r="DA29" s="76">
        <v>0</v>
      </c>
      <c r="DB29" s="76">
        <v>0</v>
      </c>
      <c r="DC29" s="76">
        <v>0</v>
      </c>
      <c r="DD29" s="76">
        <v>444</v>
      </c>
      <c r="DE29" s="76">
        <v>247</v>
      </c>
      <c r="DF29" s="76">
        <v>80</v>
      </c>
      <c r="DG29" s="76">
        <v>117</v>
      </c>
      <c r="DH29" s="76">
        <v>0</v>
      </c>
      <c r="DI29" s="76">
        <v>0</v>
      </c>
      <c r="DJ29" s="76">
        <v>0</v>
      </c>
      <c r="DK29" s="76">
        <v>0</v>
      </c>
      <c r="DL29" s="76">
        <v>0</v>
      </c>
      <c r="DM29" s="76">
        <v>0</v>
      </c>
      <c r="DN29" s="76">
        <v>0</v>
      </c>
      <c r="DO29" s="76">
        <v>0</v>
      </c>
      <c r="DP29" s="76">
        <v>0</v>
      </c>
      <c r="DQ29" s="76">
        <v>0</v>
      </c>
      <c r="DR29" s="76">
        <v>0</v>
      </c>
      <c r="DS29" s="76">
        <v>0</v>
      </c>
      <c r="DT29" s="76">
        <v>0</v>
      </c>
      <c r="DU29" s="76">
        <v>0</v>
      </c>
      <c r="DV29" s="76">
        <v>0</v>
      </c>
      <c r="DW29" s="76">
        <v>0</v>
      </c>
      <c r="DX29" s="76">
        <v>0</v>
      </c>
      <c r="DY29" s="76">
        <v>0</v>
      </c>
      <c r="DZ29" s="76">
        <v>0</v>
      </c>
      <c r="EA29" s="76">
        <v>0</v>
      </c>
      <c r="EB29" s="76">
        <v>3678</v>
      </c>
      <c r="EC29" s="76">
        <v>0</v>
      </c>
      <c r="ED29" s="76">
        <v>4039</v>
      </c>
      <c r="EE29" s="76">
        <v>-361</v>
      </c>
      <c r="EF29" s="76">
        <v>3678</v>
      </c>
      <c r="EG29" s="76">
        <v>0</v>
      </c>
      <c r="EH29" s="76">
        <v>4039</v>
      </c>
      <c r="EI29" s="76">
        <v>-361</v>
      </c>
      <c r="EJ29" s="76">
        <v>4122</v>
      </c>
      <c r="EK29" s="76">
        <v>247</v>
      </c>
      <c r="EL29" s="76">
        <v>4119</v>
      </c>
      <c r="EM29" s="76">
        <v>-244</v>
      </c>
      <c r="EN29" s="76">
        <v>103</v>
      </c>
      <c r="EO29" s="76">
        <v>41</v>
      </c>
      <c r="EP29" s="76">
        <v>1</v>
      </c>
      <c r="EQ29" s="76">
        <v>41</v>
      </c>
      <c r="ER29" s="76">
        <v>127308</v>
      </c>
      <c r="ES29" s="76">
        <v>0</v>
      </c>
      <c r="ET29" s="76">
        <v>127308</v>
      </c>
      <c r="EU29" s="76">
        <v>4022</v>
      </c>
      <c r="EV29" s="76">
        <v>-1297</v>
      </c>
      <c r="EW29" s="76">
        <v>0</v>
      </c>
      <c r="EX29" s="76">
        <v>0</v>
      </c>
      <c r="EY29" s="76">
        <v>-187</v>
      </c>
      <c r="EZ29" s="76">
        <v>129846</v>
      </c>
      <c r="FA29" s="76">
        <v>16281</v>
      </c>
      <c r="FB29" s="76">
        <v>1478</v>
      </c>
      <c r="FC29" s="76">
        <v>0</v>
      </c>
      <c r="FD29" s="76">
        <v>0</v>
      </c>
      <c r="FE29" s="76">
        <v>-185</v>
      </c>
      <c r="FF29" s="76">
        <v>0</v>
      </c>
      <c r="FG29" s="76">
        <v>0</v>
      </c>
      <c r="FH29" s="76">
        <v>17574</v>
      </c>
      <c r="FI29" s="76">
        <v>112272</v>
      </c>
      <c r="FJ29" s="76">
        <v>111027</v>
      </c>
      <c r="FK29" s="76">
        <v>290</v>
      </c>
      <c r="FL29" s="76">
        <v>243</v>
      </c>
      <c r="FM29" s="76">
        <v>47</v>
      </c>
      <c r="FN29" s="76">
        <v>114</v>
      </c>
      <c r="FO29" s="76">
        <v>86</v>
      </c>
      <c r="FP29" s="76">
        <v>28</v>
      </c>
      <c r="FQ29" s="76">
        <v>0</v>
      </c>
      <c r="FR29" s="76">
        <v>0</v>
      </c>
      <c r="FS29" s="76">
        <v>0</v>
      </c>
      <c r="FT29" s="76">
        <v>396</v>
      </c>
      <c r="FU29" s="76">
        <v>290</v>
      </c>
      <c r="FV29" s="76">
        <v>106</v>
      </c>
      <c r="FW29" s="76">
        <v>0</v>
      </c>
      <c r="FX29" s="76">
        <v>0</v>
      </c>
      <c r="FY29" s="76">
        <v>0</v>
      </c>
      <c r="FZ29" s="76">
        <v>678</v>
      </c>
      <c r="GA29" s="76">
        <v>676</v>
      </c>
      <c r="GB29" s="76">
        <v>2</v>
      </c>
      <c r="GC29" s="76">
        <v>1478</v>
      </c>
      <c r="GD29" s="76">
        <v>1295</v>
      </c>
      <c r="GE29" s="76">
        <v>183</v>
      </c>
      <c r="GF29" s="76">
        <v>0</v>
      </c>
      <c r="GG29" s="76">
        <v>0</v>
      </c>
      <c r="GH29" s="76">
        <v>0</v>
      </c>
      <c r="GI29" s="76">
        <v>0</v>
      </c>
      <c r="GJ29" s="76">
        <v>0</v>
      </c>
      <c r="GK29" s="76">
        <v>36</v>
      </c>
      <c r="GL29" s="76">
        <v>36</v>
      </c>
      <c r="GM29" s="76">
        <v>718</v>
      </c>
      <c r="GN29" s="76">
        <v>162</v>
      </c>
      <c r="GO29" s="76">
        <v>0</v>
      </c>
      <c r="GP29" s="76">
        <v>192</v>
      </c>
      <c r="GQ29" s="76">
        <v>687</v>
      </c>
      <c r="GR29" s="76">
        <v>0</v>
      </c>
      <c r="GS29" s="76">
        <v>0</v>
      </c>
      <c r="GT29" s="76">
        <v>0</v>
      </c>
      <c r="GU29" s="76">
        <v>0</v>
      </c>
      <c r="GV29" s="76">
        <v>0</v>
      </c>
      <c r="GW29" s="76">
        <v>250</v>
      </c>
      <c r="GX29" s="76">
        <v>2009</v>
      </c>
      <c r="GY29" s="76">
        <v>513</v>
      </c>
      <c r="GZ29" s="76">
        <v>0</v>
      </c>
      <c r="HA29" s="76">
        <v>0</v>
      </c>
      <c r="HB29" s="76">
        <v>0</v>
      </c>
      <c r="HC29" s="76">
        <v>513</v>
      </c>
      <c r="HD29" s="76">
        <v>0</v>
      </c>
      <c r="HE29" s="76">
        <v>0</v>
      </c>
      <c r="HF29" s="76">
        <v>0</v>
      </c>
      <c r="HG29" s="76">
        <v>1671</v>
      </c>
      <c r="HH29" s="76">
        <v>52</v>
      </c>
      <c r="HI29" s="76">
        <v>48</v>
      </c>
      <c r="HJ29" s="76">
        <v>0</v>
      </c>
      <c r="HK29" s="76">
        <v>0</v>
      </c>
      <c r="HL29" s="76">
        <v>-21</v>
      </c>
      <c r="HM29" s="76">
        <v>1750</v>
      </c>
      <c r="HN29" s="76">
        <v>649</v>
      </c>
      <c r="HO29" s="76">
        <v>1693</v>
      </c>
      <c r="HP29" s="76">
        <v>0</v>
      </c>
      <c r="HQ29" s="76">
        <v>10</v>
      </c>
      <c r="HR29" s="76">
        <v>-13</v>
      </c>
      <c r="HS29" s="76">
        <v>-1</v>
      </c>
      <c r="HT29" s="76">
        <v>1968</v>
      </c>
      <c r="HU29" s="76">
        <v>0</v>
      </c>
      <c r="HV29" s="76">
        <v>0</v>
      </c>
      <c r="HW29" s="76">
        <v>0</v>
      </c>
      <c r="HX29" s="76">
        <v>0</v>
      </c>
    </row>
    <row r="30" spans="1:232" x14ac:dyDescent="0.2">
      <c r="A30" s="74" t="s">
        <v>255</v>
      </c>
      <c r="B30" s="74" t="s">
        <v>256</v>
      </c>
      <c r="C30" s="75" t="s">
        <v>200</v>
      </c>
      <c r="D30" s="75">
        <v>12</v>
      </c>
      <c r="E30" s="76">
        <v>81925</v>
      </c>
      <c r="F30" s="76">
        <v>0</v>
      </c>
      <c r="G30" s="76">
        <v>-68921</v>
      </c>
      <c r="H30" s="76">
        <v>13004</v>
      </c>
      <c r="I30" s="76">
        <v>2486</v>
      </c>
      <c r="J30" s="76">
        <v>0</v>
      </c>
      <c r="K30" s="76">
        <v>0</v>
      </c>
      <c r="L30" s="76">
        <v>0</v>
      </c>
      <c r="M30" s="76">
        <v>40</v>
      </c>
      <c r="N30" s="76">
        <v>-3143</v>
      </c>
      <c r="O30" s="76">
        <v>0</v>
      </c>
      <c r="P30" s="76">
        <v>0</v>
      </c>
      <c r="Q30" s="76">
        <v>0</v>
      </c>
      <c r="R30" s="76">
        <v>0</v>
      </c>
      <c r="S30" s="76">
        <v>12387</v>
      </c>
      <c r="T30" s="76">
        <v>0</v>
      </c>
      <c r="U30" s="76">
        <v>12387</v>
      </c>
      <c r="V30" s="76">
        <v>0</v>
      </c>
      <c r="W30" s="76">
        <v>-19077</v>
      </c>
      <c r="X30" s="76">
        <v>0</v>
      </c>
      <c r="Y30" s="76">
        <v>0</v>
      </c>
      <c r="Z30" s="76">
        <v>-6690</v>
      </c>
      <c r="AA30" s="76">
        <v>71052</v>
      </c>
      <c r="AB30" s="76">
        <v>3420</v>
      </c>
      <c r="AC30" s="76">
        <v>74472</v>
      </c>
      <c r="AD30" s="76">
        <v>101</v>
      </c>
      <c r="AE30" s="76">
        <v>0</v>
      </c>
      <c r="AF30" s="76">
        <v>0</v>
      </c>
      <c r="AG30" s="76">
        <v>0</v>
      </c>
      <c r="AH30" s="76">
        <v>74573</v>
      </c>
      <c r="AI30" s="76">
        <v>27617</v>
      </c>
      <c r="AJ30" s="76">
        <v>3875</v>
      </c>
      <c r="AK30" s="76">
        <v>15244</v>
      </c>
      <c r="AL30" s="76">
        <v>7293</v>
      </c>
      <c r="AM30" s="76">
        <v>0</v>
      </c>
      <c r="AN30" s="76">
        <v>495</v>
      </c>
      <c r="AO30" s="76">
        <v>4540</v>
      </c>
      <c r="AP30" s="76">
        <v>0</v>
      </c>
      <c r="AQ30" s="76">
        <v>0</v>
      </c>
      <c r="AR30" s="76">
        <v>59064</v>
      </c>
      <c r="AS30" s="76">
        <v>15509</v>
      </c>
      <c r="AT30" s="76">
        <v>891</v>
      </c>
      <c r="AU30" s="76">
        <v>114064</v>
      </c>
      <c r="AV30" s="76">
        <v>0</v>
      </c>
      <c r="AW30" s="76">
        <v>3748</v>
      </c>
      <c r="AX30" s="76">
        <v>0</v>
      </c>
      <c r="AY30" s="76">
        <v>0</v>
      </c>
      <c r="AZ30" s="76">
        <v>0</v>
      </c>
      <c r="BA30" s="76">
        <v>0</v>
      </c>
      <c r="BB30" s="76">
        <v>0</v>
      </c>
      <c r="BC30" s="76">
        <v>0</v>
      </c>
      <c r="BD30" s="76">
        <v>265</v>
      </c>
      <c r="BE30" s="76">
        <v>118077</v>
      </c>
      <c r="BF30" s="76">
        <v>0</v>
      </c>
      <c r="BG30" s="76">
        <v>7025</v>
      </c>
      <c r="BH30" s="76">
        <v>20766</v>
      </c>
      <c r="BI30" s="76">
        <v>0</v>
      </c>
      <c r="BJ30" s="76">
        <v>341</v>
      </c>
      <c r="BK30" s="76">
        <v>28132</v>
      </c>
      <c r="BL30" s="76">
        <v>0</v>
      </c>
      <c r="BM30" s="76">
        <v>0</v>
      </c>
      <c r="BN30" s="76">
        <v>366</v>
      </c>
      <c r="BO30" s="76">
        <v>14537</v>
      </c>
      <c r="BP30" s="76">
        <v>14903</v>
      </c>
      <c r="BQ30" s="76">
        <v>13229</v>
      </c>
      <c r="BR30" s="76">
        <v>131306</v>
      </c>
      <c r="BS30" s="76">
        <v>30000</v>
      </c>
      <c r="BT30" s="76">
        <v>0</v>
      </c>
      <c r="BU30" s="76">
        <v>0</v>
      </c>
      <c r="BV30" s="76">
        <v>7684</v>
      </c>
      <c r="BW30" s="76">
        <v>0</v>
      </c>
      <c r="BX30" s="76">
        <v>0</v>
      </c>
      <c r="BY30" s="76">
        <v>387</v>
      </c>
      <c r="BZ30" s="76">
        <v>38071</v>
      </c>
      <c r="CA30" s="76">
        <v>53613</v>
      </c>
      <c r="CB30" s="76">
        <v>0</v>
      </c>
      <c r="CC30" s="76">
        <v>39622</v>
      </c>
      <c r="CD30" s="76">
        <v>39622</v>
      </c>
      <c r="CE30" s="76">
        <v>0</v>
      </c>
      <c r="CF30" s="76">
        <v>0</v>
      </c>
      <c r="CG30" s="76">
        <v>0</v>
      </c>
      <c r="CH30" s="76">
        <v>0</v>
      </c>
      <c r="CI30" s="76">
        <v>39622</v>
      </c>
      <c r="CJ30" s="76">
        <v>0</v>
      </c>
      <c r="CK30" s="76">
        <v>0</v>
      </c>
      <c r="CL30" s="76">
        <v>0</v>
      </c>
      <c r="CM30" s="76">
        <v>0</v>
      </c>
      <c r="CN30" s="76">
        <v>771</v>
      </c>
      <c r="CO30" s="76">
        <v>0</v>
      </c>
      <c r="CP30" s="76">
        <v>2331</v>
      </c>
      <c r="CQ30" s="76">
        <v>-1560</v>
      </c>
      <c r="CR30" s="76">
        <v>0</v>
      </c>
      <c r="CS30" s="76">
        <v>0</v>
      </c>
      <c r="CT30" s="76">
        <v>0</v>
      </c>
      <c r="CU30" s="76">
        <v>0</v>
      </c>
      <c r="CV30" s="76">
        <v>0</v>
      </c>
      <c r="CW30" s="76">
        <v>0</v>
      </c>
      <c r="CX30" s="76">
        <v>0</v>
      </c>
      <c r="CY30" s="76">
        <v>0</v>
      </c>
      <c r="CZ30" s="76">
        <v>2629</v>
      </c>
      <c r="DA30" s="76">
        <v>0</v>
      </c>
      <c r="DB30" s="76">
        <v>3322</v>
      </c>
      <c r="DC30" s="76">
        <v>-693</v>
      </c>
      <c r="DD30" s="76">
        <v>3400</v>
      </c>
      <c r="DE30" s="76">
        <v>0</v>
      </c>
      <c r="DF30" s="76">
        <v>5653</v>
      </c>
      <c r="DG30" s="76">
        <v>-2253</v>
      </c>
      <c r="DH30" s="76">
        <v>0</v>
      </c>
      <c r="DI30" s="76">
        <v>0</v>
      </c>
      <c r="DJ30" s="76">
        <v>0</v>
      </c>
      <c r="DK30" s="76">
        <v>0</v>
      </c>
      <c r="DL30" s="76">
        <v>0</v>
      </c>
      <c r="DM30" s="76">
        <v>0</v>
      </c>
      <c r="DN30" s="76">
        <v>0</v>
      </c>
      <c r="DO30" s="76">
        <v>0</v>
      </c>
      <c r="DP30" s="76">
        <v>0</v>
      </c>
      <c r="DQ30" s="76">
        <v>0</v>
      </c>
      <c r="DR30" s="76">
        <v>0</v>
      </c>
      <c r="DS30" s="76">
        <v>0</v>
      </c>
      <c r="DT30" s="76">
        <v>0</v>
      </c>
      <c r="DU30" s="76">
        <v>0</v>
      </c>
      <c r="DV30" s="76">
        <v>0</v>
      </c>
      <c r="DW30" s="76">
        <v>0</v>
      </c>
      <c r="DX30" s="76">
        <v>0</v>
      </c>
      <c r="DY30" s="76">
        <v>0</v>
      </c>
      <c r="DZ30" s="76">
        <v>0</v>
      </c>
      <c r="EA30" s="76">
        <v>0</v>
      </c>
      <c r="EB30" s="76">
        <v>3952</v>
      </c>
      <c r="EC30" s="76">
        <v>0</v>
      </c>
      <c r="ED30" s="76">
        <v>4204</v>
      </c>
      <c r="EE30" s="76">
        <v>-252</v>
      </c>
      <c r="EF30" s="76">
        <v>3952</v>
      </c>
      <c r="EG30" s="76">
        <v>0</v>
      </c>
      <c r="EH30" s="76">
        <v>4204</v>
      </c>
      <c r="EI30" s="76">
        <v>-252</v>
      </c>
      <c r="EJ30" s="76">
        <v>7352</v>
      </c>
      <c r="EK30" s="76">
        <v>0</v>
      </c>
      <c r="EL30" s="76">
        <v>9857</v>
      </c>
      <c r="EM30" s="76">
        <v>-2505</v>
      </c>
      <c r="EN30" s="76">
        <v>2078</v>
      </c>
      <c r="EO30" s="76">
        <v>1801</v>
      </c>
      <c r="EP30" s="76">
        <v>468</v>
      </c>
      <c r="EQ30" s="76">
        <v>1626</v>
      </c>
      <c r="ER30" s="76">
        <v>112756</v>
      </c>
      <c r="ES30" s="76">
        <v>0</v>
      </c>
      <c r="ET30" s="76">
        <v>112756</v>
      </c>
      <c r="EU30" s="76">
        <v>16660</v>
      </c>
      <c r="EV30" s="76">
        <v>-848</v>
      </c>
      <c r="EW30" s="76">
        <v>0</v>
      </c>
      <c r="EX30" s="76">
        <v>0</v>
      </c>
      <c r="EY30" s="76">
        <v>0</v>
      </c>
      <c r="EZ30" s="76">
        <v>128568</v>
      </c>
      <c r="FA30" s="76">
        <v>10223</v>
      </c>
      <c r="FB30" s="76">
        <v>4392</v>
      </c>
      <c r="FC30" s="76">
        <v>0</v>
      </c>
      <c r="FD30" s="76">
        <v>0</v>
      </c>
      <c r="FE30" s="76">
        <v>-110</v>
      </c>
      <c r="FF30" s="76">
        <v>0</v>
      </c>
      <c r="FG30" s="76">
        <v>0</v>
      </c>
      <c r="FH30" s="76">
        <v>14505</v>
      </c>
      <c r="FI30" s="76">
        <v>114063</v>
      </c>
      <c r="FJ30" s="76">
        <v>102533</v>
      </c>
      <c r="FK30" s="76">
        <v>0</v>
      </c>
      <c r="FL30" s="76">
        <v>0</v>
      </c>
      <c r="FM30" s="76">
        <v>0</v>
      </c>
      <c r="FN30" s="76">
        <v>2933</v>
      </c>
      <c r="FO30" s="76">
        <v>738</v>
      </c>
      <c r="FP30" s="76">
        <v>2195</v>
      </c>
      <c r="FQ30" s="76">
        <v>0</v>
      </c>
      <c r="FR30" s="76">
        <v>0</v>
      </c>
      <c r="FS30" s="76">
        <v>0</v>
      </c>
      <c r="FT30" s="76">
        <v>0</v>
      </c>
      <c r="FU30" s="76">
        <v>0</v>
      </c>
      <c r="FV30" s="76">
        <v>0</v>
      </c>
      <c r="FW30" s="76">
        <v>0</v>
      </c>
      <c r="FX30" s="76">
        <v>0</v>
      </c>
      <c r="FY30" s="76">
        <v>0</v>
      </c>
      <c r="FZ30" s="76">
        <v>291</v>
      </c>
      <c r="GA30" s="76">
        <v>0</v>
      </c>
      <c r="GB30" s="76">
        <v>291</v>
      </c>
      <c r="GC30" s="76">
        <v>3224</v>
      </c>
      <c r="GD30" s="76">
        <v>738</v>
      </c>
      <c r="GE30" s="76">
        <v>2486</v>
      </c>
      <c r="GF30" s="76">
        <v>0</v>
      </c>
      <c r="GG30" s="76">
        <v>0</v>
      </c>
      <c r="GH30" s="76">
        <v>0</v>
      </c>
      <c r="GI30" s="76">
        <v>0</v>
      </c>
      <c r="GJ30" s="76">
        <v>0</v>
      </c>
      <c r="GK30" s="76">
        <v>341</v>
      </c>
      <c r="GL30" s="76">
        <v>341</v>
      </c>
      <c r="GM30" s="76">
        <v>5652</v>
      </c>
      <c r="GN30" s="76">
        <v>1688</v>
      </c>
      <c r="GO30" s="76">
        <v>0</v>
      </c>
      <c r="GP30" s="76">
        <v>0</v>
      </c>
      <c r="GQ30" s="76">
        <v>0</v>
      </c>
      <c r="GR30" s="76">
        <v>5503</v>
      </c>
      <c r="GS30" s="76">
        <v>0</v>
      </c>
      <c r="GT30" s="76">
        <v>0</v>
      </c>
      <c r="GU30" s="76">
        <v>0</v>
      </c>
      <c r="GV30" s="76">
        <v>0</v>
      </c>
      <c r="GW30" s="76">
        <v>1694</v>
      </c>
      <c r="GX30" s="76">
        <v>14537</v>
      </c>
      <c r="GY30" s="76">
        <v>0</v>
      </c>
      <c r="GZ30" s="76">
        <v>0</v>
      </c>
      <c r="HA30" s="76">
        <v>0</v>
      </c>
      <c r="HB30" s="76">
        <v>387</v>
      </c>
      <c r="HC30" s="76">
        <v>387</v>
      </c>
      <c r="HD30" s="76">
        <v>0</v>
      </c>
      <c r="HE30" s="76">
        <v>0</v>
      </c>
      <c r="HF30" s="76">
        <v>0</v>
      </c>
      <c r="HG30" s="76">
        <v>2000</v>
      </c>
      <c r="HH30" s="76">
        <v>0</v>
      </c>
      <c r="HI30" s="76">
        <v>1143</v>
      </c>
      <c r="HJ30" s="76">
        <v>0</v>
      </c>
      <c r="HK30" s="76">
        <v>0</v>
      </c>
      <c r="HL30" s="76">
        <v>0</v>
      </c>
      <c r="HM30" s="76">
        <v>3143</v>
      </c>
      <c r="HN30" s="76">
        <v>11422</v>
      </c>
      <c r="HO30" s="76">
        <v>4540</v>
      </c>
      <c r="HP30" s="76">
        <v>0</v>
      </c>
      <c r="HQ30" s="76">
        <v>31</v>
      </c>
      <c r="HR30" s="76">
        <v>-129</v>
      </c>
      <c r="HS30" s="76">
        <v>196</v>
      </c>
      <c r="HT30" s="76">
        <v>17846</v>
      </c>
      <c r="HU30" s="76">
        <v>0</v>
      </c>
      <c r="HV30" s="76">
        <v>0</v>
      </c>
      <c r="HW30" s="76">
        <v>0</v>
      </c>
      <c r="HX30" s="76">
        <v>0</v>
      </c>
    </row>
    <row r="31" spans="1:232" x14ac:dyDescent="0.2">
      <c r="A31" s="71" t="s">
        <v>23</v>
      </c>
      <c r="B31" s="71" t="s">
        <v>22</v>
      </c>
      <c r="C31" s="72" t="s">
        <v>200</v>
      </c>
      <c r="D31" s="72">
        <v>12</v>
      </c>
      <c r="E31" s="73">
        <v>21202</v>
      </c>
      <c r="F31" s="73">
        <v>-81</v>
      </c>
      <c r="G31" s="73">
        <v>-15908</v>
      </c>
      <c r="H31" s="73">
        <v>5213</v>
      </c>
      <c r="I31" s="73">
        <v>203</v>
      </c>
      <c r="J31" s="73">
        <v>31</v>
      </c>
      <c r="K31" s="73">
        <v>0</v>
      </c>
      <c r="L31" s="73">
        <v>0</v>
      </c>
      <c r="M31" s="73">
        <v>36</v>
      </c>
      <c r="N31" s="73">
        <v>-4092</v>
      </c>
      <c r="O31" s="73">
        <v>0</v>
      </c>
      <c r="P31" s="73">
        <v>0</v>
      </c>
      <c r="Q31" s="73">
        <v>0</v>
      </c>
      <c r="R31" s="73">
        <v>0</v>
      </c>
      <c r="S31" s="73">
        <v>1391</v>
      </c>
      <c r="T31" s="73">
        <v>0</v>
      </c>
      <c r="U31" s="73">
        <v>1391</v>
      </c>
      <c r="V31" s="73">
        <v>0</v>
      </c>
      <c r="W31" s="73">
        <v>231</v>
      </c>
      <c r="X31" s="73">
        <v>0</v>
      </c>
      <c r="Y31" s="73">
        <v>0</v>
      </c>
      <c r="Z31" s="73">
        <v>1622</v>
      </c>
      <c r="AA31" s="73">
        <v>18877</v>
      </c>
      <c r="AB31" s="73">
        <v>1609</v>
      </c>
      <c r="AC31" s="73">
        <v>20486</v>
      </c>
      <c r="AD31" s="73">
        <v>26</v>
      </c>
      <c r="AE31" s="73">
        <v>0</v>
      </c>
      <c r="AF31" s="73">
        <v>0</v>
      </c>
      <c r="AG31" s="73">
        <v>0</v>
      </c>
      <c r="AH31" s="73">
        <v>20512</v>
      </c>
      <c r="AI31" s="73">
        <v>5303</v>
      </c>
      <c r="AJ31" s="73">
        <v>1762</v>
      </c>
      <c r="AK31" s="73">
        <v>2104</v>
      </c>
      <c r="AL31" s="73">
        <v>1424</v>
      </c>
      <c r="AM31" s="73">
        <v>579</v>
      </c>
      <c r="AN31" s="73">
        <v>132</v>
      </c>
      <c r="AO31" s="73">
        <v>3606</v>
      </c>
      <c r="AP31" s="73">
        <v>664</v>
      </c>
      <c r="AQ31" s="73">
        <v>0</v>
      </c>
      <c r="AR31" s="73">
        <v>15574</v>
      </c>
      <c r="AS31" s="73">
        <v>4938</v>
      </c>
      <c r="AT31" s="73">
        <v>606</v>
      </c>
      <c r="AU31" s="73">
        <v>136547</v>
      </c>
      <c r="AV31" s="73">
        <v>0</v>
      </c>
      <c r="AW31" s="73">
        <v>1942</v>
      </c>
      <c r="AX31" s="73">
        <v>0</v>
      </c>
      <c r="AY31" s="73">
        <v>0</v>
      </c>
      <c r="AZ31" s="73">
        <v>0</v>
      </c>
      <c r="BA31" s="73">
        <v>0</v>
      </c>
      <c r="BB31" s="73">
        <v>0</v>
      </c>
      <c r="BC31" s="73">
        <v>0</v>
      </c>
      <c r="BD31" s="73">
        <v>13</v>
      </c>
      <c r="BE31" s="73">
        <v>138502</v>
      </c>
      <c r="BF31" s="73">
        <v>309</v>
      </c>
      <c r="BG31" s="73">
        <v>1333</v>
      </c>
      <c r="BH31" s="73">
        <v>11650</v>
      </c>
      <c r="BI31" s="73">
        <v>0</v>
      </c>
      <c r="BJ31" s="73">
        <v>24</v>
      </c>
      <c r="BK31" s="73">
        <v>13316</v>
      </c>
      <c r="BL31" s="73">
        <v>0</v>
      </c>
      <c r="BM31" s="73">
        <v>0</v>
      </c>
      <c r="BN31" s="73">
        <v>26</v>
      </c>
      <c r="BO31" s="73">
        <v>2298</v>
      </c>
      <c r="BP31" s="73">
        <v>2324</v>
      </c>
      <c r="BQ31" s="73">
        <v>10992</v>
      </c>
      <c r="BR31" s="73">
        <v>149494</v>
      </c>
      <c r="BS31" s="73">
        <v>89176</v>
      </c>
      <c r="BT31" s="73">
        <v>0</v>
      </c>
      <c r="BU31" s="73">
        <v>0</v>
      </c>
      <c r="BV31" s="73">
        <v>449</v>
      </c>
      <c r="BW31" s="73">
        <v>0</v>
      </c>
      <c r="BX31" s="73">
        <v>0</v>
      </c>
      <c r="BY31" s="73">
        <v>421</v>
      </c>
      <c r="BZ31" s="73">
        <v>90046</v>
      </c>
      <c r="CA31" s="73">
        <v>2953</v>
      </c>
      <c r="CB31" s="73">
        <v>0</v>
      </c>
      <c r="CC31" s="73">
        <v>56495</v>
      </c>
      <c r="CD31" s="73">
        <v>9511</v>
      </c>
      <c r="CE31" s="73">
        <v>46980</v>
      </c>
      <c r="CF31" s="73">
        <v>4</v>
      </c>
      <c r="CG31" s="73">
        <v>0</v>
      </c>
      <c r="CH31" s="73">
        <v>0</v>
      </c>
      <c r="CI31" s="73">
        <v>56495</v>
      </c>
      <c r="CJ31" s="73">
        <v>95</v>
      </c>
      <c r="CK31" s="73">
        <v>81</v>
      </c>
      <c r="CL31" s="73">
        <v>2</v>
      </c>
      <c r="CM31" s="73">
        <v>12</v>
      </c>
      <c r="CN31" s="73">
        <v>67</v>
      </c>
      <c r="CO31" s="73">
        <v>0</v>
      </c>
      <c r="CP31" s="73">
        <v>58</v>
      </c>
      <c r="CQ31" s="73">
        <v>9</v>
      </c>
      <c r="CR31" s="73">
        <v>0</v>
      </c>
      <c r="CS31" s="73">
        <v>0</v>
      </c>
      <c r="CT31" s="73">
        <v>0</v>
      </c>
      <c r="CU31" s="73">
        <v>0</v>
      </c>
      <c r="CV31" s="73">
        <v>0</v>
      </c>
      <c r="CW31" s="73">
        <v>0</v>
      </c>
      <c r="CX31" s="73">
        <v>0</v>
      </c>
      <c r="CY31" s="73">
        <v>0</v>
      </c>
      <c r="CZ31" s="73">
        <v>0</v>
      </c>
      <c r="DA31" s="73">
        <v>0</v>
      </c>
      <c r="DB31" s="73">
        <v>0</v>
      </c>
      <c r="DC31" s="73">
        <v>0</v>
      </c>
      <c r="DD31" s="73">
        <v>162</v>
      </c>
      <c r="DE31" s="73">
        <v>81</v>
      </c>
      <c r="DF31" s="73">
        <v>60</v>
      </c>
      <c r="DG31" s="73">
        <v>21</v>
      </c>
      <c r="DH31" s="73">
        <v>0</v>
      </c>
      <c r="DI31" s="73">
        <v>0</v>
      </c>
      <c r="DJ31" s="73">
        <v>0</v>
      </c>
      <c r="DK31" s="73">
        <v>0</v>
      </c>
      <c r="DL31" s="73">
        <v>0</v>
      </c>
      <c r="DM31" s="73">
        <v>0</v>
      </c>
      <c r="DN31" s="73">
        <v>0</v>
      </c>
      <c r="DO31" s="73">
        <v>0</v>
      </c>
      <c r="DP31" s="73">
        <v>0</v>
      </c>
      <c r="DQ31" s="73">
        <v>0</v>
      </c>
      <c r="DR31" s="73">
        <v>0</v>
      </c>
      <c r="DS31" s="73">
        <v>0</v>
      </c>
      <c r="DT31" s="73">
        <v>0</v>
      </c>
      <c r="DU31" s="73">
        <v>0</v>
      </c>
      <c r="DV31" s="73">
        <v>0</v>
      </c>
      <c r="DW31" s="73">
        <v>0</v>
      </c>
      <c r="DX31" s="73">
        <v>355</v>
      </c>
      <c r="DY31" s="73">
        <v>0</v>
      </c>
      <c r="DZ31" s="73">
        <v>274</v>
      </c>
      <c r="EA31" s="73">
        <v>81</v>
      </c>
      <c r="EB31" s="73">
        <v>173</v>
      </c>
      <c r="EC31" s="73">
        <v>0</v>
      </c>
      <c r="ED31" s="73">
        <v>0</v>
      </c>
      <c r="EE31" s="73">
        <v>173</v>
      </c>
      <c r="EF31" s="73">
        <v>528</v>
      </c>
      <c r="EG31" s="73">
        <v>0</v>
      </c>
      <c r="EH31" s="73">
        <v>274</v>
      </c>
      <c r="EI31" s="73">
        <v>254</v>
      </c>
      <c r="EJ31" s="73">
        <v>690</v>
      </c>
      <c r="EK31" s="73">
        <v>81</v>
      </c>
      <c r="EL31" s="73">
        <v>334</v>
      </c>
      <c r="EM31" s="73">
        <v>275</v>
      </c>
      <c r="EN31" s="73">
        <v>680</v>
      </c>
      <c r="EO31" s="73">
        <v>171</v>
      </c>
      <c r="EP31" s="73">
        <v>406</v>
      </c>
      <c r="EQ31" s="73">
        <v>171</v>
      </c>
      <c r="ER31" s="73">
        <v>143586</v>
      </c>
      <c r="ES31" s="73">
        <v>0</v>
      </c>
      <c r="ET31" s="73">
        <v>143586</v>
      </c>
      <c r="EU31" s="73">
        <v>3901</v>
      </c>
      <c r="EV31" s="73">
        <v>-1249</v>
      </c>
      <c r="EW31" s="73">
        <v>0</v>
      </c>
      <c r="EX31" s="73">
        <v>0</v>
      </c>
      <c r="EY31" s="73">
        <v>0</v>
      </c>
      <c r="EZ31" s="73">
        <v>146238</v>
      </c>
      <c r="FA31" s="73">
        <v>6019</v>
      </c>
      <c r="FB31" s="73">
        <v>3606</v>
      </c>
      <c r="FC31" s="73">
        <v>664</v>
      </c>
      <c r="FD31" s="73">
        <v>0</v>
      </c>
      <c r="FE31" s="73">
        <v>-598</v>
      </c>
      <c r="FF31" s="73">
        <v>0</v>
      </c>
      <c r="FG31" s="73">
        <v>0</v>
      </c>
      <c r="FH31" s="73">
        <v>9691</v>
      </c>
      <c r="FI31" s="73">
        <v>136547</v>
      </c>
      <c r="FJ31" s="73">
        <v>137567</v>
      </c>
      <c r="FK31" s="73">
        <v>46</v>
      </c>
      <c r="FL31" s="73">
        <v>50</v>
      </c>
      <c r="FM31" s="73">
        <v>-4</v>
      </c>
      <c r="FN31" s="73">
        <v>501</v>
      </c>
      <c r="FO31" s="73">
        <v>315</v>
      </c>
      <c r="FP31" s="73">
        <v>186</v>
      </c>
      <c r="FQ31" s="73">
        <v>308</v>
      </c>
      <c r="FR31" s="73">
        <v>321</v>
      </c>
      <c r="FS31" s="73">
        <v>-13</v>
      </c>
      <c r="FT31" s="73">
        <v>0</v>
      </c>
      <c r="FU31" s="73">
        <v>0</v>
      </c>
      <c r="FV31" s="73">
        <v>0</v>
      </c>
      <c r="FW31" s="73">
        <v>0</v>
      </c>
      <c r="FX31" s="73">
        <v>0</v>
      </c>
      <c r="FY31" s="73">
        <v>0</v>
      </c>
      <c r="FZ31" s="73">
        <v>34</v>
      </c>
      <c r="GA31" s="73">
        <v>0</v>
      </c>
      <c r="GB31" s="73">
        <v>34</v>
      </c>
      <c r="GC31" s="73">
        <v>889</v>
      </c>
      <c r="GD31" s="73">
        <v>686</v>
      </c>
      <c r="GE31" s="73">
        <v>203</v>
      </c>
      <c r="GF31" s="73">
        <v>0</v>
      </c>
      <c r="GG31" s="73">
        <v>0</v>
      </c>
      <c r="GH31" s="73">
        <v>0</v>
      </c>
      <c r="GI31" s="73">
        <v>0</v>
      </c>
      <c r="GJ31" s="73">
        <v>0</v>
      </c>
      <c r="GK31" s="73">
        <v>24</v>
      </c>
      <c r="GL31" s="73">
        <v>24</v>
      </c>
      <c r="GM31" s="73">
        <v>121</v>
      </c>
      <c r="GN31" s="73">
        <v>512</v>
      </c>
      <c r="GO31" s="73">
        <v>250</v>
      </c>
      <c r="GP31" s="73">
        <v>0</v>
      </c>
      <c r="GQ31" s="73">
        <v>0</v>
      </c>
      <c r="GR31" s="73">
        <v>1206</v>
      </c>
      <c r="GS31" s="73">
        <v>0</v>
      </c>
      <c r="GT31" s="73">
        <v>0</v>
      </c>
      <c r="GU31" s="73">
        <v>70</v>
      </c>
      <c r="GV31" s="73">
        <v>0</v>
      </c>
      <c r="GW31" s="73">
        <v>139</v>
      </c>
      <c r="GX31" s="73">
        <v>2298</v>
      </c>
      <c r="GY31" s="73">
        <v>8</v>
      </c>
      <c r="GZ31" s="73">
        <v>0</v>
      </c>
      <c r="HA31" s="73">
        <v>413</v>
      </c>
      <c r="HB31" s="73">
        <v>0</v>
      </c>
      <c r="HC31" s="73">
        <v>421</v>
      </c>
      <c r="HD31" s="73">
        <v>0</v>
      </c>
      <c r="HE31" s="73">
        <v>0</v>
      </c>
      <c r="HF31" s="73">
        <v>0</v>
      </c>
      <c r="HG31" s="73">
        <v>3846</v>
      </c>
      <c r="HH31" s="73">
        <v>137</v>
      </c>
      <c r="HI31" s="73">
        <v>109</v>
      </c>
      <c r="HJ31" s="73">
        <v>0</v>
      </c>
      <c r="HK31" s="73">
        <v>0</v>
      </c>
      <c r="HL31" s="73">
        <v>0</v>
      </c>
      <c r="HM31" s="73">
        <v>4092</v>
      </c>
      <c r="HN31" s="73">
        <v>4092</v>
      </c>
      <c r="HO31" s="73">
        <v>3795</v>
      </c>
      <c r="HP31" s="73">
        <v>664</v>
      </c>
      <c r="HQ31" s="73">
        <v>6</v>
      </c>
      <c r="HR31" s="73">
        <v>-18</v>
      </c>
      <c r="HS31" s="73">
        <v>-97</v>
      </c>
      <c r="HT31" s="73">
        <v>4749</v>
      </c>
      <c r="HU31" s="73">
        <v>0</v>
      </c>
      <c r="HV31" s="73">
        <v>0</v>
      </c>
      <c r="HW31" s="73">
        <v>0</v>
      </c>
      <c r="HX31" s="73">
        <v>16</v>
      </c>
    </row>
    <row r="32" spans="1:232" x14ac:dyDescent="0.2">
      <c r="A32" s="71" t="s">
        <v>261</v>
      </c>
      <c r="B32" s="71" t="s">
        <v>260</v>
      </c>
      <c r="C32" s="72" t="s">
        <v>200</v>
      </c>
      <c r="D32" s="72">
        <v>12</v>
      </c>
      <c r="E32" s="73">
        <v>20677</v>
      </c>
      <c r="F32" s="73">
        <v>0</v>
      </c>
      <c r="G32" s="73">
        <v>-19982</v>
      </c>
      <c r="H32" s="73">
        <v>695</v>
      </c>
      <c r="I32" s="73">
        <v>125</v>
      </c>
      <c r="J32" s="73">
        <v>0</v>
      </c>
      <c r="K32" s="73">
        <v>0</v>
      </c>
      <c r="L32" s="73">
        <v>0</v>
      </c>
      <c r="M32" s="73">
        <v>10</v>
      </c>
      <c r="N32" s="73">
        <v>-744</v>
      </c>
      <c r="O32" s="73">
        <v>0</v>
      </c>
      <c r="P32" s="73">
        <v>0</v>
      </c>
      <c r="Q32" s="73">
        <v>0</v>
      </c>
      <c r="R32" s="73">
        <v>0</v>
      </c>
      <c r="S32" s="73">
        <v>86</v>
      </c>
      <c r="T32" s="73">
        <v>0</v>
      </c>
      <c r="U32" s="73">
        <v>86</v>
      </c>
      <c r="V32" s="73">
        <v>0</v>
      </c>
      <c r="W32" s="73">
        <v>0</v>
      </c>
      <c r="X32" s="73">
        <v>0</v>
      </c>
      <c r="Y32" s="73">
        <v>0</v>
      </c>
      <c r="Z32" s="73">
        <v>86</v>
      </c>
      <c r="AA32" s="73">
        <v>6749</v>
      </c>
      <c r="AB32" s="73">
        <v>4573</v>
      </c>
      <c r="AC32" s="73">
        <v>11322</v>
      </c>
      <c r="AD32" s="73">
        <v>310</v>
      </c>
      <c r="AE32" s="73">
        <v>945</v>
      </c>
      <c r="AF32" s="73">
        <v>1496</v>
      </c>
      <c r="AG32" s="73">
        <v>0</v>
      </c>
      <c r="AH32" s="73">
        <v>14073</v>
      </c>
      <c r="AI32" s="73">
        <v>1465</v>
      </c>
      <c r="AJ32" s="73">
        <v>4158</v>
      </c>
      <c r="AK32" s="73">
        <v>1898</v>
      </c>
      <c r="AL32" s="73">
        <v>0</v>
      </c>
      <c r="AM32" s="73">
        <v>648</v>
      </c>
      <c r="AN32" s="73">
        <v>698</v>
      </c>
      <c r="AO32" s="73">
        <v>937</v>
      </c>
      <c r="AP32" s="73">
        <v>0</v>
      </c>
      <c r="AQ32" s="73">
        <v>3965</v>
      </c>
      <c r="AR32" s="73">
        <v>13769</v>
      </c>
      <c r="AS32" s="73">
        <v>304</v>
      </c>
      <c r="AT32" s="73">
        <v>521</v>
      </c>
      <c r="AU32" s="73">
        <v>57266</v>
      </c>
      <c r="AV32" s="73">
        <v>0</v>
      </c>
      <c r="AW32" s="73">
        <v>3091</v>
      </c>
      <c r="AX32" s="73">
        <v>764</v>
      </c>
      <c r="AY32" s="73">
        <v>0</v>
      </c>
      <c r="AZ32" s="73">
        <v>0</v>
      </c>
      <c r="BA32" s="73">
        <v>0</v>
      </c>
      <c r="BB32" s="73">
        <v>0</v>
      </c>
      <c r="BC32" s="73">
        <v>0</v>
      </c>
      <c r="BD32" s="73">
        <v>0</v>
      </c>
      <c r="BE32" s="73">
        <v>61121</v>
      </c>
      <c r="BF32" s="73">
        <v>0</v>
      </c>
      <c r="BG32" s="73">
        <v>983</v>
      </c>
      <c r="BH32" s="73">
        <v>1771</v>
      </c>
      <c r="BI32" s="73">
        <v>0</v>
      </c>
      <c r="BJ32" s="73">
        <v>3052</v>
      </c>
      <c r="BK32" s="73">
        <v>5806</v>
      </c>
      <c r="BL32" s="73">
        <v>709</v>
      </c>
      <c r="BM32" s="73">
        <v>0</v>
      </c>
      <c r="BN32" s="73">
        <v>0</v>
      </c>
      <c r="BO32" s="73">
        <v>3073</v>
      </c>
      <c r="BP32" s="73">
        <v>3782</v>
      </c>
      <c r="BQ32" s="73">
        <v>2024</v>
      </c>
      <c r="BR32" s="73">
        <v>63145</v>
      </c>
      <c r="BS32" s="73">
        <v>20508</v>
      </c>
      <c r="BT32" s="73">
        <v>0</v>
      </c>
      <c r="BU32" s="73">
        <v>0</v>
      </c>
      <c r="BV32" s="73">
        <v>32951</v>
      </c>
      <c r="BW32" s="73">
        <v>0</v>
      </c>
      <c r="BX32" s="73">
        <v>0</v>
      </c>
      <c r="BY32" s="73">
        <v>850</v>
      </c>
      <c r="BZ32" s="73">
        <v>54309</v>
      </c>
      <c r="CA32" s="73">
        <v>0</v>
      </c>
      <c r="CB32" s="73">
        <v>499</v>
      </c>
      <c r="CC32" s="73">
        <v>8337</v>
      </c>
      <c r="CD32" s="73">
        <v>8337</v>
      </c>
      <c r="CE32" s="73">
        <v>0</v>
      </c>
      <c r="CF32" s="73">
        <v>0</v>
      </c>
      <c r="CG32" s="73">
        <v>0</v>
      </c>
      <c r="CH32" s="73">
        <v>0</v>
      </c>
      <c r="CI32" s="73">
        <v>8337</v>
      </c>
      <c r="CJ32" s="73">
        <v>0</v>
      </c>
      <c r="CK32" s="73">
        <v>0</v>
      </c>
      <c r="CL32" s="73">
        <v>0</v>
      </c>
      <c r="CM32" s="73">
        <v>0</v>
      </c>
      <c r="CN32" s="73">
        <v>4198</v>
      </c>
      <c r="CO32" s="73">
        <v>0</v>
      </c>
      <c r="CP32" s="73">
        <v>4091</v>
      </c>
      <c r="CQ32" s="73">
        <v>107</v>
      </c>
      <c r="CR32" s="73">
        <v>0</v>
      </c>
      <c r="CS32" s="73">
        <v>0</v>
      </c>
      <c r="CT32" s="73">
        <v>0</v>
      </c>
      <c r="CU32" s="73">
        <v>0</v>
      </c>
      <c r="CV32" s="73">
        <v>0</v>
      </c>
      <c r="CW32" s="73">
        <v>0</v>
      </c>
      <c r="CX32" s="73">
        <v>0</v>
      </c>
      <c r="CY32" s="73">
        <v>0</v>
      </c>
      <c r="CZ32" s="73">
        <v>0</v>
      </c>
      <c r="DA32" s="73">
        <v>0</v>
      </c>
      <c r="DB32" s="73">
        <v>0</v>
      </c>
      <c r="DC32" s="73">
        <v>0</v>
      </c>
      <c r="DD32" s="73">
        <v>4198</v>
      </c>
      <c r="DE32" s="73">
        <v>0</v>
      </c>
      <c r="DF32" s="73">
        <v>4091</v>
      </c>
      <c r="DG32" s="73">
        <v>107</v>
      </c>
      <c r="DH32" s="73">
        <v>0</v>
      </c>
      <c r="DI32" s="73">
        <v>0</v>
      </c>
      <c r="DJ32" s="73">
        <v>0</v>
      </c>
      <c r="DK32" s="73">
        <v>0</v>
      </c>
      <c r="DL32" s="73">
        <v>0</v>
      </c>
      <c r="DM32" s="73">
        <v>0</v>
      </c>
      <c r="DN32" s="73">
        <v>0</v>
      </c>
      <c r="DO32" s="73">
        <v>0</v>
      </c>
      <c r="DP32" s="73">
        <v>0</v>
      </c>
      <c r="DQ32" s="73">
        <v>0</v>
      </c>
      <c r="DR32" s="73">
        <v>0</v>
      </c>
      <c r="DS32" s="73">
        <v>0</v>
      </c>
      <c r="DT32" s="73">
        <v>0</v>
      </c>
      <c r="DU32" s="73">
        <v>0</v>
      </c>
      <c r="DV32" s="73">
        <v>0</v>
      </c>
      <c r="DW32" s="73">
        <v>0</v>
      </c>
      <c r="DX32" s="73">
        <v>0</v>
      </c>
      <c r="DY32" s="73">
        <v>0</v>
      </c>
      <c r="DZ32" s="73">
        <v>0</v>
      </c>
      <c r="EA32" s="73">
        <v>0</v>
      </c>
      <c r="EB32" s="73">
        <v>2406</v>
      </c>
      <c r="EC32" s="73">
        <v>0</v>
      </c>
      <c r="ED32" s="73">
        <v>2122</v>
      </c>
      <c r="EE32" s="73">
        <v>284</v>
      </c>
      <c r="EF32" s="73">
        <v>2406</v>
      </c>
      <c r="EG32" s="73">
        <v>0</v>
      </c>
      <c r="EH32" s="73">
        <v>2122</v>
      </c>
      <c r="EI32" s="73">
        <v>284</v>
      </c>
      <c r="EJ32" s="73">
        <v>6604</v>
      </c>
      <c r="EK32" s="73">
        <v>0</v>
      </c>
      <c r="EL32" s="73">
        <v>6213</v>
      </c>
      <c r="EM32" s="73">
        <v>391</v>
      </c>
      <c r="EN32" s="73">
        <v>643</v>
      </c>
      <c r="EO32" s="73">
        <v>2330</v>
      </c>
      <c r="EP32" s="73">
        <v>95</v>
      </c>
      <c r="EQ32" s="73">
        <v>2330</v>
      </c>
      <c r="ER32" s="73">
        <v>62544</v>
      </c>
      <c r="ES32" s="73">
        <v>0</v>
      </c>
      <c r="ET32" s="73">
        <v>62544</v>
      </c>
      <c r="EU32" s="73">
        <v>3958</v>
      </c>
      <c r="EV32" s="73">
        <v>-423</v>
      </c>
      <c r="EW32" s="73">
        <v>0</v>
      </c>
      <c r="EX32" s="73">
        <v>0</v>
      </c>
      <c r="EY32" s="73">
        <v>0</v>
      </c>
      <c r="EZ32" s="73">
        <v>66079</v>
      </c>
      <c r="FA32" s="73">
        <v>8004</v>
      </c>
      <c r="FB32" s="73">
        <v>972</v>
      </c>
      <c r="FC32" s="73">
        <v>0</v>
      </c>
      <c r="FD32" s="73">
        <v>0</v>
      </c>
      <c r="FE32" s="73">
        <v>-163</v>
      </c>
      <c r="FF32" s="73">
        <v>0</v>
      </c>
      <c r="FG32" s="73">
        <v>0</v>
      </c>
      <c r="FH32" s="73">
        <v>8813</v>
      </c>
      <c r="FI32" s="73">
        <v>57266</v>
      </c>
      <c r="FJ32" s="73">
        <v>54540</v>
      </c>
      <c r="FK32" s="73">
        <v>0</v>
      </c>
      <c r="FL32" s="73">
        <v>0</v>
      </c>
      <c r="FM32" s="73">
        <v>0</v>
      </c>
      <c r="FN32" s="73">
        <v>0</v>
      </c>
      <c r="FO32" s="73">
        <v>0</v>
      </c>
      <c r="FP32" s="73">
        <v>0</v>
      </c>
      <c r="FQ32" s="73">
        <v>0</v>
      </c>
      <c r="FR32" s="73">
        <v>0</v>
      </c>
      <c r="FS32" s="73">
        <v>0</v>
      </c>
      <c r="FT32" s="73">
        <v>422</v>
      </c>
      <c r="FU32" s="73">
        <v>297</v>
      </c>
      <c r="FV32" s="73">
        <v>125</v>
      </c>
      <c r="FW32" s="73">
        <v>0</v>
      </c>
      <c r="FX32" s="73">
        <v>0</v>
      </c>
      <c r="FY32" s="73">
        <v>0</v>
      </c>
      <c r="FZ32" s="73">
        <v>0</v>
      </c>
      <c r="GA32" s="73">
        <v>0</v>
      </c>
      <c r="GB32" s="73">
        <v>0</v>
      </c>
      <c r="GC32" s="73">
        <v>422</v>
      </c>
      <c r="GD32" s="73">
        <v>297</v>
      </c>
      <c r="GE32" s="73">
        <v>125</v>
      </c>
      <c r="GF32" s="73">
        <v>222</v>
      </c>
      <c r="GG32" s="73">
        <v>0</v>
      </c>
      <c r="GH32" s="73">
        <v>1901</v>
      </c>
      <c r="GI32" s="73">
        <v>0</v>
      </c>
      <c r="GJ32" s="73">
        <v>0</v>
      </c>
      <c r="GK32" s="73">
        <v>929</v>
      </c>
      <c r="GL32" s="73">
        <v>3052</v>
      </c>
      <c r="GM32" s="73">
        <v>133</v>
      </c>
      <c r="GN32" s="73">
        <v>0</v>
      </c>
      <c r="GO32" s="73">
        <v>882</v>
      </c>
      <c r="GP32" s="73">
        <v>0</v>
      </c>
      <c r="GQ32" s="73">
        <v>0</v>
      </c>
      <c r="GR32" s="73">
        <v>684</v>
      </c>
      <c r="GS32" s="73">
        <v>0</v>
      </c>
      <c r="GT32" s="73">
        <v>0</v>
      </c>
      <c r="GU32" s="73">
        <v>0</v>
      </c>
      <c r="GV32" s="73">
        <v>0</v>
      </c>
      <c r="GW32" s="73">
        <v>1374</v>
      </c>
      <c r="GX32" s="73">
        <v>3073</v>
      </c>
      <c r="GY32" s="73">
        <v>653</v>
      </c>
      <c r="GZ32" s="73">
        <v>0</v>
      </c>
      <c r="HA32" s="73">
        <v>0</v>
      </c>
      <c r="HB32" s="73">
        <v>197</v>
      </c>
      <c r="HC32" s="73">
        <v>850</v>
      </c>
      <c r="HD32" s="73">
        <v>499</v>
      </c>
      <c r="HE32" s="73">
        <v>0</v>
      </c>
      <c r="HF32" s="73">
        <v>499</v>
      </c>
      <c r="HG32" s="73">
        <v>744</v>
      </c>
      <c r="HH32" s="73">
        <v>0</v>
      </c>
      <c r="HI32" s="73">
        <v>0</v>
      </c>
      <c r="HJ32" s="73">
        <v>0</v>
      </c>
      <c r="HK32" s="73">
        <v>0</v>
      </c>
      <c r="HL32" s="73">
        <v>0</v>
      </c>
      <c r="HM32" s="73">
        <v>744</v>
      </c>
      <c r="HN32" s="73">
        <v>262</v>
      </c>
      <c r="HO32" s="73">
        <v>1184</v>
      </c>
      <c r="HP32" s="73">
        <v>0</v>
      </c>
      <c r="HQ32" s="73">
        <v>18</v>
      </c>
      <c r="HR32" s="73">
        <v>0</v>
      </c>
      <c r="HS32" s="73">
        <v>-356</v>
      </c>
      <c r="HT32" s="73">
        <v>1545</v>
      </c>
      <c r="HU32" s="73">
        <v>0</v>
      </c>
      <c r="HV32" s="73">
        <v>0</v>
      </c>
      <c r="HW32" s="73">
        <v>141</v>
      </c>
      <c r="HX32" s="73">
        <v>141</v>
      </c>
    </row>
    <row r="33" spans="1:232" x14ac:dyDescent="0.2">
      <c r="A33" s="74" t="s">
        <v>25</v>
      </c>
      <c r="B33" s="74" t="s">
        <v>24</v>
      </c>
      <c r="C33" s="75" t="s">
        <v>201</v>
      </c>
      <c r="D33" s="75">
        <v>12</v>
      </c>
      <c r="E33" s="76">
        <v>28590</v>
      </c>
      <c r="F33" s="76">
        <v>-2516</v>
      </c>
      <c r="G33" s="76">
        <v>-18743</v>
      </c>
      <c r="H33" s="76">
        <v>7331</v>
      </c>
      <c r="I33" s="76">
        <v>1164</v>
      </c>
      <c r="J33" s="76">
        <v>0</v>
      </c>
      <c r="K33" s="76">
        <v>-2090</v>
      </c>
      <c r="L33" s="76">
        <v>0</v>
      </c>
      <c r="M33" s="76">
        <v>385</v>
      </c>
      <c r="N33" s="76">
        <v>-4829</v>
      </c>
      <c r="O33" s="76">
        <v>0</v>
      </c>
      <c r="P33" s="76">
        <v>-5969</v>
      </c>
      <c r="Q33" s="76">
        <v>0</v>
      </c>
      <c r="R33" s="76">
        <v>0</v>
      </c>
      <c r="S33" s="76">
        <v>-4008</v>
      </c>
      <c r="T33" s="76">
        <v>0</v>
      </c>
      <c r="U33" s="76">
        <v>-4008</v>
      </c>
      <c r="V33" s="76">
        <v>0</v>
      </c>
      <c r="W33" s="76">
        <v>0</v>
      </c>
      <c r="X33" s="76">
        <v>0</v>
      </c>
      <c r="Y33" s="76">
        <v>0</v>
      </c>
      <c r="Z33" s="76">
        <v>-4008</v>
      </c>
      <c r="AA33" s="76">
        <v>17258</v>
      </c>
      <c r="AB33" s="76">
        <v>4253</v>
      </c>
      <c r="AC33" s="76">
        <v>21511</v>
      </c>
      <c r="AD33" s="76">
        <v>337</v>
      </c>
      <c r="AE33" s="76">
        <v>0</v>
      </c>
      <c r="AF33" s="76">
        <v>0</v>
      </c>
      <c r="AG33" s="76">
        <v>0</v>
      </c>
      <c r="AH33" s="76">
        <v>21848</v>
      </c>
      <c r="AI33" s="76">
        <v>3129</v>
      </c>
      <c r="AJ33" s="76">
        <v>3055</v>
      </c>
      <c r="AK33" s="76">
        <v>3243</v>
      </c>
      <c r="AL33" s="76">
        <v>1154</v>
      </c>
      <c r="AM33" s="76">
        <v>1194</v>
      </c>
      <c r="AN33" s="76">
        <v>36</v>
      </c>
      <c r="AO33" s="76">
        <v>2737</v>
      </c>
      <c r="AP33" s="76">
        <v>0</v>
      </c>
      <c r="AQ33" s="76">
        <v>47</v>
      </c>
      <c r="AR33" s="76">
        <v>14595</v>
      </c>
      <c r="AS33" s="76">
        <v>7253</v>
      </c>
      <c r="AT33" s="76">
        <v>82</v>
      </c>
      <c r="AU33" s="76">
        <v>150146</v>
      </c>
      <c r="AV33" s="76">
        <v>0</v>
      </c>
      <c r="AW33" s="76">
        <v>19172</v>
      </c>
      <c r="AX33" s="76">
        <v>0</v>
      </c>
      <c r="AY33" s="76">
        <v>0</v>
      </c>
      <c r="AZ33" s="76">
        <v>0</v>
      </c>
      <c r="BA33" s="76">
        <v>0</v>
      </c>
      <c r="BB33" s="76">
        <v>0</v>
      </c>
      <c r="BC33" s="76">
        <v>0</v>
      </c>
      <c r="BD33" s="76">
        <v>9446</v>
      </c>
      <c r="BE33" s="76">
        <v>178764</v>
      </c>
      <c r="BF33" s="76">
        <v>2017</v>
      </c>
      <c r="BG33" s="76">
        <v>1674</v>
      </c>
      <c r="BH33" s="76">
        <v>1918</v>
      </c>
      <c r="BI33" s="76">
        <v>0</v>
      </c>
      <c r="BJ33" s="76">
        <v>2811</v>
      </c>
      <c r="BK33" s="76">
        <v>8420</v>
      </c>
      <c r="BL33" s="76">
        <v>3486</v>
      </c>
      <c r="BM33" s="76">
        <v>0</v>
      </c>
      <c r="BN33" s="76">
        <v>614</v>
      </c>
      <c r="BO33" s="76">
        <v>4062</v>
      </c>
      <c r="BP33" s="76">
        <v>8162</v>
      </c>
      <c r="BQ33" s="76">
        <v>258</v>
      </c>
      <c r="BR33" s="76">
        <v>179022</v>
      </c>
      <c r="BS33" s="76">
        <v>95882</v>
      </c>
      <c r="BT33" s="76">
        <v>0</v>
      </c>
      <c r="BU33" s="76">
        <v>0</v>
      </c>
      <c r="BV33" s="76">
        <v>31154</v>
      </c>
      <c r="BW33" s="76">
        <v>0</v>
      </c>
      <c r="BX33" s="76">
        <v>27732</v>
      </c>
      <c r="BY33" s="76">
        <v>835</v>
      </c>
      <c r="BZ33" s="76">
        <v>155603</v>
      </c>
      <c r="CA33" s="76">
        <v>5078</v>
      </c>
      <c r="CB33" s="76">
        <v>0</v>
      </c>
      <c r="CC33" s="76">
        <v>18341</v>
      </c>
      <c r="CD33" s="76">
        <v>13670</v>
      </c>
      <c r="CE33" s="76">
        <v>0</v>
      </c>
      <c r="CF33" s="76">
        <v>3975</v>
      </c>
      <c r="CG33" s="76">
        <v>0</v>
      </c>
      <c r="CH33" s="76">
        <v>696</v>
      </c>
      <c r="CI33" s="76">
        <v>18341</v>
      </c>
      <c r="CJ33" s="76">
        <v>1016</v>
      </c>
      <c r="CK33" s="76">
        <v>929</v>
      </c>
      <c r="CL33" s="76">
        <v>0</v>
      </c>
      <c r="CM33" s="76">
        <v>87</v>
      </c>
      <c r="CN33" s="76">
        <v>0</v>
      </c>
      <c r="CO33" s="76">
        <v>0</v>
      </c>
      <c r="CP33" s="76">
        <v>0</v>
      </c>
      <c r="CQ33" s="76">
        <v>0</v>
      </c>
      <c r="CR33" s="76">
        <v>0</v>
      </c>
      <c r="CS33" s="76">
        <v>0</v>
      </c>
      <c r="CT33" s="76">
        <v>0</v>
      </c>
      <c r="CU33" s="76">
        <v>0</v>
      </c>
      <c r="CV33" s="76">
        <v>0</v>
      </c>
      <c r="CW33" s="76">
        <v>0</v>
      </c>
      <c r="CX33" s="76">
        <v>0</v>
      </c>
      <c r="CY33" s="76">
        <v>0</v>
      </c>
      <c r="CZ33" s="76">
        <v>907</v>
      </c>
      <c r="DA33" s="76">
        <v>0</v>
      </c>
      <c r="DB33" s="76">
        <v>638</v>
      </c>
      <c r="DC33" s="76">
        <v>269</v>
      </c>
      <c r="DD33" s="76">
        <v>1923</v>
      </c>
      <c r="DE33" s="76">
        <v>929</v>
      </c>
      <c r="DF33" s="76">
        <v>638</v>
      </c>
      <c r="DG33" s="76">
        <v>356</v>
      </c>
      <c r="DH33" s="76">
        <v>0</v>
      </c>
      <c r="DI33" s="76">
        <v>0</v>
      </c>
      <c r="DJ33" s="76">
        <v>0</v>
      </c>
      <c r="DK33" s="76">
        <v>0</v>
      </c>
      <c r="DL33" s="76">
        <v>0</v>
      </c>
      <c r="DM33" s="76">
        <v>0</v>
      </c>
      <c r="DN33" s="76">
        <v>0</v>
      </c>
      <c r="DO33" s="76">
        <v>0</v>
      </c>
      <c r="DP33" s="76">
        <v>0</v>
      </c>
      <c r="DQ33" s="76">
        <v>0</v>
      </c>
      <c r="DR33" s="76">
        <v>0</v>
      </c>
      <c r="DS33" s="76">
        <v>0</v>
      </c>
      <c r="DT33" s="76">
        <v>444</v>
      </c>
      <c r="DU33" s="76">
        <v>0</v>
      </c>
      <c r="DV33" s="76">
        <v>110</v>
      </c>
      <c r="DW33" s="76">
        <v>334</v>
      </c>
      <c r="DX33" s="76">
        <v>0</v>
      </c>
      <c r="DY33" s="76">
        <v>0</v>
      </c>
      <c r="DZ33" s="76">
        <v>0</v>
      </c>
      <c r="EA33" s="76">
        <v>0</v>
      </c>
      <c r="EB33" s="76">
        <v>4375</v>
      </c>
      <c r="EC33" s="76">
        <v>1587</v>
      </c>
      <c r="ED33" s="76">
        <v>3400</v>
      </c>
      <c r="EE33" s="76">
        <v>-612</v>
      </c>
      <c r="EF33" s="76">
        <v>4819</v>
      </c>
      <c r="EG33" s="76">
        <v>1587</v>
      </c>
      <c r="EH33" s="76">
        <v>3510</v>
      </c>
      <c r="EI33" s="76">
        <v>-278</v>
      </c>
      <c r="EJ33" s="76">
        <v>6742</v>
      </c>
      <c r="EK33" s="76">
        <v>2516</v>
      </c>
      <c r="EL33" s="76">
        <v>4148</v>
      </c>
      <c r="EM33" s="76">
        <v>78</v>
      </c>
      <c r="EN33" s="76">
        <v>1271</v>
      </c>
      <c r="EO33" s="76">
        <v>243</v>
      </c>
      <c r="EP33" s="76">
        <v>219</v>
      </c>
      <c r="EQ33" s="76">
        <v>243</v>
      </c>
      <c r="ER33" s="76">
        <v>173683</v>
      </c>
      <c r="ES33" s="76">
        <v>0</v>
      </c>
      <c r="ET33" s="76">
        <v>173683</v>
      </c>
      <c r="EU33" s="76">
        <v>3935</v>
      </c>
      <c r="EV33" s="76">
        <v>-57</v>
      </c>
      <c r="EW33" s="76">
        <v>0</v>
      </c>
      <c r="EX33" s="76">
        <v>0</v>
      </c>
      <c r="EY33" s="76">
        <v>-4019</v>
      </c>
      <c r="EZ33" s="76">
        <v>173542</v>
      </c>
      <c r="FA33" s="76">
        <v>21120</v>
      </c>
      <c r="FB33" s="76">
        <v>2456</v>
      </c>
      <c r="FC33" s="76">
        <v>0</v>
      </c>
      <c r="FD33" s="76">
        <v>0</v>
      </c>
      <c r="FE33" s="76">
        <v>-10</v>
      </c>
      <c r="FF33" s="76">
        <v>0</v>
      </c>
      <c r="FG33" s="76">
        <v>-170</v>
      </c>
      <c r="FH33" s="76">
        <v>23396</v>
      </c>
      <c r="FI33" s="76">
        <v>150146</v>
      </c>
      <c r="FJ33" s="76">
        <v>152563</v>
      </c>
      <c r="FK33" s="76">
        <v>100</v>
      </c>
      <c r="FL33" s="76">
        <v>14</v>
      </c>
      <c r="FM33" s="76">
        <v>86</v>
      </c>
      <c r="FN33" s="76">
        <v>0</v>
      </c>
      <c r="FO33" s="76">
        <v>0</v>
      </c>
      <c r="FP33" s="76">
        <v>0</v>
      </c>
      <c r="FQ33" s="76">
        <v>0</v>
      </c>
      <c r="FR33" s="76">
        <v>0</v>
      </c>
      <c r="FS33" s="76">
        <v>0</v>
      </c>
      <c r="FT33" s="76">
        <v>941</v>
      </c>
      <c r="FU33" s="76">
        <v>180</v>
      </c>
      <c r="FV33" s="76">
        <v>761</v>
      </c>
      <c r="FW33" s="76">
        <v>0</v>
      </c>
      <c r="FX33" s="76">
        <v>0</v>
      </c>
      <c r="FY33" s="76">
        <v>0</v>
      </c>
      <c r="FZ33" s="76">
        <v>319</v>
      </c>
      <c r="GA33" s="76">
        <v>2</v>
      </c>
      <c r="GB33" s="76">
        <v>317</v>
      </c>
      <c r="GC33" s="76">
        <v>1360</v>
      </c>
      <c r="GD33" s="76">
        <v>196</v>
      </c>
      <c r="GE33" s="76">
        <v>1164</v>
      </c>
      <c r="GF33" s="76">
        <v>2149</v>
      </c>
      <c r="GG33" s="76">
        <v>74</v>
      </c>
      <c r="GH33" s="76">
        <v>0</v>
      </c>
      <c r="GI33" s="76">
        <v>0</v>
      </c>
      <c r="GJ33" s="76">
        <v>0</v>
      </c>
      <c r="GK33" s="76">
        <v>588</v>
      </c>
      <c r="GL33" s="76">
        <v>2811</v>
      </c>
      <c r="GM33" s="76">
        <v>253</v>
      </c>
      <c r="GN33" s="76">
        <v>334</v>
      </c>
      <c r="GO33" s="76">
        <v>681</v>
      </c>
      <c r="GP33" s="76">
        <v>64</v>
      </c>
      <c r="GQ33" s="76">
        <v>0</v>
      </c>
      <c r="GR33" s="76">
        <v>2184</v>
      </c>
      <c r="GS33" s="76">
        <v>0</v>
      </c>
      <c r="GT33" s="76">
        <v>0</v>
      </c>
      <c r="GU33" s="76">
        <v>0</v>
      </c>
      <c r="GV33" s="76">
        <v>0</v>
      </c>
      <c r="GW33" s="76">
        <v>546</v>
      </c>
      <c r="GX33" s="76">
        <v>4062</v>
      </c>
      <c r="GY33" s="76">
        <v>15</v>
      </c>
      <c r="GZ33" s="76">
        <v>0</v>
      </c>
      <c r="HA33" s="76">
        <v>0</v>
      </c>
      <c r="HB33" s="76">
        <v>820</v>
      </c>
      <c r="HC33" s="76">
        <v>835</v>
      </c>
      <c r="HD33" s="76">
        <v>0</v>
      </c>
      <c r="HE33" s="76">
        <v>0</v>
      </c>
      <c r="HF33" s="76">
        <v>0</v>
      </c>
      <c r="HG33" s="76">
        <v>4674</v>
      </c>
      <c r="HH33" s="76">
        <v>0</v>
      </c>
      <c r="HI33" s="76">
        <v>155</v>
      </c>
      <c r="HJ33" s="76">
        <v>0</v>
      </c>
      <c r="HK33" s="76">
        <v>0</v>
      </c>
      <c r="HL33" s="76">
        <v>0</v>
      </c>
      <c r="HM33" s="76">
        <v>4829</v>
      </c>
      <c r="HN33" s="76">
        <v>2091</v>
      </c>
      <c r="HO33" s="76">
        <v>3039</v>
      </c>
      <c r="HP33" s="76">
        <v>0</v>
      </c>
      <c r="HQ33" s="76">
        <v>12</v>
      </c>
      <c r="HR33" s="76">
        <v>-3</v>
      </c>
      <c r="HS33" s="76">
        <v>19</v>
      </c>
      <c r="HT33" s="76">
        <v>3939</v>
      </c>
      <c r="HU33" s="76">
        <v>0</v>
      </c>
      <c r="HV33" s="76">
        <v>0</v>
      </c>
      <c r="HW33" s="76">
        <v>0</v>
      </c>
      <c r="HX33" s="76">
        <v>58</v>
      </c>
    </row>
    <row r="34" spans="1:232" x14ac:dyDescent="0.2">
      <c r="A34" s="71" t="s">
        <v>264</v>
      </c>
      <c r="B34" s="71" t="s">
        <v>263</v>
      </c>
      <c r="C34" s="72" t="s">
        <v>200</v>
      </c>
      <c r="D34" s="72">
        <v>12</v>
      </c>
      <c r="E34" s="73">
        <v>119735</v>
      </c>
      <c r="F34" s="73">
        <v>-16612</v>
      </c>
      <c r="G34" s="73">
        <v>-49994</v>
      </c>
      <c r="H34" s="73">
        <v>53129</v>
      </c>
      <c r="I34" s="73">
        <v>8561</v>
      </c>
      <c r="J34" s="73">
        <v>905</v>
      </c>
      <c r="K34" s="73">
        <v>0</v>
      </c>
      <c r="L34" s="73">
        <v>0</v>
      </c>
      <c r="M34" s="73">
        <v>1093</v>
      </c>
      <c r="N34" s="73">
        <v>-34433</v>
      </c>
      <c r="O34" s="73">
        <v>505</v>
      </c>
      <c r="P34" s="73">
        <v>-1967</v>
      </c>
      <c r="Q34" s="73">
        <v>0</v>
      </c>
      <c r="R34" s="73">
        <v>0</v>
      </c>
      <c r="S34" s="73">
        <v>27793</v>
      </c>
      <c r="T34" s="73">
        <v>0</v>
      </c>
      <c r="U34" s="73">
        <v>27793</v>
      </c>
      <c r="V34" s="73">
        <v>0</v>
      </c>
      <c r="W34" s="73">
        <v>-3423</v>
      </c>
      <c r="X34" s="73">
        <v>0</v>
      </c>
      <c r="Y34" s="73">
        <v>0</v>
      </c>
      <c r="Z34" s="73">
        <v>24370</v>
      </c>
      <c r="AA34" s="73">
        <v>78027</v>
      </c>
      <c r="AB34" s="73">
        <v>5679</v>
      </c>
      <c r="AC34" s="73">
        <v>83706</v>
      </c>
      <c r="AD34" s="73">
        <v>0</v>
      </c>
      <c r="AE34" s="73">
        <v>0</v>
      </c>
      <c r="AF34" s="73">
        <v>208</v>
      </c>
      <c r="AG34" s="73">
        <v>0</v>
      </c>
      <c r="AH34" s="73">
        <v>83914</v>
      </c>
      <c r="AI34" s="73">
        <v>15499</v>
      </c>
      <c r="AJ34" s="73">
        <v>4379</v>
      </c>
      <c r="AK34" s="73">
        <v>7386</v>
      </c>
      <c r="AL34" s="73">
        <v>3992</v>
      </c>
      <c r="AM34" s="73">
        <v>0</v>
      </c>
      <c r="AN34" s="73">
        <v>843</v>
      </c>
      <c r="AO34" s="73">
        <v>14439</v>
      </c>
      <c r="AP34" s="73">
        <v>0</v>
      </c>
      <c r="AQ34" s="73">
        <v>0</v>
      </c>
      <c r="AR34" s="73">
        <v>46538</v>
      </c>
      <c r="AS34" s="73">
        <v>37376</v>
      </c>
      <c r="AT34" s="73">
        <v>1053</v>
      </c>
      <c r="AU34" s="73">
        <v>1008232</v>
      </c>
      <c r="AV34" s="73">
        <v>0</v>
      </c>
      <c r="AW34" s="73">
        <v>3394</v>
      </c>
      <c r="AX34" s="73">
        <v>0</v>
      </c>
      <c r="AY34" s="73">
        <v>42945</v>
      </c>
      <c r="AZ34" s="73">
        <v>13365</v>
      </c>
      <c r="BA34" s="73">
        <v>0</v>
      </c>
      <c r="BB34" s="73">
        <v>0</v>
      </c>
      <c r="BC34" s="73">
        <v>0</v>
      </c>
      <c r="BD34" s="73">
        <v>8088</v>
      </c>
      <c r="BE34" s="73">
        <v>1076024</v>
      </c>
      <c r="BF34" s="73">
        <v>12910</v>
      </c>
      <c r="BG34" s="73">
        <v>7332</v>
      </c>
      <c r="BH34" s="73">
        <v>38722</v>
      </c>
      <c r="BI34" s="73">
        <v>13558</v>
      </c>
      <c r="BJ34" s="73">
        <v>2724</v>
      </c>
      <c r="BK34" s="73">
        <v>75246</v>
      </c>
      <c r="BL34" s="73">
        <v>7970</v>
      </c>
      <c r="BM34" s="73">
        <v>0</v>
      </c>
      <c r="BN34" s="73">
        <v>0</v>
      </c>
      <c r="BO34" s="73">
        <v>27044</v>
      </c>
      <c r="BP34" s="73">
        <v>35014</v>
      </c>
      <c r="BQ34" s="73">
        <v>40232</v>
      </c>
      <c r="BR34" s="73">
        <v>1116256</v>
      </c>
      <c r="BS34" s="73">
        <v>538454</v>
      </c>
      <c r="BT34" s="73">
        <v>200000</v>
      </c>
      <c r="BU34" s="73">
        <v>0</v>
      </c>
      <c r="BV34" s="73">
        <v>32737</v>
      </c>
      <c r="BW34" s="73">
        <v>31832</v>
      </c>
      <c r="BX34" s="73">
        <v>66194</v>
      </c>
      <c r="BY34" s="73">
        <v>27504</v>
      </c>
      <c r="BZ34" s="73">
        <v>896721</v>
      </c>
      <c r="CA34" s="73">
        <v>27596</v>
      </c>
      <c r="CB34" s="73">
        <v>0</v>
      </c>
      <c r="CC34" s="73">
        <v>191939</v>
      </c>
      <c r="CD34" s="73">
        <v>191939</v>
      </c>
      <c r="CE34" s="73">
        <v>0</v>
      </c>
      <c r="CF34" s="73">
        <v>0</v>
      </c>
      <c r="CG34" s="73">
        <v>0</v>
      </c>
      <c r="CH34" s="73">
        <v>0</v>
      </c>
      <c r="CI34" s="73">
        <v>191939</v>
      </c>
      <c r="CJ34" s="73">
        <v>20775</v>
      </c>
      <c r="CK34" s="73">
        <v>10456</v>
      </c>
      <c r="CL34" s="73">
        <v>0</v>
      </c>
      <c r="CM34" s="73">
        <v>10319</v>
      </c>
      <c r="CN34" s="73">
        <v>161</v>
      </c>
      <c r="CO34" s="73">
        <v>0</v>
      </c>
      <c r="CP34" s="73">
        <v>161</v>
      </c>
      <c r="CQ34" s="73">
        <v>0</v>
      </c>
      <c r="CR34" s="73">
        <v>6983</v>
      </c>
      <c r="CS34" s="73">
        <v>6156</v>
      </c>
      <c r="CT34" s="73">
        <v>0</v>
      </c>
      <c r="CU34" s="73">
        <v>827</v>
      </c>
      <c r="CV34" s="73">
        <v>0</v>
      </c>
      <c r="CW34" s="73">
        <v>0</v>
      </c>
      <c r="CX34" s="73">
        <v>0</v>
      </c>
      <c r="CY34" s="73">
        <v>0</v>
      </c>
      <c r="CZ34" s="73">
        <v>3685</v>
      </c>
      <c r="DA34" s="73">
        <v>0</v>
      </c>
      <c r="DB34" s="73">
        <v>1315</v>
      </c>
      <c r="DC34" s="73">
        <v>2370</v>
      </c>
      <c r="DD34" s="73">
        <v>31604</v>
      </c>
      <c r="DE34" s="73">
        <v>16612</v>
      </c>
      <c r="DF34" s="73">
        <v>1476</v>
      </c>
      <c r="DG34" s="73">
        <v>13516</v>
      </c>
      <c r="DH34" s="73">
        <v>0</v>
      </c>
      <c r="DI34" s="73">
        <v>0</v>
      </c>
      <c r="DJ34" s="73">
        <v>0</v>
      </c>
      <c r="DK34" s="73">
        <v>0</v>
      </c>
      <c r="DL34" s="73">
        <v>598</v>
      </c>
      <c r="DM34" s="73">
        <v>0</v>
      </c>
      <c r="DN34" s="73">
        <v>283</v>
      </c>
      <c r="DO34" s="73">
        <v>315</v>
      </c>
      <c r="DP34" s="73">
        <v>3603</v>
      </c>
      <c r="DQ34" s="73">
        <v>0</v>
      </c>
      <c r="DR34" s="73">
        <v>1697</v>
      </c>
      <c r="DS34" s="73">
        <v>1906</v>
      </c>
      <c r="DT34" s="73">
        <v>0</v>
      </c>
      <c r="DU34" s="73">
        <v>0</v>
      </c>
      <c r="DV34" s="73">
        <v>0</v>
      </c>
      <c r="DW34" s="73">
        <v>0</v>
      </c>
      <c r="DX34" s="73">
        <v>0</v>
      </c>
      <c r="DY34" s="73">
        <v>0</v>
      </c>
      <c r="DZ34" s="73">
        <v>0</v>
      </c>
      <c r="EA34" s="73">
        <v>0</v>
      </c>
      <c r="EB34" s="73">
        <v>16</v>
      </c>
      <c r="EC34" s="73">
        <v>0</v>
      </c>
      <c r="ED34" s="73">
        <v>0</v>
      </c>
      <c r="EE34" s="73">
        <v>16</v>
      </c>
      <c r="EF34" s="73">
        <v>4217</v>
      </c>
      <c r="EG34" s="73">
        <v>0</v>
      </c>
      <c r="EH34" s="73">
        <v>1980</v>
      </c>
      <c r="EI34" s="73">
        <v>2237</v>
      </c>
      <c r="EJ34" s="73">
        <v>35821</v>
      </c>
      <c r="EK34" s="73">
        <v>16612</v>
      </c>
      <c r="EL34" s="73">
        <v>3456</v>
      </c>
      <c r="EM34" s="73">
        <v>15753</v>
      </c>
      <c r="EN34" s="73">
        <v>3540</v>
      </c>
      <c r="EO34" s="73">
        <v>741</v>
      </c>
      <c r="EP34" s="73">
        <v>2334</v>
      </c>
      <c r="EQ34" s="73">
        <v>741</v>
      </c>
      <c r="ER34" s="73">
        <v>0</v>
      </c>
      <c r="ES34" s="73">
        <v>997793</v>
      </c>
      <c r="ET34" s="73">
        <v>997793</v>
      </c>
      <c r="EU34" s="73">
        <v>80846</v>
      </c>
      <c r="EV34" s="73">
        <v>-12667</v>
      </c>
      <c r="EW34" s="73">
        <v>0</v>
      </c>
      <c r="EX34" s="73">
        <v>0</v>
      </c>
      <c r="EY34" s="73">
        <v>-14104</v>
      </c>
      <c r="EZ34" s="73">
        <v>1051868</v>
      </c>
      <c r="FA34" s="73">
        <v>28336</v>
      </c>
      <c r="FB34" s="73">
        <v>15334</v>
      </c>
      <c r="FC34" s="73">
        <v>0</v>
      </c>
      <c r="FD34" s="73">
        <v>0</v>
      </c>
      <c r="FE34" s="73">
        <v>-34</v>
      </c>
      <c r="FF34" s="73">
        <v>0</v>
      </c>
      <c r="FG34" s="73">
        <v>0</v>
      </c>
      <c r="FH34" s="73">
        <v>43636</v>
      </c>
      <c r="FI34" s="73">
        <v>1008232</v>
      </c>
      <c r="FJ34" s="73">
        <v>969457</v>
      </c>
      <c r="FK34" s="73">
        <v>13414</v>
      </c>
      <c r="FL34" s="73">
        <v>6991</v>
      </c>
      <c r="FM34" s="73">
        <v>6423</v>
      </c>
      <c r="FN34" s="73">
        <v>361</v>
      </c>
      <c r="FO34" s="73">
        <v>231</v>
      </c>
      <c r="FP34" s="73">
        <v>130</v>
      </c>
      <c r="FQ34" s="73">
        <v>0</v>
      </c>
      <c r="FR34" s="73">
        <v>0</v>
      </c>
      <c r="FS34" s="73">
        <v>0</v>
      </c>
      <c r="FT34" s="73">
        <v>7187</v>
      </c>
      <c r="FU34" s="73">
        <v>5179</v>
      </c>
      <c r="FV34" s="73">
        <v>2008</v>
      </c>
      <c r="FW34" s="73">
        <v>0</v>
      </c>
      <c r="FX34" s="73">
        <v>0</v>
      </c>
      <c r="FY34" s="73">
        <v>0</v>
      </c>
      <c r="FZ34" s="73">
        <v>0</v>
      </c>
      <c r="GA34" s="73">
        <v>0</v>
      </c>
      <c r="GB34" s="73">
        <v>0</v>
      </c>
      <c r="GC34" s="73">
        <v>20962</v>
      </c>
      <c r="GD34" s="73">
        <v>12401</v>
      </c>
      <c r="GE34" s="73">
        <v>8561</v>
      </c>
      <c r="GF34" s="73">
        <v>2606</v>
      </c>
      <c r="GG34" s="73">
        <v>118</v>
      </c>
      <c r="GH34" s="73">
        <v>0</v>
      </c>
      <c r="GI34" s="73">
        <v>0</v>
      </c>
      <c r="GJ34" s="73">
        <v>0</v>
      </c>
      <c r="GK34" s="73">
        <v>0</v>
      </c>
      <c r="GL34" s="73">
        <v>2724</v>
      </c>
      <c r="GM34" s="73">
        <v>1580</v>
      </c>
      <c r="GN34" s="73">
        <v>930</v>
      </c>
      <c r="GO34" s="73">
        <v>4552</v>
      </c>
      <c r="GP34" s="73">
        <v>0</v>
      </c>
      <c r="GQ34" s="73">
        <v>308</v>
      </c>
      <c r="GR34" s="73">
        <v>1576</v>
      </c>
      <c r="GS34" s="73">
        <v>0</v>
      </c>
      <c r="GT34" s="73">
        <v>0</v>
      </c>
      <c r="GU34" s="73">
        <v>0</v>
      </c>
      <c r="GV34" s="73">
        <v>0</v>
      </c>
      <c r="GW34" s="73">
        <v>18098</v>
      </c>
      <c r="GX34" s="73">
        <v>27044</v>
      </c>
      <c r="GY34" s="73">
        <v>10793</v>
      </c>
      <c r="GZ34" s="73">
        <v>246</v>
      </c>
      <c r="HA34" s="73">
        <v>0</v>
      </c>
      <c r="HB34" s="73">
        <v>16465</v>
      </c>
      <c r="HC34" s="73">
        <v>27504</v>
      </c>
      <c r="HD34" s="73">
        <v>0</v>
      </c>
      <c r="HE34" s="73">
        <v>0</v>
      </c>
      <c r="HF34" s="73">
        <v>0</v>
      </c>
      <c r="HG34" s="73">
        <v>34366</v>
      </c>
      <c r="HH34" s="73">
        <v>1487</v>
      </c>
      <c r="HI34" s="73">
        <v>757</v>
      </c>
      <c r="HJ34" s="73">
        <v>0</v>
      </c>
      <c r="HK34" s="73">
        <v>0</v>
      </c>
      <c r="HL34" s="73">
        <v>-2177</v>
      </c>
      <c r="HM34" s="73">
        <v>34433</v>
      </c>
      <c r="HN34" s="73">
        <v>11384</v>
      </c>
      <c r="HO34" s="73">
        <v>16418</v>
      </c>
      <c r="HP34" s="73">
        <v>0</v>
      </c>
      <c r="HQ34" s="73">
        <v>471</v>
      </c>
      <c r="HR34" s="73">
        <v>-71</v>
      </c>
      <c r="HS34" s="73">
        <v>-6</v>
      </c>
      <c r="HT34" s="73">
        <v>14622</v>
      </c>
      <c r="HU34" s="73">
        <v>0</v>
      </c>
      <c r="HV34" s="73">
        <v>0</v>
      </c>
      <c r="HW34" s="73">
        <v>-2</v>
      </c>
      <c r="HX34" s="73">
        <v>7</v>
      </c>
    </row>
    <row r="35" spans="1:232" x14ac:dyDescent="0.2">
      <c r="A35" s="74" t="s">
        <v>28</v>
      </c>
      <c r="B35" s="74" t="s">
        <v>27</v>
      </c>
      <c r="C35" s="75" t="s">
        <v>200</v>
      </c>
      <c r="D35" s="75">
        <v>12</v>
      </c>
      <c r="E35" s="76">
        <v>42661</v>
      </c>
      <c r="F35" s="76">
        <v>-2801</v>
      </c>
      <c r="G35" s="76">
        <v>-24728</v>
      </c>
      <c r="H35" s="76">
        <v>15132</v>
      </c>
      <c r="I35" s="76">
        <v>1637</v>
      </c>
      <c r="J35" s="76">
        <v>191</v>
      </c>
      <c r="K35" s="76">
        <v>0</v>
      </c>
      <c r="L35" s="76">
        <v>0</v>
      </c>
      <c r="M35" s="76">
        <v>63</v>
      </c>
      <c r="N35" s="76">
        <v>-5612</v>
      </c>
      <c r="O35" s="76">
        <v>0</v>
      </c>
      <c r="P35" s="76">
        <v>0</v>
      </c>
      <c r="Q35" s="76">
        <v>0</v>
      </c>
      <c r="R35" s="76">
        <v>0</v>
      </c>
      <c r="S35" s="76">
        <v>11411</v>
      </c>
      <c r="T35" s="76">
        <v>0</v>
      </c>
      <c r="U35" s="76">
        <v>11411</v>
      </c>
      <c r="V35" s="76">
        <v>0</v>
      </c>
      <c r="W35" s="76">
        <v>-3364</v>
      </c>
      <c r="X35" s="76">
        <v>0</v>
      </c>
      <c r="Y35" s="76">
        <v>0</v>
      </c>
      <c r="Z35" s="76">
        <v>8047</v>
      </c>
      <c r="AA35" s="76">
        <v>35306</v>
      </c>
      <c r="AB35" s="76">
        <v>1189</v>
      </c>
      <c r="AC35" s="76">
        <v>36495</v>
      </c>
      <c r="AD35" s="76">
        <v>65</v>
      </c>
      <c r="AE35" s="76">
        <v>0</v>
      </c>
      <c r="AF35" s="76">
        <v>0</v>
      </c>
      <c r="AG35" s="76">
        <v>0</v>
      </c>
      <c r="AH35" s="76">
        <v>36560</v>
      </c>
      <c r="AI35" s="76">
        <v>7757</v>
      </c>
      <c r="AJ35" s="76">
        <v>2301</v>
      </c>
      <c r="AK35" s="76">
        <v>3158</v>
      </c>
      <c r="AL35" s="76">
        <v>1118</v>
      </c>
      <c r="AM35" s="76">
        <v>2264</v>
      </c>
      <c r="AN35" s="76">
        <v>178</v>
      </c>
      <c r="AO35" s="76">
        <v>5765</v>
      </c>
      <c r="AP35" s="76">
        <v>435</v>
      </c>
      <c r="AQ35" s="76">
        <v>0</v>
      </c>
      <c r="AR35" s="76">
        <v>22976</v>
      </c>
      <c r="AS35" s="76">
        <v>13584</v>
      </c>
      <c r="AT35" s="76">
        <v>218</v>
      </c>
      <c r="AU35" s="76">
        <v>340722</v>
      </c>
      <c r="AV35" s="76">
        <v>0</v>
      </c>
      <c r="AW35" s="76">
        <v>821</v>
      </c>
      <c r="AX35" s="76">
        <v>399</v>
      </c>
      <c r="AY35" s="76">
        <v>0</v>
      </c>
      <c r="AZ35" s="76">
        <v>0</v>
      </c>
      <c r="BA35" s="76">
        <v>0</v>
      </c>
      <c r="BB35" s="76">
        <v>0</v>
      </c>
      <c r="BC35" s="76">
        <v>0</v>
      </c>
      <c r="BD35" s="76">
        <v>1</v>
      </c>
      <c r="BE35" s="76">
        <v>341943</v>
      </c>
      <c r="BF35" s="76">
        <v>2009</v>
      </c>
      <c r="BG35" s="76">
        <v>685</v>
      </c>
      <c r="BH35" s="76">
        <v>29736</v>
      </c>
      <c r="BI35" s="76">
        <v>0</v>
      </c>
      <c r="BJ35" s="76">
        <v>47382</v>
      </c>
      <c r="BK35" s="76">
        <v>79812</v>
      </c>
      <c r="BL35" s="76">
        <v>0</v>
      </c>
      <c r="BM35" s="76">
        <v>0</v>
      </c>
      <c r="BN35" s="76">
        <v>0</v>
      </c>
      <c r="BO35" s="76">
        <v>8970</v>
      </c>
      <c r="BP35" s="76">
        <v>8970</v>
      </c>
      <c r="BQ35" s="76">
        <v>70842</v>
      </c>
      <c r="BR35" s="76">
        <v>412785</v>
      </c>
      <c r="BS35" s="76">
        <v>129715</v>
      </c>
      <c r="BT35" s="76">
        <v>0</v>
      </c>
      <c r="BU35" s="76">
        <v>0</v>
      </c>
      <c r="BV35" s="76">
        <v>6966</v>
      </c>
      <c r="BW35" s="76">
        <v>0</v>
      </c>
      <c r="BX35" s="76">
        <v>0</v>
      </c>
      <c r="BY35" s="76">
        <v>43963</v>
      </c>
      <c r="BZ35" s="76">
        <v>180644</v>
      </c>
      <c r="CA35" s="76">
        <v>13353</v>
      </c>
      <c r="CB35" s="76">
        <v>0</v>
      </c>
      <c r="CC35" s="76">
        <v>218788</v>
      </c>
      <c r="CD35" s="76">
        <v>73594</v>
      </c>
      <c r="CE35" s="76">
        <v>145194</v>
      </c>
      <c r="CF35" s="76">
        <v>0</v>
      </c>
      <c r="CG35" s="76">
        <v>0</v>
      </c>
      <c r="CH35" s="76">
        <v>0</v>
      </c>
      <c r="CI35" s="76">
        <v>218788</v>
      </c>
      <c r="CJ35" s="76">
        <v>4769</v>
      </c>
      <c r="CK35" s="76">
        <v>2801</v>
      </c>
      <c r="CL35" s="76">
        <v>0</v>
      </c>
      <c r="CM35" s="76">
        <v>1968</v>
      </c>
      <c r="CN35" s="76">
        <v>193</v>
      </c>
      <c r="CO35" s="76">
        <v>0</v>
      </c>
      <c r="CP35" s="76">
        <v>466</v>
      </c>
      <c r="CQ35" s="76">
        <v>-273</v>
      </c>
      <c r="CR35" s="76">
        <v>0</v>
      </c>
      <c r="CS35" s="76">
        <v>0</v>
      </c>
      <c r="CT35" s="76">
        <v>0</v>
      </c>
      <c r="CU35" s="76">
        <v>0</v>
      </c>
      <c r="CV35" s="76">
        <v>0</v>
      </c>
      <c r="CW35" s="76">
        <v>0</v>
      </c>
      <c r="CX35" s="76">
        <v>0</v>
      </c>
      <c r="CY35" s="76">
        <v>0</v>
      </c>
      <c r="CZ35" s="76">
        <v>0</v>
      </c>
      <c r="DA35" s="76">
        <v>0</v>
      </c>
      <c r="DB35" s="76">
        <v>277</v>
      </c>
      <c r="DC35" s="76">
        <v>-277</v>
      </c>
      <c r="DD35" s="76">
        <v>4962</v>
      </c>
      <c r="DE35" s="76">
        <v>2801</v>
      </c>
      <c r="DF35" s="76">
        <v>743</v>
      </c>
      <c r="DG35" s="76">
        <v>1418</v>
      </c>
      <c r="DH35" s="76">
        <v>0</v>
      </c>
      <c r="DI35" s="76">
        <v>0</v>
      </c>
      <c r="DJ35" s="76">
        <v>0</v>
      </c>
      <c r="DK35" s="76">
        <v>0</v>
      </c>
      <c r="DL35" s="76">
        <v>0</v>
      </c>
      <c r="DM35" s="76">
        <v>0</v>
      </c>
      <c r="DN35" s="76">
        <v>0</v>
      </c>
      <c r="DO35" s="76">
        <v>0</v>
      </c>
      <c r="DP35" s="76">
        <v>0</v>
      </c>
      <c r="DQ35" s="76">
        <v>0</v>
      </c>
      <c r="DR35" s="76">
        <v>0</v>
      </c>
      <c r="DS35" s="76">
        <v>0</v>
      </c>
      <c r="DT35" s="76">
        <v>0</v>
      </c>
      <c r="DU35" s="76">
        <v>0</v>
      </c>
      <c r="DV35" s="76">
        <v>0</v>
      </c>
      <c r="DW35" s="76">
        <v>0</v>
      </c>
      <c r="DX35" s="76">
        <v>0</v>
      </c>
      <c r="DY35" s="76">
        <v>0</v>
      </c>
      <c r="DZ35" s="76">
        <v>0</v>
      </c>
      <c r="EA35" s="76">
        <v>0</v>
      </c>
      <c r="EB35" s="76">
        <v>1139</v>
      </c>
      <c r="EC35" s="76">
        <v>0</v>
      </c>
      <c r="ED35" s="76">
        <v>1009</v>
      </c>
      <c r="EE35" s="76">
        <v>130</v>
      </c>
      <c r="EF35" s="76">
        <v>1139</v>
      </c>
      <c r="EG35" s="76">
        <v>0</v>
      </c>
      <c r="EH35" s="76">
        <v>1009</v>
      </c>
      <c r="EI35" s="76">
        <v>130</v>
      </c>
      <c r="EJ35" s="76">
        <v>6101</v>
      </c>
      <c r="EK35" s="76">
        <v>2801</v>
      </c>
      <c r="EL35" s="76">
        <v>1752</v>
      </c>
      <c r="EM35" s="76">
        <v>1548</v>
      </c>
      <c r="EN35" s="76">
        <v>1031</v>
      </c>
      <c r="EO35" s="76">
        <v>549</v>
      </c>
      <c r="EP35" s="76">
        <v>346</v>
      </c>
      <c r="EQ35" s="76">
        <v>549</v>
      </c>
      <c r="ER35" s="76">
        <v>331081</v>
      </c>
      <c r="ES35" s="76">
        <v>0</v>
      </c>
      <c r="ET35" s="76">
        <v>331081</v>
      </c>
      <c r="EU35" s="76">
        <v>28063</v>
      </c>
      <c r="EV35" s="76">
        <v>-1334</v>
      </c>
      <c r="EW35" s="76">
        <v>0</v>
      </c>
      <c r="EX35" s="76">
        <v>0</v>
      </c>
      <c r="EY35" s="76">
        <v>0</v>
      </c>
      <c r="EZ35" s="76">
        <v>357810</v>
      </c>
      <c r="FA35" s="76">
        <v>11008</v>
      </c>
      <c r="FB35" s="76">
        <v>5765</v>
      </c>
      <c r="FC35" s="76">
        <v>435</v>
      </c>
      <c r="FD35" s="76">
        <v>0</v>
      </c>
      <c r="FE35" s="76">
        <v>-120</v>
      </c>
      <c r="FF35" s="76">
        <v>0</v>
      </c>
      <c r="FG35" s="76">
        <v>0</v>
      </c>
      <c r="FH35" s="76">
        <v>17088</v>
      </c>
      <c r="FI35" s="76">
        <v>340722</v>
      </c>
      <c r="FJ35" s="76">
        <v>320073</v>
      </c>
      <c r="FK35" s="76">
        <v>471</v>
      </c>
      <c r="FL35" s="76">
        <v>228</v>
      </c>
      <c r="FM35" s="76">
        <v>243</v>
      </c>
      <c r="FN35" s="76">
        <v>380</v>
      </c>
      <c r="FO35" s="76">
        <v>492</v>
      </c>
      <c r="FP35" s="76">
        <v>-112</v>
      </c>
      <c r="FQ35" s="76">
        <v>308</v>
      </c>
      <c r="FR35" s="76">
        <v>69</v>
      </c>
      <c r="FS35" s="76">
        <v>239</v>
      </c>
      <c r="FT35" s="76">
        <v>1565</v>
      </c>
      <c r="FU35" s="76">
        <v>363</v>
      </c>
      <c r="FV35" s="76">
        <v>1202</v>
      </c>
      <c r="FW35" s="76">
        <v>0</v>
      </c>
      <c r="FX35" s="76">
        <v>0</v>
      </c>
      <c r="FY35" s="76">
        <v>0</v>
      </c>
      <c r="FZ35" s="76">
        <v>168</v>
      </c>
      <c r="GA35" s="76">
        <v>103</v>
      </c>
      <c r="GB35" s="76">
        <v>65</v>
      </c>
      <c r="GC35" s="76">
        <v>2892</v>
      </c>
      <c r="GD35" s="76">
        <v>1255</v>
      </c>
      <c r="GE35" s="76">
        <v>1637</v>
      </c>
      <c r="GF35" s="76">
        <v>191</v>
      </c>
      <c r="GG35" s="76">
        <v>0</v>
      </c>
      <c r="GH35" s="76">
        <v>515</v>
      </c>
      <c r="GI35" s="76">
        <v>43963</v>
      </c>
      <c r="GJ35" s="76">
        <v>0</v>
      </c>
      <c r="GK35" s="76">
        <v>2713</v>
      </c>
      <c r="GL35" s="76">
        <v>47382</v>
      </c>
      <c r="GM35" s="76">
        <v>346</v>
      </c>
      <c r="GN35" s="76">
        <v>0</v>
      </c>
      <c r="GO35" s="76">
        <v>613</v>
      </c>
      <c r="GP35" s="76">
        <v>0</v>
      </c>
      <c r="GQ35" s="76">
        <v>0</v>
      </c>
      <c r="GR35" s="76">
        <v>6096</v>
      </c>
      <c r="GS35" s="76">
        <v>0</v>
      </c>
      <c r="GT35" s="76">
        <v>0</v>
      </c>
      <c r="GU35" s="76">
        <v>0</v>
      </c>
      <c r="GV35" s="76">
        <v>0</v>
      </c>
      <c r="GW35" s="76">
        <v>1915</v>
      </c>
      <c r="GX35" s="76">
        <v>8970</v>
      </c>
      <c r="GY35" s="76">
        <v>0</v>
      </c>
      <c r="GZ35" s="76">
        <v>0</v>
      </c>
      <c r="HA35" s="76">
        <v>0</v>
      </c>
      <c r="HB35" s="76">
        <v>43963</v>
      </c>
      <c r="HC35" s="76">
        <v>43963</v>
      </c>
      <c r="HD35" s="76">
        <v>0</v>
      </c>
      <c r="HE35" s="76">
        <v>0</v>
      </c>
      <c r="HF35" s="76">
        <v>0</v>
      </c>
      <c r="HG35" s="76">
        <v>5951</v>
      </c>
      <c r="HH35" s="76">
        <v>30</v>
      </c>
      <c r="HI35" s="76">
        <v>340</v>
      </c>
      <c r="HJ35" s="76">
        <v>0</v>
      </c>
      <c r="HK35" s="76">
        <v>0</v>
      </c>
      <c r="HL35" s="76">
        <v>-709</v>
      </c>
      <c r="HM35" s="76">
        <v>5612</v>
      </c>
      <c r="HN35" s="76">
        <v>3222</v>
      </c>
      <c r="HO35" s="76">
        <v>6045</v>
      </c>
      <c r="HP35" s="76">
        <v>435</v>
      </c>
      <c r="HQ35" s="76">
        <v>137</v>
      </c>
      <c r="HR35" s="76">
        <v>-21</v>
      </c>
      <c r="HS35" s="76">
        <v>8</v>
      </c>
      <c r="HT35" s="76">
        <v>6174</v>
      </c>
      <c r="HU35" s="76">
        <v>0</v>
      </c>
      <c r="HV35" s="76">
        <v>0</v>
      </c>
      <c r="HW35" s="76">
        <v>0</v>
      </c>
      <c r="HX35" s="76">
        <v>0</v>
      </c>
    </row>
    <row r="36" spans="1:232" x14ac:dyDescent="0.2">
      <c r="A36" s="71" t="s">
        <v>268</v>
      </c>
      <c r="B36" s="71" t="s">
        <v>267</v>
      </c>
      <c r="C36" s="72" t="s">
        <v>200</v>
      </c>
      <c r="D36" s="72">
        <v>12</v>
      </c>
      <c r="E36" s="73">
        <v>36036</v>
      </c>
      <c r="F36" s="73">
        <v>-1535</v>
      </c>
      <c r="G36" s="73">
        <v>-22589</v>
      </c>
      <c r="H36" s="73">
        <v>11912</v>
      </c>
      <c r="I36" s="73">
        <v>165</v>
      </c>
      <c r="J36" s="73">
        <v>0</v>
      </c>
      <c r="K36" s="73">
        <v>-7372</v>
      </c>
      <c r="L36" s="73">
        <v>0</v>
      </c>
      <c r="M36" s="73">
        <v>1017</v>
      </c>
      <c r="N36" s="73">
        <v>-8836</v>
      </c>
      <c r="O36" s="73">
        <v>0</v>
      </c>
      <c r="P36" s="73">
        <v>0</v>
      </c>
      <c r="Q36" s="73">
        <v>0</v>
      </c>
      <c r="R36" s="73">
        <v>0</v>
      </c>
      <c r="S36" s="73">
        <v>-3114</v>
      </c>
      <c r="T36" s="73">
        <v>-18</v>
      </c>
      <c r="U36" s="73">
        <v>-3132</v>
      </c>
      <c r="V36" s="73">
        <v>0</v>
      </c>
      <c r="W36" s="73">
        <v>141</v>
      </c>
      <c r="X36" s="73">
        <v>0</v>
      </c>
      <c r="Y36" s="73">
        <v>0</v>
      </c>
      <c r="Z36" s="73">
        <v>-2991</v>
      </c>
      <c r="AA36" s="73">
        <v>28423</v>
      </c>
      <c r="AB36" s="73">
        <v>1828</v>
      </c>
      <c r="AC36" s="73">
        <v>30251</v>
      </c>
      <c r="AD36" s="73">
        <v>47</v>
      </c>
      <c r="AE36" s="73">
        <v>0</v>
      </c>
      <c r="AF36" s="73">
        <v>0</v>
      </c>
      <c r="AG36" s="73">
        <v>0</v>
      </c>
      <c r="AH36" s="73">
        <v>30298</v>
      </c>
      <c r="AI36" s="73">
        <v>2281</v>
      </c>
      <c r="AJ36" s="73">
        <v>2189</v>
      </c>
      <c r="AK36" s="73">
        <v>4365</v>
      </c>
      <c r="AL36" s="73">
        <v>936</v>
      </c>
      <c r="AM36" s="73">
        <v>2676</v>
      </c>
      <c r="AN36" s="73">
        <v>205</v>
      </c>
      <c r="AO36" s="73">
        <v>5421</v>
      </c>
      <c r="AP36" s="73">
        <v>45</v>
      </c>
      <c r="AQ36" s="73">
        <v>0</v>
      </c>
      <c r="AR36" s="73">
        <v>18118</v>
      </c>
      <c r="AS36" s="73">
        <v>12180</v>
      </c>
      <c r="AT36" s="73">
        <v>582</v>
      </c>
      <c r="AU36" s="73">
        <v>295854</v>
      </c>
      <c r="AV36" s="73">
        <v>0</v>
      </c>
      <c r="AW36" s="73">
        <v>3891</v>
      </c>
      <c r="AX36" s="73">
        <v>0</v>
      </c>
      <c r="AY36" s="73">
        <v>0</v>
      </c>
      <c r="AZ36" s="73">
        <v>3326</v>
      </c>
      <c r="BA36" s="73">
        <v>0</v>
      </c>
      <c r="BB36" s="73">
        <v>0</v>
      </c>
      <c r="BC36" s="73">
        <v>0</v>
      </c>
      <c r="BD36" s="73">
        <v>0</v>
      </c>
      <c r="BE36" s="73">
        <v>303071</v>
      </c>
      <c r="BF36" s="73">
        <v>6148</v>
      </c>
      <c r="BG36" s="73">
        <v>14211</v>
      </c>
      <c r="BH36" s="73">
        <v>1662</v>
      </c>
      <c r="BI36" s="73">
        <v>0</v>
      </c>
      <c r="BJ36" s="73">
        <v>275</v>
      </c>
      <c r="BK36" s="73">
        <v>22296</v>
      </c>
      <c r="BL36" s="73">
        <v>1250</v>
      </c>
      <c r="BM36" s="73">
        <v>0</v>
      </c>
      <c r="BN36" s="73">
        <v>66</v>
      </c>
      <c r="BO36" s="73">
        <v>3996</v>
      </c>
      <c r="BP36" s="73">
        <v>5312</v>
      </c>
      <c r="BQ36" s="73">
        <v>16984</v>
      </c>
      <c r="BR36" s="73">
        <v>320055</v>
      </c>
      <c r="BS36" s="73">
        <v>136266</v>
      </c>
      <c r="BT36" s="73">
        <v>0</v>
      </c>
      <c r="BU36" s="73">
        <v>0</v>
      </c>
      <c r="BV36" s="73">
        <v>6567</v>
      </c>
      <c r="BW36" s="73">
        <v>0</v>
      </c>
      <c r="BX36" s="73">
        <v>0</v>
      </c>
      <c r="BY36" s="73">
        <v>962</v>
      </c>
      <c r="BZ36" s="73">
        <v>143795</v>
      </c>
      <c r="CA36" s="73">
        <v>6155</v>
      </c>
      <c r="CB36" s="73">
        <v>0</v>
      </c>
      <c r="CC36" s="73">
        <v>170105</v>
      </c>
      <c r="CD36" s="73">
        <v>133757</v>
      </c>
      <c r="CE36" s="73">
        <v>42501</v>
      </c>
      <c r="CF36" s="73">
        <v>-6153</v>
      </c>
      <c r="CG36" s="73">
        <v>0</v>
      </c>
      <c r="CH36" s="73">
        <v>0</v>
      </c>
      <c r="CI36" s="73">
        <v>170105</v>
      </c>
      <c r="CJ36" s="73">
        <v>2672</v>
      </c>
      <c r="CK36" s="73">
        <v>1535</v>
      </c>
      <c r="CL36" s="73">
        <v>0</v>
      </c>
      <c r="CM36" s="73">
        <v>1137</v>
      </c>
      <c r="CN36" s="73">
        <v>940</v>
      </c>
      <c r="CO36" s="73">
        <v>0</v>
      </c>
      <c r="CP36" s="73">
        <v>1531</v>
      </c>
      <c r="CQ36" s="73">
        <v>-591</v>
      </c>
      <c r="CR36" s="73">
        <v>253</v>
      </c>
      <c r="CS36" s="73">
        <v>0</v>
      </c>
      <c r="CT36" s="73">
        <v>813</v>
      </c>
      <c r="CU36" s="73">
        <v>-560</v>
      </c>
      <c r="CV36" s="73">
        <v>1331</v>
      </c>
      <c r="CW36" s="73">
        <v>0</v>
      </c>
      <c r="CX36" s="73">
        <v>1706</v>
      </c>
      <c r="CY36" s="73">
        <v>-375</v>
      </c>
      <c r="CZ36" s="73">
        <v>542</v>
      </c>
      <c r="DA36" s="73">
        <v>0</v>
      </c>
      <c r="DB36" s="73">
        <v>420</v>
      </c>
      <c r="DC36" s="73">
        <v>122</v>
      </c>
      <c r="DD36" s="73">
        <v>5738</v>
      </c>
      <c r="DE36" s="73">
        <v>1535</v>
      </c>
      <c r="DF36" s="73">
        <v>4470</v>
      </c>
      <c r="DG36" s="73">
        <v>-267</v>
      </c>
      <c r="DH36" s="73">
        <v>0</v>
      </c>
      <c r="DI36" s="73">
        <v>0</v>
      </c>
      <c r="DJ36" s="73">
        <v>0</v>
      </c>
      <c r="DK36" s="73">
        <v>0</v>
      </c>
      <c r="DL36" s="73">
        <v>0</v>
      </c>
      <c r="DM36" s="73">
        <v>0</v>
      </c>
      <c r="DN36" s="73">
        <v>0</v>
      </c>
      <c r="DO36" s="73">
        <v>0</v>
      </c>
      <c r="DP36" s="73">
        <v>0</v>
      </c>
      <c r="DQ36" s="73">
        <v>0</v>
      </c>
      <c r="DR36" s="73">
        <v>0</v>
      </c>
      <c r="DS36" s="73">
        <v>0</v>
      </c>
      <c r="DT36" s="73">
        <v>0</v>
      </c>
      <c r="DU36" s="73">
        <v>0</v>
      </c>
      <c r="DV36" s="73">
        <v>0</v>
      </c>
      <c r="DW36" s="73">
        <v>0</v>
      </c>
      <c r="DX36" s="73">
        <v>0</v>
      </c>
      <c r="DY36" s="73">
        <v>0</v>
      </c>
      <c r="DZ36" s="73">
        <v>0</v>
      </c>
      <c r="EA36" s="73">
        <v>0</v>
      </c>
      <c r="EB36" s="73">
        <v>0</v>
      </c>
      <c r="EC36" s="73">
        <v>0</v>
      </c>
      <c r="ED36" s="73">
        <v>0</v>
      </c>
      <c r="EE36" s="73">
        <v>0</v>
      </c>
      <c r="EF36" s="73">
        <v>0</v>
      </c>
      <c r="EG36" s="73">
        <v>0</v>
      </c>
      <c r="EH36" s="73">
        <v>0</v>
      </c>
      <c r="EI36" s="73">
        <v>0</v>
      </c>
      <c r="EJ36" s="73">
        <v>5738</v>
      </c>
      <c r="EK36" s="73">
        <v>1535</v>
      </c>
      <c r="EL36" s="73">
        <v>4470</v>
      </c>
      <c r="EM36" s="73">
        <v>-267</v>
      </c>
      <c r="EN36" s="73">
        <v>1209</v>
      </c>
      <c r="EO36" s="73">
        <v>290</v>
      </c>
      <c r="EP36" s="73">
        <v>187</v>
      </c>
      <c r="EQ36" s="73">
        <v>290</v>
      </c>
      <c r="ER36" s="73">
        <v>294610</v>
      </c>
      <c r="ES36" s="73">
        <v>0</v>
      </c>
      <c r="ET36" s="73">
        <v>294610</v>
      </c>
      <c r="EU36" s="73">
        <v>17751</v>
      </c>
      <c r="EV36" s="73">
        <v>-1943</v>
      </c>
      <c r="EW36" s="73">
        <v>0</v>
      </c>
      <c r="EX36" s="73">
        <v>0</v>
      </c>
      <c r="EY36" s="73">
        <v>0</v>
      </c>
      <c r="EZ36" s="73">
        <v>310418</v>
      </c>
      <c r="FA36" s="73">
        <v>9262</v>
      </c>
      <c r="FB36" s="73">
        <v>5421</v>
      </c>
      <c r="FC36" s="73">
        <v>0</v>
      </c>
      <c r="FD36" s="73">
        <v>0</v>
      </c>
      <c r="FE36" s="73">
        <v>-119</v>
      </c>
      <c r="FF36" s="73">
        <v>0</v>
      </c>
      <c r="FG36" s="73">
        <v>0</v>
      </c>
      <c r="FH36" s="73">
        <v>14564</v>
      </c>
      <c r="FI36" s="73">
        <v>295854</v>
      </c>
      <c r="FJ36" s="73">
        <v>285348</v>
      </c>
      <c r="FK36" s="73">
        <v>0</v>
      </c>
      <c r="FL36" s="73">
        <v>0</v>
      </c>
      <c r="FM36" s="73">
        <v>0</v>
      </c>
      <c r="FN36" s="73">
        <v>280</v>
      </c>
      <c r="FO36" s="73">
        <v>232</v>
      </c>
      <c r="FP36" s="73">
        <v>48</v>
      </c>
      <c r="FQ36" s="73">
        <v>0</v>
      </c>
      <c r="FR36" s="73">
        <v>0</v>
      </c>
      <c r="FS36" s="73">
        <v>0</v>
      </c>
      <c r="FT36" s="73">
        <v>505</v>
      </c>
      <c r="FU36" s="73">
        <v>387</v>
      </c>
      <c r="FV36" s="73">
        <v>118</v>
      </c>
      <c r="FW36" s="73">
        <v>0</v>
      </c>
      <c r="FX36" s="73">
        <v>0</v>
      </c>
      <c r="FY36" s="73">
        <v>0</v>
      </c>
      <c r="FZ36" s="73">
        <v>0</v>
      </c>
      <c r="GA36" s="73">
        <v>0</v>
      </c>
      <c r="GB36" s="73">
        <v>0</v>
      </c>
      <c r="GC36" s="73">
        <v>785</v>
      </c>
      <c r="GD36" s="73">
        <v>619</v>
      </c>
      <c r="GE36" s="73">
        <v>166</v>
      </c>
      <c r="GF36" s="73">
        <v>0</v>
      </c>
      <c r="GG36" s="73">
        <v>0</v>
      </c>
      <c r="GH36" s="73">
        <v>0</v>
      </c>
      <c r="GI36" s="73">
        <v>0</v>
      </c>
      <c r="GJ36" s="73">
        <v>0</v>
      </c>
      <c r="GK36" s="73">
        <v>275</v>
      </c>
      <c r="GL36" s="73">
        <v>275</v>
      </c>
      <c r="GM36" s="73">
        <v>274</v>
      </c>
      <c r="GN36" s="73">
        <v>305</v>
      </c>
      <c r="GO36" s="73">
        <v>540</v>
      </c>
      <c r="GP36" s="73">
        <v>0</v>
      </c>
      <c r="GQ36" s="73">
        <v>0</v>
      </c>
      <c r="GR36" s="73">
        <v>2418</v>
      </c>
      <c r="GS36" s="73">
        <v>0</v>
      </c>
      <c r="GT36" s="73">
        <v>0</v>
      </c>
      <c r="GU36" s="73">
        <v>0</v>
      </c>
      <c r="GV36" s="73">
        <v>0</v>
      </c>
      <c r="GW36" s="73">
        <v>459</v>
      </c>
      <c r="GX36" s="73">
        <v>3996</v>
      </c>
      <c r="GY36" s="73">
        <v>97</v>
      </c>
      <c r="GZ36" s="73">
        <v>0</v>
      </c>
      <c r="HA36" s="73">
        <v>0</v>
      </c>
      <c r="HB36" s="73">
        <v>865</v>
      </c>
      <c r="HC36" s="73">
        <v>962</v>
      </c>
      <c r="HD36" s="73">
        <v>0</v>
      </c>
      <c r="HE36" s="73">
        <v>0</v>
      </c>
      <c r="HF36" s="73">
        <v>0</v>
      </c>
      <c r="HG36" s="73">
        <v>6341</v>
      </c>
      <c r="HH36" s="73">
        <v>0</v>
      </c>
      <c r="HI36" s="73">
        <v>236</v>
      </c>
      <c r="HJ36" s="73">
        <v>0</v>
      </c>
      <c r="HK36" s="73">
        <v>2406</v>
      </c>
      <c r="HL36" s="73">
        <v>-147</v>
      </c>
      <c r="HM36" s="73">
        <v>8836</v>
      </c>
      <c r="HN36" s="73">
        <v>2986</v>
      </c>
      <c r="HO36" s="73">
        <v>5939</v>
      </c>
      <c r="HP36" s="73">
        <v>45</v>
      </c>
      <c r="HQ36" s="73">
        <v>232</v>
      </c>
      <c r="HR36" s="73">
        <v>-17</v>
      </c>
      <c r="HS36" s="73">
        <v>0</v>
      </c>
      <c r="HT36" s="73">
        <v>6071</v>
      </c>
      <c r="HU36" s="73">
        <v>0</v>
      </c>
      <c r="HV36" s="73">
        <v>0</v>
      </c>
      <c r="HW36" s="73">
        <v>0</v>
      </c>
      <c r="HX36" s="73">
        <v>0</v>
      </c>
    </row>
    <row r="37" spans="1:232" x14ac:dyDescent="0.2">
      <c r="A37" s="74" t="s">
        <v>30</v>
      </c>
      <c r="B37" s="74" t="s">
        <v>29</v>
      </c>
      <c r="C37" s="75" t="s">
        <v>200</v>
      </c>
      <c r="D37" s="75">
        <v>12</v>
      </c>
      <c r="E37" s="76">
        <v>27288</v>
      </c>
      <c r="F37" s="76">
        <v>-468</v>
      </c>
      <c r="G37" s="76">
        <v>-17702</v>
      </c>
      <c r="H37" s="76">
        <v>9118</v>
      </c>
      <c r="I37" s="76">
        <v>216</v>
      </c>
      <c r="J37" s="76">
        <v>0</v>
      </c>
      <c r="K37" s="76">
        <v>34</v>
      </c>
      <c r="L37" s="76">
        <v>0</v>
      </c>
      <c r="M37" s="76">
        <v>124</v>
      </c>
      <c r="N37" s="76">
        <v>-6091</v>
      </c>
      <c r="O37" s="76">
        <v>0</v>
      </c>
      <c r="P37" s="76">
        <v>0</v>
      </c>
      <c r="Q37" s="76">
        <v>0</v>
      </c>
      <c r="R37" s="76">
        <v>0</v>
      </c>
      <c r="S37" s="76">
        <v>3401</v>
      </c>
      <c r="T37" s="76">
        <v>0</v>
      </c>
      <c r="U37" s="76">
        <v>3401</v>
      </c>
      <c r="V37" s="76">
        <v>0</v>
      </c>
      <c r="W37" s="76">
        <v>0</v>
      </c>
      <c r="X37" s="76">
        <v>0</v>
      </c>
      <c r="Y37" s="76">
        <v>0</v>
      </c>
      <c r="Z37" s="76">
        <v>3401</v>
      </c>
      <c r="AA37" s="76">
        <v>23131</v>
      </c>
      <c r="AB37" s="76">
        <v>2297</v>
      </c>
      <c r="AC37" s="76">
        <v>25428</v>
      </c>
      <c r="AD37" s="76">
        <v>1006</v>
      </c>
      <c r="AE37" s="76">
        <v>0</v>
      </c>
      <c r="AF37" s="76">
        <v>0</v>
      </c>
      <c r="AG37" s="76">
        <v>0</v>
      </c>
      <c r="AH37" s="76">
        <v>26434</v>
      </c>
      <c r="AI37" s="76">
        <v>4541</v>
      </c>
      <c r="AJ37" s="76">
        <v>2283</v>
      </c>
      <c r="AK37" s="76">
        <v>4423</v>
      </c>
      <c r="AL37" s="76">
        <v>172</v>
      </c>
      <c r="AM37" s="76">
        <v>1663</v>
      </c>
      <c r="AN37" s="76">
        <v>188</v>
      </c>
      <c r="AO37" s="76">
        <v>4104</v>
      </c>
      <c r="AP37" s="76">
        <v>0</v>
      </c>
      <c r="AQ37" s="76">
        <v>0</v>
      </c>
      <c r="AR37" s="76">
        <v>17374</v>
      </c>
      <c r="AS37" s="76">
        <v>9060</v>
      </c>
      <c r="AT37" s="76">
        <v>262</v>
      </c>
      <c r="AU37" s="76">
        <v>260439</v>
      </c>
      <c r="AV37" s="76">
        <v>0</v>
      </c>
      <c r="AW37" s="76">
        <v>2572</v>
      </c>
      <c r="AX37" s="76">
        <v>0</v>
      </c>
      <c r="AY37" s="76">
        <v>0</v>
      </c>
      <c r="AZ37" s="76">
        <v>1031</v>
      </c>
      <c r="BA37" s="76">
        <v>0</v>
      </c>
      <c r="BB37" s="76">
        <v>0</v>
      </c>
      <c r="BC37" s="76">
        <v>0</v>
      </c>
      <c r="BD37" s="76">
        <v>158</v>
      </c>
      <c r="BE37" s="76">
        <v>264200</v>
      </c>
      <c r="BF37" s="76">
        <v>3106</v>
      </c>
      <c r="BG37" s="76">
        <v>2601</v>
      </c>
      <c r="BH37" s="76">
        <v>14308</v>
      </c>
      <c r="BI37" s="76">
        <v>0</v>
      </c>
      <c r="BJ37" s="76">
        <v>0</v>
      </c>
      <c r="BK37" s="76">
        <v>20015</v>
      </c>
      <c r="BL37" s="76">
        <v>4614</v>
      </c>
      <c r="BM37" s="76">
        <v>0</v>
      </c>
      <c r="BN37" s="76">
        <v>0</v>
      </c>
      <c r="BO37" s="76">
        <v>4359</v>
      </c>
      <c r="BP37" s="76">
        <v>8973</v>
      </c>
      <c r="BQ37" s="76">
        <v>11042</v>
      </c>
      <c r="BR37" s="76">
        <v>275242</v>
      </c>
      <c r="BS37" s="76">
        <v>136568</v>
      </c>
      <c r="BT37" s="76">
        <v>0</v>
      </c>
      <c r="BU37" s="76">
        <v>0</v>
      </c>
      <c r="BV37" s="76">
        <v>117074</v>
      </c>
      <c r="BW37" s="76">
        <v>0</v>
      </c>
      <c r="BX37" s="76">
        <v>0</v>
      </c>
      <c r="BY37" s="76">
        <v>496</v>
      </c>
      <c r="BZ37" s="76">
        <v>254138</v>
      </c>
      <c r="CA37" s="76">
        <v>2543</v>
      </c>
      <c r="CB37" s="76">
        <v>0</v>
      </c>
      <c r="CC37" s="76">
        <v>18561</v>
      </c>
      <c r="CD37" s="76">
        <v>18374</v>
      </c>
      <c r="CE37" s="76">
        <v>35</v>
      </c>
      <c r="CF37" s="76">
        <v>95</v>
      </c>
      <c r="CG37" s="76">
        <v>0</v>
      </c>
      <c r="CH37" s="76">
        <v>57</v>
      </c>
      <c r="CI37" s="76">
        <v>18561</v>
      </c>
      <c r="CJ37" s="76">
        <v>572</v>
      </c>
      <c r="CK37" s="76">
        <v>468</v>
      </c>
      <c r="CL37" s="76">
        <v>0</v>
      </c>
      <c r="CM37" s="76">
        <v>104</v>
      </c>
      <c r="CN37" s="76">
        <v>134</v>
      </c>
      <c r="CO37" s="76">
        <v>0</v>
      </c>
      <c r="CP37" s="76">
        <v>102</v>
      </c>
      <c r="CQ37" s="76">
        <v>32</v>
      </c>
      <c r="CR37" s="76">
        <v>19</v>
      </c>
      <c r="CS37" s="76">
        <v>0</v>
      </c>
      <c r="CT37" s="76">
        <v>226</v>
      </c>
      <c r="CU37" s="76">
        <v>-207</v>
      </c>
      <c r="CV37" s="76">
        <v>0</v>
      </c>
      <c r="CW37" s="76">
        <v>0</v>
      </c>
      <c r="CX37" s="76">
        <v>0</v>
      </c>
      <c r="CY37" s="76">
        <v>0</v>
      </c>
      <c r="CZ37" s="76">
        <v>129</v>
      </c>
      <c r="DA37" s="76">
        <v>0</v>
      </c>
      <c r="DB37" s="76">
        <v>0</v>
      </c>
      <c r="DC37" s="76">
        <v>129</v>
      </c>
      <c r="DD37" s="76">
        <v>854</v>
      </c>
      <c r="DE37" s="76">
        <v>468</v>
      </c>
      <c r="DF37" s="76">
        <v>328</v>
      </c>
      <c r="DG37" s="76">
        <v>58</v>
      </c>
      <c r="DH37" s="76">
        <v>0</v>
      </c>
      <c r="DI37" s="76">
        <v>0</v>
      </c>
      <c r="DJ37" s="76">
        <v>0</v>
      </c>
      <c r="DK37" s="76">
        <v>0</v>
      </c>
      <c r="DL37" s="76">
        <v>0</v>
      </c>
      <c r="DM37" s="76">
        <v>0</v>
      </c>
      <c r="DN37" s="76">
        <v>0</v>
      </c>
      <c r="DO37" s="76">
        <v>0</v>
      </c>
      <c r="DP37" s="76">
        <v>0</v>
      </c>
      <c r="DQ37" s="76">
        <v>0</v>
      </c>
      <c r="DR37" s="76">
        <v>0</v>
      </c>
      <c r="DS37" s="76">
        <v>0</v>
      </c>
      <c r="DT37" s="76">
        <v>0</v>
      </c>
      <c r="DU37" s="76">
        <v>0</v>
      </c>
      <c r="DV37" s="76">
        <v>0</v>
      </c>
      <c r="DW37" s="76">
        <v>0</v>
      </c>
      <c r="DX37" s="76">
        <v>0</v>
      </c>
      <c r="DY37" s="76">
        <v>0</v>
      </c>
      <c r="DZ37" s="76">
        <v>0</v>
      </c>
      <c r="EA37" s="76">
        <v>0</v>
      </c>
      <c r="EB37" s="76">
        <v>0</v>
      </c>
      <c r="EC37" s="76">
        <v>0</v>
      </c>
      <c r="ED37" s="76">
        <v>0</v>
      </c>
      <c r="EE37" s="76">
        <v>0</v>
      </c>
      <c r="EF37" s="76">
        <v>0</v>
      </c>
      <c r="EG37" s="76">
        <v>0</v>
      </c>
      <c r="EH37" s="76">
        <v>0</v>
      </c>
      <c r="EI37" s="76">
        <v>0</v>
      </c>
      <c r="EJ37" s="76">
        <v>854</v>
      </c>
      <c r="EK37" s="76">
        <v>468</v>
      </c>
      <c r="EL37" s="76">
        <v>328</v>
      </c>
      <c r="EM37" s="76">
        <v>58</v>
      </c>
      <c r="EN37" s="76">
        <v>1057</v>
      </c>
      <c r="EO37" s="76">
        <v>271</v>
      </c>
      <c r="EP37" s="76">
        <v>127</v>
      </c>
      <c r="EQ37" s="76">
        <v>271</v>
      </c>
      <c r="ER37" s="76">
        <v>315330</v>
      </c>
      <c r="ES37" s="76">
        <v>0</v>
      </c>
      <c r="ET37" s="76">
        <v>315330</v>
      </c>
      <c r="EU37" s="76">
        <v>3840</v>
      </c>
      <c r="EV37" s="76">
        <v>-1049</v>
      </c>
      <c r="EW37" s="76">
        <v>0</v>
      </c>
      <c r="EX37" s="76">
        <v>0</v>
      </c>
      <c r="EY37" s="76">
        <v>-3124</v>
      </c>
      <c r="EZ37" s="76">
        <v>314997</v>
      </c>
      <c r="FA37" s="76">
        <v>51160</v>
      </c>
      <c r="FB37" s="76">
        <v>3908</v>
      </c>
      <c r="FC37" s="76">
        <v>0</v>
      </c>
      <c r="FD37" s="76">
        <v>0</v>
      </c>
      <c r="FE37" s="76">
        <v>-510</v>
      </c>
      <c r="FF37" s="76">
        <v>0</v>
      </c>
      <c r="FG37" s="76">
        <v>0</v>
      </c>
      <c r="FH37" s="76">
        <v>54558</v>
      </c>
      <c r="FI37" s="76">
        <v>260439</v>
      </c>
      <c r="FJ37" s="76">
        <v>264170</v>
      </c>
      <c r="FK37" s="76">
        <v>196</v>
      </c>
      <c r="FL37" s="76">
        <v>80</v>
      </c>
      <c r="FM37" s="76">
        <v>116</v>
      </c>
      <c r="FN37" s="76">
        <v>0</v>
      </c>
      <c r="FO37" s="76">
        <v>0</v>
      </c>
      <c r="FP37" s="76">
        <v>0</v>
      </c>
      <c r="FQ37" s="76">
        <v>0</v>
      </c>
      <c r="FR37" s="76">
        <v>0</v>
      </c>
      <c r="FS37" s="76">
        <v>0</v>
      </c>
      <c r="FT37" s="76">
        <v>261</v>
      </c>
      <c r="FU37" s="76">
        <v>161</v>
      </c>
      <c r="FV37" s="76">
        <v>100</v>
      </c>
      <c r="FW37" s="76">
        <v>0</v>
      </c>
      <c r="FX37" s="76">
        <v>0</v>
      </c>
      <c r="FY37" s="76">
        <v>0</v>
      </c>
      <c r="FZ37" s="76">
        <v>0</v>
      </c>
      <c r="GA37" s="76">
        <v>0</v>
      </c>
      <c r="GB37" s="76">
        <v>0</v>
      </c>
      <c r="GC37" s="76">
        <v>457</v>
      </c>
      <c r="GD37" s="76">
        <v>241</v>
      </c>
      <c r="GE37" s="76">
        <v>216</v>
      </c>
      <c r="GF37" s="76">
        <v>0</v>
      </c>
      <c r="GG37" s="76">
        <v>0</v>
      </c>
      <c r="GH37" s="76">
        <v>0</v>
      </c>
      <c r="GI37" s="76">
        <v>0</v>
      </c>
      <c r="GJ37" s="76">
        <v>0</v>
      </c>
      <c r="GK37" s="76">
        <v>0</v>
      </c>
      <c r="GL37" s="76">
        <v>0</v>
      </c>
      <c r="GM37" s="76">
        <v>682</v>
      </c>
      <c r="GN37" s="76">
        <v>702</v>
      </c>
      <c r="GO37" s="76">
        <v>93</v>
      </c>
      <c r="GP37" s="76">
        <v>0</v>
      </c>
      <c r="GQ37" s="76">
        <v>0</v>
      </c>
      <c r="GR37" s="76">
        <v>2195</v>
      </c>
      <c r="GS37" s="76">
        <v>0</v>
      </c>
      <c r="GT37" s="76">
        <v>0</v>
      </c>
      <c r="GU37" s="76">
        <v>393</v>
      </c>
      <c r="GV37" s="76">
        <v>0</v>
      </c>
      <c r="GW37" s="76">
        <v>294</v>
      </c>
      <c r="GX37" s="76">
        <v>4359</v>
      </c>
      <c r="GY37" s="76">
        <v>317</v>
      </c>
      <c r="GZ37" s="76">
        <v>179</v>
      </c>
      <c r="HA37" s="76">
        <v>0</v>
      </c>
      <c r="HB37" s="76">
        <v>0</v>
      </c>
      <c r="HC37" s="76">
        <v>496</v>
      </c>
      <c r="HD37" s="76">
        <v>0</v>
      </c>
      <c r="HE37" s="76">
        <v>0</v>
      </c>
      <c r="HF37" s="76">
        <v>0</v>
      </c>
      <c r="HG37" s="76">
        <v>6387</v>
      </c>
      <c r="HH37" s="76">
        <v>66</v>
      </c>
      <c r="HI37" s="76">
        <v>0</v>
      </c>
      <c r="HJ37" s="76">
        <v>0</v>
      </c>
      <c r="HK37" s="76">
        <v>0</v>
      </c>
      <c r="HL37" s="76">
        <v>-362</v>
      </c>
      <c r="HM37" s="76">
        <v>6091</v>
      </c>
      <c r="HN37" s="76">
        <v>1458</v>
      </c>
      <c r="HO37" s="76">
        <v>4717</v>
      </c>
      <c r="HP37" s="76">
        <v>0</v>
      </c>
      <c r="HQ37" s="76">
        <v>8</v>
      </c>
      <c r="HR37" s="76">
        <v>-12</v>
      </c>
      <c r="HS37" s="76">
        <v>-27</v>
      </c>
      <c r="HT37" s="76">
        <v>4915</v>
      </c>
      <c r="HU37" s="76">
        <v>0</v>
      </c>
      <c r="HV37" s="76">
        <v>0</v>
      </c>
      <c r="HW37" s="76">
        <v>-4</v>
      </c>
      <c r="HX37" s="76">
        <v>15</v>
      </c>
    </row>
    <row r="38" spans="1:232" x14ac:dyDescent="0.2">
      <c r="A38" s="74" t="s">
        <v>270</v>
      </c>
      <c r="B38" s="74" t="s">
        <v>271</v>
      </c>
      <c r="C38" s="75" t="s">
        <v>200</v>
      </c>
      <c r="D38" s="75">
        <v>12</v>
      </c>
      <c r="E38" s="76">
        <v>4563</v>
      </c>
      <c r="F38" s="76">
        <v>-114</v>
      </c>
      <c r="G38" s="76">
        <v>-1614</v>
      </c>
      <c r="H38" s="76">
        <v>2835</v>
      </c>
      <c r="I38" s="76">
        <v>3139</v>
      </c>
      <c r="J38" s="76">
        <v>0</v>
      </c>
      <c r="K38" s="76">
        <v>0</v>
      </c>
      <c r="L38" s="76">
        <v>0</v>
      </c>
      <c r="M38" s="76">
        <v>1</v>
      </c>
      <c r="N38" s="76">
        <v>-265</v>
      </c>
      <c r="O38" s="76">
        <v>-149</v>
      </c>
      <c r="P38" s="76">
        <v>0</v>
      </c>
      <c r="Q38" s="76">
        <v>0</v>
      </c>
      <c r="R38" s="76">
        <v>0</v>
      </c>
      <c r="S38" s="76">
        <v>5561</v>
      </c>
      <c r="T38" s="76">
        <v>-986</v>
      </c>
      <c r="U38" s="76">
        <v>4575</v>
      </c>
      <c r="V38" s="76">
        <v>0</v>
      </c>
      <c r="W38" s="76">
        <v>0</v>
      </c>
      <c r="X38" s="76">
        <v>0</v>
      </c>
      <c r="Y38" s="76">
        <v>0</v>
      </c>
      <c r="Z38" s="76">
        <v>4575</v>
      </c>
      <c r="AA38" s="76">
        <v>3323</v>
      </c>
      <c r="AB38" s="76">
        <v>638</v>
      </c>
      <c r="AC38" s="76">
        <v>3961</v>
      </c>
      <c r="AD38" s="76">
        <v>140</v>
      </c>
      <c r="AE38" s="76">
        <v>0</v>
      </c>
      <c r="AF38" s="76">
        <v>0</v>
      </c>
      <c r="AG38" s="76">
        <v>0</v>
      </c>
      <c r="AH38" s="76">
        <v>4101</v>
      </c>
      <c r="AI38" s="76">
        <v>855</v>
      </c>
      <c r="AJ38" s="76">
        <v>411</v>
      </c>
      <c r="AK38" s="76">
        <v>11</v>
      </c>
      <c r="AL38" s="76">
        <v>38</v>
      </c>
      <c r="AM38" s="76">
        <v>23</v>
      </c>
      <c r="AN38" s="76">
        <v>0</v>
      </c>
      <c r="AO38" s="76">
        <v>225</v>
      </c>
      <c r="AP38" s="76">
        <v>0</v>
      </c>
      <c r="AQ38" s="76">
        <v>0</v>
      </c>
      <c r="AR38" s="76">
        <v>1563</v>
      </c>
      <c r="AS38" s="76">
        <v>2538</v>
      </c>
      <c r="AT38" s="76">
        <v>2</v>
      </c>
      <c r="AU38" s="76">
        <v>37272</v>
      </c>
      <c r="AV38" s="76">
        <v>0</v>
      </c>
      <c r="AW38" s="76">
        <v>0</v>
      </c>
      <c r="AX38" s="76">
        <v>0</v>
      </c>
      <c r="AY38" s="76">
        <v>699</v>
      </c>
      <c r="AZ38" s="76">
        <v>1074</v>
      </c>
      <c r="BA38" s="76">
        <v>0</v>
      </c>
      <c r="BB38" s="76">
        <v>0</v>
      </c>
      <c r="BC38" s="76">
        <v>0</v>
      </c>
      <c r="BD38" s="76">
        <v>0</v>
      </c>
      <c r="BE38" s="76">
        <v>39045</v>
      </c>
      <c r="BF38" s="76">
        <v>4154</v>
      </c>
      <c r="BG38" s="76">
        <v>45</v>
      </c>
      <c r="BH38" s="76">
        <v>579</v>
      </c>
      <c r="BI38" s="76">
        <v>0</v>
      </c>
      <c r="BJ38" s="76">
        <v>4296</v>
      </c>
      <c r="BK38" s="76">
        <v>9074</v>
      </c>
      <c r="BL38" s="76">
        <v>0</v>
      </c>
      <c r="BM38" s="76">
        <v>0</v>
      </c>
      <c r="BN38" s="76">
        <v>137</v>
      </c>
      <c r="BO38" s="76">
        <v>2387</v>
      </c>
      <c r="BP38" s="76">
        <v>2524</v>
      </c>
      <c r="BQ38" s="76">
        <v>6550</v>
      </c>
      <c r="BR38" s="76">
        <v>45595</v>
      </c>
      <c r="BS38" s="76">
        <v>5837</v>
      </c>
      <c r="BT38" s="76">
        <v>20151</v>
      </c>
      <c r="BU38" s="76">
        <v>0</v>
      </c>
      <c r="BV38" s="76">
        <v>16199</v>
      </c>
      <c r="BW38" s="76">
        <v>0</v>
      </c>
      <c r="BX38" s="76">
        <v>0</v>
      </c>
      <c r="BY38" s="76">
        <v>2040</v>
      </c>
      <c r="BZ38" s="76">
        <v>44227</v>
      </c>
      <c r="CA38" s="76">
        <v>0</v>
      </c>
      <c r="CB38" s="76">
        <v>0</v>
      </c>
      <c r="CC38" s="76">
        <v>1368</v>
      </c>
      <c r="CD38" s="76">
        <v>1368</v>
      </c>
      <c r="CE38" s="76">
        <v>0</v>
      </c>
      <c r="CF38" s="76">
        <v>0</v>
      </c>
      <c r="CG38" s="76">
        <v>0</v>
      </c>
      <c r="CH38" s="76">
        <v>0</v>
      </c>
      <c r="CI38" s="76">
        <v>1368</v>
      </c>
      <c r="CJ38" s="76">
        <v>0</v>
      </c>
      <c r="CK38" s="76">
        <v>0</v>
      </c>
      <c r="CL38" s="76">
        <v>0</v>
      </c>
      <c r="CM38" s="76">
        <v>0</v>
      </c>
      <c r="CN38" s="76">
        <v>0</v>
      </c>
      <c r="CO38" s="76">
        <v>0</v>
      </c>
      <c r="CP38" s="76">
        <v>0</v>
      </c>
      <c r="CQ38" s="76">
        <v>0</v>
      </c>
      <c r="CR38" s="76">
        <v>0</v>
      </c>
      <c r="CS38" s="76">
        <v>0</v>
      </c>
      <c r="CT38" s="76">
        <v>0</v>
      </c>
      <c r="CU38" s="76">
        <v>0</v>
      </c>
      <c r="CV38" s="76">
        <v>0</v>
      </c>
      <c r="CW38" s="76">
        <v>0</v>
      </c>
      <c r="CX38" s="76">
        <v>0</v>
      </c>
      <c r="CY38" s="76">
        <v>0</v>
      </c>
      <c r="CZ38" s="76">
        <v>103</v>
      </c>
      <c r="DA38" s="76">
        <v>0</v>
      </c>
      <c r="DB38" s="76">
        <v>0</v>
      </c>
      <c r="DC38" s="76">
        <v>103</v>
      </c>
      <c r="DD38" s="76">
        <v>103</v>
      </c>
      <c r="DE38" s="76">
        <v>0</v>
      </c>
      <c r="DF38" s="76">
        <v>0</v>
      </c>
      <c r="DG38" s="76">
        <v>103</v>
      </c>
      <c r="DH38" s="76">
        <v>0</v>
      </c>
      <c r="DI38" s="76">
        <v>0</v>
      </c>
      <c r="DJ38" s="76">
        <v>29</v>
      </c>
      <c r="DK38" s="76">
        <v>-29</v>
      </c>
      <c r="DL38" s="76">
        <v>0</v>
      </c>
      <c r="DM38" s="76">
        <v>0</v>
      </c>
      <c r="DN38" s="76">
        <v>0</v>
      </c>
      <c r="DO38" s="76">
        <v>0</v>
      </c>
      <c r="DP38" s="76">
        <v>0</v>
      </c>
      <c r="DQ38" s="76">
        <v>0</v>
      </c>
      <c r="DR38" s="76">
        <v>0</v>
      </c>
      <c r="DS38" s="76">
        <v>0</v>
      </c>
      <c r="DT38" s="76">
        <v>162</v>
      </c>
      <c r="DU38" s="76">
        <v>0</v>
      </c>
      <c r="DV38" s="76">
        <v>2</v>
      </c>
      <c r="DW38" s="76">
        <v>160</v>
      </c>
      <c r="DX38" s="76">
        <v>0</v>
      </c>
      <c r="DY38" s="76">
        <v>0</v>
      </c>
      <c r="DZ38" s="76">
        <v>0</v>
      </c>
      <c r="EA38" s="76">
        <v>0</v>
      </c>
      <c r="EB38" s="76">
        <v>197</v>
      </c>
      <c r="EC38" s="76">
        <v>114</v>
      </c>
      <c r="ED38" s="76">
        <v>20</v>
      </c>
      <c r="EE38" s="76">
        <v>63</v>
      </c>
      <c r="EF38" s="76">
        <v>359</v>
      </c>
      <c r="EG38" s="76">
        <v>114</v>
      </c>
      <c r="EH38" s="76">
        <v>51</v>
      </c>
      <c r="EI38" s="76">
        <v>194</v>
      </c>
      <c r="EJ38" s="76">
        <v>462</v>
      </c>
      <c r="EK38" s="76">
        <v>114</v>
      </c>
      <c r="EL38" s="76">
        <v>51</v>
      </c>
      <c r="EM38" s="76">
        <v>297</v>
      </c>
      <c r="EN38" s="76">
        <v>70</v>
      </c>
      <c r="EO38" s="76">
        <v>0</v>
      </c>
      <c r="EP38" s="76">
        <v>25</v>
      </c>
      <c r="EQ38" s="76">
        <v>0</v>
      </c>
      <c r="ER38" s="76">
        <v>37805</v>
      </c>
      <c r="ES38" s="76">
        <v>0</v>
      </c>
      <c r="ET38" s="76">
        <v>37805</v>
      </c>
      <c r="EU38" s="76">
        <v>3219</v>
      </c>
      <c r="EV38" s="76">
        <v>-2384</v>
      </c>
      <c r="EW38" s="76">
        <v>0</v>
      </c>
      <c r="EX38" s="76">
        <v>0</v>
      </c>
      <c r="EY38" s="76">
        <v>1656</v>
      </c>
      <c r="EZ38" s="76">
        <v>40296</v>
      </c>
      <c r="FA38" s="76">
        <v>2987</v>
      </c>
      <c r="FB38" s="76">
        <v>226</v>
      </c>
      <c r="FC38" s="76">
        <v>0</v>
      </c>
      <c r="FD38" s="76">
        <v>0</v>
      </c>
      <c r="FE38" s="76">
        <v>-189</v>
      </c>
      <c r="FF38" s="76">
        <v>0</v>
      </c>
      <c r="FG38" s="76">
        <v>0</v>
      </c>
      <c r="FH38" s="76">
        <v>3024</v>
      </c>
      <c r="FI38" s="76">
        <v>37272</v>
      </c>
      <c r="FJ38" s="76">
        <v>34818</v>
      </c>
      <c r="FK38" s="76">
        <v>5526</v>
      </c>
      <c r="FL38" s="76">
        <v>2387</v>
      </c>
      <c r="FM38" s="76">
        <v>3139</v>
      </c>
      <c r="FN38" s="76">
        <v>0</v>
      </c>
      <c r="FO38" s="76">
        <v>0</v>
      </c>
      <c r="FP38" s="76">
        <v>0</v>
      </c>
      <c r="FQ38" s="76">
        <v>0</v>
      </c>
      <c r="FR38" s="76">
        <v>0</v>
      </c>
      <c r="FS38" s="76">
        <v>0</v>
      </c>
      <c r="FT38" s="76">
        <v>0</v>
      </c>
      <c r="FU38" s="76">
        <v>0</v>
      </c>
      <c r="FV38" s="76">
        <v>0</v>
      </c>
      <c r="FW38" s="76">
        <v>0</v>
      </c>
      <c r="FX38" s="76">
        <v>0</v>
      </c>
      <c r="FY38" s="76">
        <v>0</v>
      </c>
      <c r="FZ38" s="76">
        <v>0</v>
      </c>
      <c r="GA38" s="76">
        <v>0</v>
      </c>
      <c r="GB38" s="76">
        <v>0</v>
      </c>
      <c r="GC38" s="76">
        <v>5526</v>
      </c>
      <c r="GD38" s="76">
        <v>2387</v>
      </c>
      <c r="GE38" s="76">
        <v>3139</v>
      </c>
      <c r="GF38" s="76">
        <v>0</v>
      </c>
      <c r="GG38" s="76">
        <v>0</v>
      </c>
      <c r="GH38" s="76">
        <v>0</v>
      </c>
      <c r="GI38" s="76">
        <v>0</v>
      </c>
      <c r="GJ38" s="76">
        <v>0</v>
      </c>
      <c r="GK38" s="76">
        <v>4296</v>
      </c>
      <c r="GL38" s="76">
        <v>4296</v>
      </c>
      <c r="GM38" s="76">
        <v>4</v>
      </c>
      <c r="GN38" s="76">
        <v>124</v>
      </c>
      <c r="GO38" s="76">
        <v>640</v>
      </c>
      <c r="GP38" s="76">
        <v>867</v>
      </c>
      <c r="GQ38" s="76">
        <v>0</v>
      </c>
      <c r="GR38" s="76">
        <v>440</v>
      </c>
      <c r="GS38" s="76">
        <v>0</v>
      </c>
      <c r="GT38" s="76">
        <v>0</v>
      </c>
      <c r="GU38" s="76">
        <v>0</v>
      </c>
      <c r="GV38" s="76">
        <v>0</v>
      </c>
      <c r="GW38" s="76">
        <v>312</v>
      </c>
      <c r="GX38" s="76">
        <v>2387</v>
      </c>
      <c r="GY38" s="76">
        <v>2019</v>
      </c>
      <c r="GZ38" s="76">
        <v>0</v>
      </c>
      <c r="HA38" s="76">
        <v>0</v>
      </c>
      <c r="HB38" s="76">
        <v>21</v>
      </c>
      <c r="HC38" s="76">
        <v>2040</v>
      </c>
      <c r="HD38" s="76">
        <v>0</v>
      </c>
      <c r="HE38" s="76">
        <v>0</v>
      </c>
      <c r="HF38" s="76">
        <v>0</v>
      </c>
      <c r="HG38" s="76">
        <v>228</v>
      </c>
      <c r="HH38" s="76">
        <v>18</v>
      </c>
      <c r="HI38" s="76">
        <v>0</v>
      </c>
      <c r="HJ38" s="76">
        <v>6</v>
      </c>
      <c r="HK38" s="76">
        <v>54</v>
      </c>
      <c r="HL38" s="76">
        <v>-41</v>
      </c>
      <c r="HM38" s="76">
        <v>265</v>
      </c>
      <c r="HN38" s="76">
        <v>25</v>
      </c>
      <c r="HO38" s="76">
        <v>226</v>
      </c>
      <c r="HP38" s="76">
        <v>0</v>
      </c>
      <c r="HQ38" s="76">
        <v>0</v>
      </c>
      <c r="HR38" s="76">
        <v>-59</v>
      </c>
      <c r="HS38" s="76">
        <v>-1</v>
      </c>
      <c r="HT38" s="76">
        <v>1404</v>
      </c>
      <c r="HU38" s="76">
        <v>0</v>
      </c>
      <c r="HV38" s="76">
        <v>0</v>
      </c>
      <c r="HW38" s="76">
        <v>-6</v>
      </c>
      <c r="HX38" s="76">
        <v>57</v>
      </c>
    </row>
    <row r="39" spans="1:232" x14ac:dyDescent="0.2">
      <c r="A39" s="74" t="s">
        <v>272</v>
      </c>
      <c r="B39" s="74" t="s">
        <v>273</v>
      </c>
      <c r="C39" s="75" t="s">
        <v>200</v>
      </c>
      <c r="D39" s="75">
        <v>12</v>
      </c>
      <c r="E39" s="76">
        <v>162050</v>
      </c>
      <c r="F39" s="76">
        <v>-11329</v>
      </c>
      <c r="G39" s="76">
        <v>-87836</v>
      </c>
      <c r="H39" s="76">
        <v>62885</v>
      </c>
      <c r="I39" s="76">
        <v>5964</v>
      </c>
      <c r="J39" s="76">
        <v>6047</v>
      </c>
      <c r="K39" s="76">
        <v>-40</v>
      </c>
      <c r="L39" s="76">
        <v>0</v>
      </c>
      <c r="M39" s="76">
        <v>727</v>
      </c>
      <c r="N39" s="76">
        <v>-26334</v>
      </c>
      <c r="O39" s="76">
        <v>1187</v>
      </c>
      <c r="P39" s="76">
        <v>-446</v>
      </c>
      <c r="Q39" s="76">
        <v>0</v>
      </c>
      <c r="R39" s="76">
        <v>0</v>
      </c>
      <c r="S39" s="76">
        <v>49990</v>
      </c>
      <c r="T39" s="76">
        <v>0</v>
      </c>
      <c r="U39" s="76">
        <v>49990</v>
      </c>
      <c r="V39" s="76">
        <v>0</v>
      </c>
      <c r="W39" s="76">
        <v>-380</v>
      </c>
      <c r="X39" s="76">
        <v>0</v>
      </c>
      <c r="Y39" s="76">
        <v>0</v>
      </c>
      <c r="Z39" s="76">
        <v>49610</v>
      </c>
      <c r="AA39" s="76">
        <v>126457</v>
      </c>
      <c r="AB39" s="76">
        <v>8119</v>
      </c>
      <c r="AC39" s="76">
        <v>134576</v>
      </c>
      <c r="AD39" s="76">
        <v>4680</v>
      </c>
      <c r="AE39" s="76">
        <v>0</v>
      </c>
      <c r="AF39" s="76">
        <v>0</v>
      </c>
      <c r="AG39" s="76">
        <v>90</v>
      </c>
      <c r="AH39" s="76">
        <v>139346</v>
      </c>
      <c r="AI39" s="76">
        <v>20269</v>
      </c>
      <c r="AJ39" s="76">
        <v>10117</v>
      </c>
      <c r="AK39" s="76">
        <v>17635</v>
      </c>
      <c r="AL39" s="76">
        <v>2364</v>
      </c>
      <c r="AM39" s="76">
        <v>6055</v>
      </c>
      <c r="AN39" s="76">
        <v>505</v>
      </c>
      <c r="AO39" s="76">
        <v>21134</v>
      </c>
      <c r="AP39" s="76">
        <v>0</v>
      </c>
      <c r="AQ39" s="76">
        <v>108</v>
      </c>
      <c r="AR39" s="76">
        <v>78187</v>
      </c>
      <c r="AS39" s="76">
        <v>61159</v>
      </c>
      <c r="AT39" s="76">
        <v>1043</v>
      </c>
      <c r="AU39" s="76">
        <v>1459297</v>
      </c>
      <c r="AV39" s="76">
        <v>0</v>
      </c>
      <c r="AW39" s="76">
        <v>11872</v>
      </c>
      <c r="AX39" s="76">
        <v>92</v>
      </c>
      <c r="AY39" s="76">
        <v>703</v>
      </c>
      <c r="AZ39" s="76">
        <v>7542</v>
      </c>
      <c r="BA39" s="76">
        <v>0</v>
      </c>
      <c r="BB39" s="76">
        <v>0</v>
      </c>
      <c r="BC39" s="76">
        <v>0</v>
      </c>
      <c r="BD39" s="76">
        <v>4220</v>
      </c>
      <c r="BE39" s="76">
        <v>1483726</v>
      </c>
      <c r="BF39" s="76">
        <v>12197</v>
      </c>
      <c r="BG39" s="76">
        <v>3396</v>
      </c>
      <c r="BH39" s="76">
        <v>17638</v>
      </c>
      <c r="BI39" s="76">
        <v>15570</v>
      </c>
      <c r="BJ39" s="76">
        <v>27329</v>
      </c>
      <c r="BK39" s="76">
        <v>76130</v>
      </c>
      <c r="BL39" s="76">
        <v>9629</v>
      </c>
      <c r="BM39" s="76">
        <v>0</v>
      </c>
      <c r="BN39" s="76">
        <v>4796</v>
      </c>
      <c r="BO39" s="76">
        <v>32831</v>
      </c>
      <c r="BP39" s="76">
        <v>47256</v>
      </c>
      <c r="BQ39" s="76">
        <v>28874</v>
      </c>
      <c r="BR39" s="76">
        <v>1512600</v>
      </c>
      <c r="BS39" s="76">
        <v>546797</v>
      </c>
      <c r="BT39" s="76">
        <v>0</v>
      </c>
      <c r="BU39" s="76">
        <v>0</v>
      </c>
      <c r="BV39" s="76">
        <v>419256</v>
      </c>
      <c r="BW39" s="76">
        <v>0</v>
      </c>
      <c r="BX39" s="76">
        <v>27182</v>
      </c>
      <c r="BY39" s="76">
        <v>22648</v>
      </c>
      <c r="BZ39" s="76">
        <v>1015883</v>
      </c>
      <c r="CA39" s="76">
        <v>10294</v>
      </c>
      <c r="CB39" s="76">
        <v>0</v>
      </c>
      <c r="CC39" s="76">
        <v>486423</v>
      </c>
      <c r="CD39" s="76">
        <v>402355</v>
      </c>
      <c r="CE39" s="76">
        <v>84068</v>
      </c>
      <c r="CF39" s="76">
        <v>0</v>
      </c>
      <c r="CG39" s="76">
        <v>0</v>
      </c>
      <c r="CH39" s="76">
        <v>0</v>
      </c>
      <c r="CI39" s="76">
        <v>486423</v>
      </c>
      <c r="CJ39" s="76">
        <v>15815</v>
      </c>
      <c r="CK39" s="76">
        <v>11289</v>
      </c>
      <c r="CL39" s="76">
        <v>1124</v>
      </c>
      <c r="CM39" s="76">
        <v>3402</v>
      </c>
      <c r="CN39" s="76">
        <v>3891</v>
      </c>
      <c r="CO39" s="76">
        <v>0</v>
      </c>
      <c r="CP39" s="76">
        <v>3782</v>
      </c>
      <c r="CQ39" s="76">
        <v>109</v>
      </c>
      <c r="CR39" s="76">
        <v>0</v>
      </c>
      <c r="CS39" s="76">
        <v>0</v>
      </c>
      <c r="CT39" s="76">
        <v>0</v>
      </c>
      <c r="CU39" s="76">
        <v>0</v>
      </c>
      <c r="CV39" s="76">
        <v>0</v>
      </c>
      <c r="CW39" s="76">
        <v>0</v>
      </c>
      <c r="CX39" s="76">
        <v>0</v>
      </c>
      <c r="CY39" s="76">
        <v>0</v>
      </c>
      <c r="CZ39" s="76">
        <v>2054</v>
      </c>
      <c r="DA39" s="76">
        <v>0</v>
      </c>
      <c r="DB39" s="76">
        <v>4208</v>
      </c>
      <c r="DC39" s="76">
        <v>-2154</v>
      </c>
      <c r="DD39" s="76">
        <v>21760</v>
      </c>
      <c r="DE39" s="76">
        <v>11289</v>
      </c>
      <c r="DF39" s="76">
        <v>9114</v>
      </c>
      <c r="DG39" s="76">
        <v>1357</v>
      </c>
      <c r="DH39" s="76">
        <v>0</v>
      </c>
      <c r="DI39" s="76">
        <v>0</v>
      </c>
      <c r="DJ39" s="76">
        <v>338</v>
      </c>
      <c r="DK39" s="76">
        <v>-338</v>
      </c>
      <c r="DL39" s="76">
        <v>0</v>
      </c>
      <c r="DM39" s="76">
        <v>0</v>
      </c>
      <c r="DN39" s="76">
        <v>0</v>
      </c>
      <c r="DO39" s="76">
        <v>0</v>
      </c>
      <c r="DP39" s="76">
        <v>0</v>
      </c>
      <c r="DQ39" s="76">
        <v>0</v>
      </c>
      <c r="DR39" s="76">
        <v>0</v>
      </c>
      <c r="DS39" s="76">
        <v>0</v>
      </c>
      <c r="DT39" s="76">
        <v>381</v>
      </c>
      <c r="DU39" s="76">
        <v>0</v>
      </c>
      <c r="DV39" s="76">
        <v>68</v>
      </c>
      <c r="DW39" s="76">
        <v>313</v>
      </c>
      <c r="DX39" s="76">
        <v>0</v>
      </c>
      <c r="DY39" s="76">
        <v>0</v>
      </c>
      <c r="DZ39" s="76">
        <v>0</v>
      </c>
      <c r="EA39" s="76">
        <v>0</v>
      </c>
      <c r="EB39" s="76">
        <v>563</v>
      </c>
      <c r="EC39" s="76">
        <v>40</v>
      </c>
      <c r="ED39" s="76">
        <v>129</v>
      </c>
      <c r="EE39" s="76">
        <v>394</v>
      </c>
      <c r="EF39" s="76">
        <v>944</v>
      </c>
      <c r="EG39" s="76">
        <v>40</v>
      </c>
      <c r="EH39" s="76">
        <v>535</v>
      </c>
      <c r="EI39" s="76">
        <v>369</v>
      </c>
      <c r="EJ39" s="76">
        <v>22704</v>
      </c>
      <c r="EK39" s="76">
        <v>11329</v>
      </c>
      <c r="EL39" s="76">
        <v>9649</v>
      </c>
      <c r="EM39" s="76">
        <v>1726</v>
      </c>
      <c r="EN39" s="76">
        <v>3509</v>
      </c>
      <c r="EO39" s="76">
        <v>1030</v>
      </c>
      <c r="EP39" s="76">
        <v>509</v>
      </c>
      <c r="EQ39" s="76">
        <v>1024</v>
      </c>
      <c r="ER39" s="76">
        <v>1594790</v>
      </c>
      <c r="ES39" s="76">
        <v>0</v>
      </c>
      <c r="ET39" s="76">
        <v>1594790</v>
      </c>
      <c r="EU39" s="76">
        <v>82193</v>
      </c>
      <c r="EV39" s="76">
        <v>-13722</v>
      </c>
      <c r="EW39" s="76">
        <v>0</v>
      </c>
      <c r="EX39" s="76">
        <v>0</v>
      </c>
      <c r="EY39" s="76">
        <v>-342</v>
      </c>
      <c r="EZ39" s="76">
        <v>1662919</v>
      </c>
      <c r="FA39" s="76">
        <v>190212</v>
      </c>
      <c r="FB39" s="76">
        <v>21137</v>
      </c>
      <c r="FC39" s="76">
        <v>0</v>
      </c>
      <c r="FD39" s="76">
        <v>0</v>
      </c>
      <c r="FE39" s="76">
        <v>-7727</v>
      </c>
      <c r="FF39" s="76">
        <v>0</v>
      </c>
      <c r="FG39" s="76">
        <v>0</v>
      </c>
      <c r="FH39" s="76">
        <v>203622</v>
      </c>
      <c r="FI39" s="76">
        <v>1459297</v>
      </c>
      <c r="FJ39" s="76">
        <v>1404578</v>
      </c>
      <c r="FK39" s="76">
        <v>4275</v>
      </c>
      <c r="FL39" s="76">
        <v>3043</v>
      </c>
      <c r="FM39" s="76">
        <v>1232</v>
      </c>
      <c r="FN39" s="76">
        <v>766</v>
      </c>
      <c r="FO39" s="76">
        <v>766</v>
      </c>
      <c r="FP39" s="76">
        <v>0</v>
      </c>
      <c r="FQ39" s="76">
        <v>0</v>
      </c>
      <c r="FR39" s="76">
        <v>0</v>
      </c>
      <c r="FS39" s="76">
        <v>0</v>
      </c>
      <c r="FT39" s="76">
        <v>8158</v>
      </c>
      <c r="FU39" s="76">
        <v>3355</v>
      </c>
      <c r="FV39" s="76">
        <v>4803</v>
      </c>
      <c r="FW39" s="76">
        <v>0</v>
      </c>
      <c r="FX39" s="76">
        <v>0</v>
      </c>
      <c r="FY39" s="76">
        <v>0</v>
      </c>
      <c r="FZ39" s="76">
        <v>1202</v>
      </c>
      <c r="GA39" s="76">
        <v>1273</v>
      </c>
      <c r="GB39" s="76">
        <v>-71</v>
      </c>
      <c r="GC39" s="76">
        <v>14401</v>
      </c>
      <c r="GD39" s="76">
        <v>8437</v>
      </c>
      <c r="GE39" s="76">
        <v>5964</v>
      </c>
      <c r="GF39" s="76">
        <v>22180</v>
      </c>
      <c r="GG39" s="76">
        <v>0</v>
      </c>
      <c r="GH39" s="76">
        <v>0</v>
      </c>
      <c r="GI39" s="76">
        <v>0</v>
      </c>
      <c r="GJ39" s="76">
        <v>0</v>
      </c>
      <c r="GK39" s="76">
        <v>5149</v>
      </c>
      <c r="GL39" s="76">
        <v>27329</v>
      </c>
      <c r="GM39" s="76">
        <v>1680</v>
      </c>
      <c r="GN39" s="76">
        <v>4144</v>
      </c>
      <c r="GO39" s="76">
        <v>580</v>
      </c>
      <c r="GP39" s="76">
        <v>3515</v>
      </c>
      <c r="GQ39" s="76">
        <v>0</v>
      </c>
      <c r="GR39" s="76">
        <v>14217</v>
      </c>
      <c r="GS39" s="76">
        <v>0</v>
      </c>
      <c r="GT39" s="76">
        <v>0</v>
      </c>
      <c r="GU39" s="76">
        <v>0</v>
      </c>
      <c r="GV39" s="76">
        <v>0</v>
      </c>
      <c r="GW39" s="76">
        <v>8695</v>
      </c>
      <c r="GX39" s="76">
        <v>32831</v>
      </c>
      <c r="GY39" s="76">
        <v>2240</v>
      </c>
      <c r="GZ39" s="76">
        <v>0</v>
      </c>
      <c r="HA39" s="76">
        <v>0</v>
      </c>
      <c r="HB39" s="76">
        <v>20408</v>
      </c>
      <c r="HC39" s="76">
        <v>22648</v>
      </c>
      <c r="HD39" s="76">
        <v>0</v>
      </c>
      <c r="HE39" s="76">
        <v>0</v>
      </c>
      <c r="HF39" s="76">
        <v>0</v>
      </c>
      <c r="HG39" s="76">
        <v>26568</v>
      </c>
      <c r="HH39" s="76">
        <v>111</v>
      </c>
      <c r="HI39" s="76">
        <v>281</v>
      </c>
      <c r="HJ39" s="76">
        <v>0</v>
      </c>
      <c r="HK39" s="76">
        <v>646</v>
      </c>
      <c r="HL39" s="76">
        <v>-1272</v>
      </c>
      <c r="HM39" s="76">
        <v>26334</v>
      </c>
      <c r="HN39" s="76">
        <v>17206</v>
      </c>
      <c r="HO39" s="76">
        <v>22252</v>
      </c>
      <c r="HP39" s="76">
        <v>0</v>
      </c>
      <c r="HQ39" s="76">
        <v>595</v>
      </c>
      <c r="HR39" s="76">
        <v>-39</v>
      </c>
      <c r="HS39" s="76">
        <v>-63</v>
      </c>
      <c r="HT39" s="76">
        <v>27251</v>
      </c>
      <c r="HU39" s="76">
        <v>8</v>
      </c>
      <c r="HV39" s="76">
        <v>-8</v>
      </c>
      <c r="HW39" s="76">
        <v>22</v>
      </c>
      <c r="HX39" s="76">
        <v>689</v>
      </c>
    </row>
    <row r="40" spans="1:232" x14ac:dyDescent="0.2">
      <c r="A40" s="71" t="s">
        <v>32</v>
      </c>
      <c r="B40" s="71" t="s">
        <v>31</v>
      </c>
      <c r="C40" s="72" t="s">
        <v>200</v>
      </c>
      <c r="D40" s="72">
        <v>12</v>
      </c>
      <c r="E40" s="73">
        <v>21782</v>
      </c>
      <c r="F40" s="73">
        <v>-2053</v>
      </c>
      <c r="G40" s="73">
        <v>-12119</v>
      </c>
      <c r="H40" s="73">
        <v>7610</v>
      </c>
      <c r="I40" s="73">
        <v>970</v>
      </c>
      <c r="J40" s="73">
        <v>0</v>
      </c>
      <c r="K40" s="73">
        <v>0</v>
      </c>
      <c r="L40" s="73">
        <v>0</v>
      </c>
      <c r="M40" s="73">
        <v>45</v>
      </c>
      <c r="N40" s="73">
        <v>-3101</v>
      </c>
      <c r="O40" s="73">
        <v>0</v>
      </c>
      <c r="P40" s="73">
        <v>0</v>
      </c>
      <c r="Q40" s="73">
        <v>0</v>
      </c>
      <c r="R40" s="73">
        <v>0</v>
      </c>
      <c r="S40" s="73">
        <v>5524</v>
      </c>
      <c r="T40" s="73">
        <v>0</v>
      </c>
      <c r="U40" s="73">
        <v>5524</v>
      </c>
      <c r="V40" s="73">
        <v>0</v>
      </c>
      <c r="W40" s="73">
        <v>-880</v>
      </c>
      <c r="X40" s="73">
        <v>0</v>
      </c>
      <c r="Y40" s="73">
        <v>0</v>
      </c>
      <c r="Z40" s="73">
        <v>4644</v>
      </c>
      <c r="AA40" s="73">
        <v>16313</v>
      </c>
      <c r="AB40" s="73">
        <v>1343</v>
      </c>
      <c r="AC40" s="73">
        <v>17656</v>
      </c>
      <c r="AD40" s="73">
        <v>185</v>
      </c>
      <c r="AE40" s="73">
        <v>0</v>
      </c>
      <c r="AF40" s="73">
        <v>0</v>
      </c>
      <c r="AG40" s="73">
        <v>22</v>
      </c>
      <c r="AH40" s="73">
        <v>17863</v>
      </c>
      <c r="AI40" s="73">
        <v>4333</v>
      </c>
      <c r="AJ40" s="73">
        <v>1326</v>
      </c>
      <c r="AK40" s="73">
        <v>1972</v>
      </c>
      <c r="AL40" s="73">
        <v>789</v>
      </c>
      <c r="AM40" s="73">
        <v>0</v>
      </c>
      <c r="AN40" s="73">
        <v>153</v>
      </c>
      <c r="AO40" s="73">
        <v>3071</v>
      </c>
      <c r="AP40" s="73">
        <v>0</v>
      </c>
      <c r="AQ40" s="73">
        <v>28</v>
      </c>
      <c r="AR40" s="73">
        <v>11672</v>
      </c>
      <c r="AS40" s="73">
        <v>6191</v>
      </c>
      <c r="AT40" s="73">
        <v>114</v>
      </c>
      <c r="AU40" s="73">
        <v>110283</v>
      </c>
      <c r="AV40" s="73">
        <v>0</v>
      </c>
      <c r="AW40" s="73">
        <v>1889</v>
      </c>
      <c r="AX40" s="73">
        <v>709</v>
      </c>
      <c r="AY40" s="73">
        <v>0</v>
      </c>
      <c r="AZ40" s="73">
        <v>5067</v>
      </c>
      <c r="BA40" s="73">
        <v>0</v>
      </c>
      <c r="BB40" s="73">
        <v>0</v>
      </c>
      <c r="BC40" s="73">
        <v>0</v>
      </c>
      <c r="BD40" s="73">
        <v>0</v>
      </c>
      <c r="BE40" s="73">
        <v>117948</v>
      </c>
      <c r="BF40" s="73">
        <v>979</v>
      </c>
      <c r="BG40" s="73">
        <v>867</v>
      </c>
      <c r="BH40" s="73">
        <v>5917</v>
      </c>
      <c r="BI40" s="73">
        <v>0</v>
      </c>
      <c r="BJ40" s="73">
        <v>54</v>
      </c>
      <c r="BK40" s="73">
        <v>7817</v>
      </c>
      <c r="BL40" s="73">
        <v>0</v>
      </c>
      <c r="BM40" s="73">
        <v>0</v>
      </c>
      <c r="BN40" s="73">
        <v>180</v>
      </c>
      <c r="BO40" s="73">
        <v>2751</v>
      </c>
      <c r="BP40" s="73">
        <v>2931</v>
      </c>
      <c r="BQ40" s="73">
        <v>4886</v>
      </c>
      <c r="BR40" s="73">
        <v>122834</v>
      </c>
      <c r="BS40" s="73">
        <v>62569</v>
      </c>
      <c r="BT40" s="73">
        <v>0</v>
      </c>
      <c r="BU40" s="73">
        <v>0</v>
      </c>
      <c r="BV40" s="73">
        <v>17799</v>
      </c>
      <c r="BW40" s="73">
        <v>0</v>
      </c>
      <c r="BX40" s="73">
        <v>0</v>
      </c>
      <c r="BY40" s="73">
        <v>223</v>
      </c>
      <c r="BZ40" s="73">
        <v>80591</v>
      </c>
      <c r="CA40" s="73">
        <v>5729</v>
      </c>
      <c r="CB40" s="73">
        <v>0</v>
      </c>
      <c r="CC40" s="73">
        <v>36514</v>
      </c>
      <c r="CD40" s="73">
        <v>36514</v>
      </c>
      <c r="CE40" s="73">
        <v>0</v>
      </c>
      <c r="CF40" s="73">
        <v>0</v>
      </c>
      <c r="CG40" s="73">
        <v>0</v>
      </c>
      <c r="CH40" s="73">
        <v>0</v>
      </c>
      <c r="CI40" s="73">
        <v>36514</v>
      </c>
      <c r="CJ40" s="73">
        <v>2972</v>
      </c>
      <c r="CK40" s="73">
        <v>2053</v>
      </c>
      <c r="CL40" s="73">
        <v>29</v>
      </c>
      <c r="CM40" s="73">
        <v>890</v>
      </c>
      <c r="CN40" s="73">
        <v>0</v>
      </c>
      <c r="CO40" s="73">
        <v>0</v>
      </c>
      <c r="CP40" s="73">
        <v>0</v>
      </c>
      <c r="CQ40" s="73">
        <v>0</v>
      </c>
      <c r="CR40" s="73">
        <v>0</v>
      </c>
      <c r="CS40" s="73">
        <v>0</v>
      </c>
      <c r="CT40" s="73">
        <v>0</v>
      </c>
      <c r="CU40" s="73">
        <v>0</v>
      </c>
      <c r="CV40" s="73">
        <v>0</v>
      </c>
      <c r="CW40" s="73">
        <v>0</v>
      </c>
      <c r="CX40" s="73">
        <v>0</v>
      </c>
      <c r="CY40" s="73">
        <v>0</v>
      </c>
      <c r="CZ40" s="73">
        <v>486</v>
      </c>
      <c r="DA40" s="73">
        <v>0</v>
      </c>
      <c r="DB40" s="73">
        <v>382</v>
      </c>
      <c r="DC40" s="73">
        <v>104</v>
      </c>
      <c r="DD40" s="73">
        <v>3458</v>
      </c>
      <c r="DE40" s="73">
        <v>2053</v>
      </c>
      <c r="DF40" s="73">
        <v>411</v>
      </c>
      <c r="DG40" s="73">
        <v>994</v>
      </c>
      <c r="DH40" s="73">
        <v>0</v>
      </c>
      <c r="DI40" s="73">
        <v>0</v>
      </c>
      <c r="DJ40" s="73">
        <v>0</v>
      </c>
      <c r="DK40" s="73">
        <v>0</v>
      </c>
      <c r="DL40" s="73">
        <v>0</v>
      </c>
      <c r="DM40" s="73">
        <v>0</v>
      </c>
      <c r="DN40" s="73">
        <v>0</v>
      </c>
      <c r="DO40" s="73">
        <v>0</v>
      </c>
      <c r="DP40" s="73">
        <v>0</v>
      </c>
      <c r="DQ40" s="73">
        <v>0</v>
      </c>
      <c r="DR40" s="73">
        <v>0</v>
      </c>
      <c r="DS40" s="73">
        <v>0</v>
      </c>
      <c r="DT40" s="73">
        <v>0</v>
      </c>
      <c r="DU40" s="73">
        <v>0</v>
      </c>
      <c r="DV40" s="73">
        <v>0</v>
      </c>
      <c r="DW40" s="73">
        <v>0</v>
      </c>
      <c r="DX40" s="73">
        <v>0</v>
      </c>
      <c r="DY40" s="73">
        <v>0</v>
      </c>
      <c r="DZ40" s="73">
        <v>0</v>
      </c>
      <c r="EA40" s="73">
        <v>0</v>
      </c>
      <c r="EB40" s="73">
        <v>461</v>
      </c>
      <c r="EC40" s="73">
        <v>0</v>
      </c>
      <c r="ED40" s="73">
        <v>36</v>
      </c>
      <c r="EE40" s="73">
        <v>425</v>
      </c>
      <c r="EF40" s="73">
        <v>461</v>
      </c>
      <c r="EG40" s="73">
        <v>0</v>
      </c>
      <c r="EH40" s="73">
        <v>36</v>
      </c>
      <c r="EI40" s="73">
        <v>425</v>
      </c>
      <c r="EJ40" s="73">
        <v>3919</v>
      </c>
      <c r="EK40" s="73">
        <v>2053</v>
      </c>
      <c r="EL40" s="73">
        <v>447</v>
      </c>
      <c r="EM40" s="73">
        <v>1419</v>
      </c>
      <c r="EN40" s="73">
        <v>349</v>
      </c>
      <c r="EO40" s="73">
        <v>73</v>
      </c>
      <c r="EP40" s="73">
        <v>151</v>
      </c>
      <c r="EQ40" s="73">
        <v>73</v>
      </c>
      <c r="ER40" s="73">
        <v>126243</v>
      </c>
      <c r="ES40" s="73">
        <v>0</v>
      </c>
      <c r="ET40" s="73">
        <v>126243</v>
      </c>
      <c r="EU40" s="73">
        <v>7900</v>
      </c>
      <c r="EV40" s="73">
        <v>-249</v>
      </c>
      <c r="EW40" s="73">
        <v>0</v>
      </c>
      <c r="EX40" s="73">
        <v>0</v>
      </c>
      <c r="EY40" s="73">
        <v>0</v>
      </c>
      <c r="EZ40" s="73">
        <v>133894</v>
      </c>
      <c r="FA40" s="73">
        <v>20581</v>
      </c>
      <c r="FB40" s="73">
        <v>3071</v>
      </c>
      <c r="FC40" s="73">
        <v>0</v>
      </c>
      <c r="FD40" s="73">
        <v>0</v>
      </c>
      <c r="FE40" s="73">
        <v>-41</v>
      </c>
      <c r="FF40" s="73">
        <v>0</v>
      </c>
      <c r="FG40" s="73">
        <v>0</v>
      </c>
      <c r="FH40" s="73">
        <v>23611</v>
      </c>
      <c r="FI40" s="73">
        <v>110283</v>
      </c>
      <c r="FJ40" s="73">
        <v>105662</v>
      </c>
      <c r="FK40" s="73">
        <v>98</v>
      </c>
      <c r="FL40" s="73">
        <v>95</v>
      </c>
      <c r="FM40" s="73">
        <v>3</v>
      </c>
      <c r="FN40" s="73">
        <v>473</v>
      </c>
      <c r="FO40" s="73">
        <v>121</v>
      </c>
      <c r="FP40" s="73">
        <v>352</v>
      </c>
      <c r="FQ40" s="73">
        <v>0</v>
      </c>
      <c r="FR40" s="73">
        <v>0</v>
      </c>
      <c r="FS40" s="73">
        <v>0</v>
      </c>
      <c r="FT40" s="73">
        <v>665</v>
      </c>
      <c r="FU40" s="73">
        <v>50</v>
      </c>
      <c r="FV40" s="73">
        <v>615</v>
      </c>
      <c r="FW40" s="73">
        <v>0</v>
      </c>
      <c r="FX40" s="73">
        <v>0</v>
      </c>
      <c r="FY40" s="73">
        <v>0</v>
      </c>
      <c r="FZ40" s="73">
        <v>0</v>
      </c>
      <c r="GA40" s="73">
        <v>0</v>
      </c>
      <c r="GB40" s="73">
        <v>0</v>
      </c>
      <c r="GC40" s="73">
        <v>1236</v>
      </c>
      <c r="GD40" s="73">
        <v>266</v>
      </c>
      <c r="GE40" s="73">
        <v>970</v>
      </c>
      <c r="GF40" s="73">
        <v>0</v>
      </c>
      <c r="GG40" s="73">
        <v>0</v>
      </c>
      <c r="GH40" s="73">
        <v>0</v>
      </c>
      <c r="GI40" s="73">
        <v>0</v>
      </c>
      <c r="GJ40" s="73">
        <v>0</v>
      </c>
      <c r="GK40" s="73">
        <v>54</v>
      </c>
      <c r="GL40" s="73">
        <v>54</v>
      </c>
      <c r="GM40" s="73">
        <v>340</v>
      </c>
      <c r="GN40" s="73">
        <v>227</v>
      </c>
      <c r="GO40" s="73">
        <v>0</v>
      </c>
      <c r="GP40" s="73">
        <v>0</v>
      </c>
      <c r="GQ40" s="73">
        <v>0</v>
      </c>
      <c r="GR40" s="73">
        <v>1717</v>
      </c>
      <c r="GS40" s="73">
        <v>0</v>
      </c>
      <c r="GT40" s="73">
        <v>0</v>
      </c>
      <c r="GU40" s="73">
        <v>38</v>
      </c>
      <c r="GV40" s="73">
        <v>0</v>
      </c>
      <c r="GW40" s="73">
        <v>429</v>
      </c>
      <c r="GX40" s="73">
        <v>2751</v>
      </c>
      <c r="GY40" s="73">
        <v>0</v>
      </c>
      <c r="GZ40" s="73">
        <v>0</v>
      </c>
      <c r="HA40" s="73">
        <v>223</v>
      </c>
      <c r="HB40" s="73">
        <v>0</v>
      </c>
      <c r="HC40" s="73">
        <v>223</v>
      </c>
      <c r="HD40" s="73">
        <v>0</v>
      </c>
      <c r="HE40" s="73">
        <v>0</v>
      </c>
      <c r="HF40" s="73">
        <v>0</v>
      </c>
      <c r="HG40" s="73">
        <v>2889</v>
      </c>
      <c r="HH40" s="73">
        <v>55</v>
      </c>
      <c r="HI40" s="73">
        <v>157</v>
      </c>
      <c r="HJ40" s="73">
        <v>0</v>
      </c>
      <c r="HK40" s="73">
        <v>0</v>
      </c>
      <c r="HL40" s="73">
        <v>0</v>
      </c>
      <c r="HM40" s="73">
        <v>3101</v>
      </c>
      <c r="HN40" s="73">
        <v>2347</v>
      </c>
      <c r="HO40" s="73">
        <v>3343</v>
      </c>
      <c r="HP40" s="73">
        <v>0</v>
      </c>
      <c r="HQ40" s="73">
        <v>102</v>
      </c>
      <c r="HR40" s="73">
        <v>-8</v>
      </c>
      <c r="HS40" s="73">
        <v>-2</v>
      </c>
      <c r="HT40" s="73">
        <v>3846</v>
      </c>
      <c r="HU40" s="73">
        <v>46</v>
      </c>
      <c r="HV40" s="73">
        <v>0</v>
      </c>
      <c r="HW40" s="73">
        <v>0</v>
      </c>
      <c r="HX40" s="73">
        <v>81</v>
      </c>
    </row>
    <row r="41" spans="1:232" x14ac:dyDescent="0.2">
      <c r="A41" s="71" t="s">
        <v>276</v>
      </c>
      <c r="B41" s="71" t="s">
        <v>277</v>
      </c>
      <c r="C41" s="72" t="s">
        <v>200</v>
      </c>
      <c r="D41" s="72">
        <v>12</v>
      </c>
      <c r="E41" s="73">
        <v>32995</v>
      </c>
      <c r="F41" s="73">
        <v>-1108</v>
      </c>
      <c r="G41" s="73">
        <v>-29149</v>
      </c>
      <c r="H41" s="73">
        <v>2738</v>
      </c>
      <c r="I41" s="73">
        <v>0</v>
      </c>
      <c r="J41" s="73">
        <v>0</v>
      </c>
      <c r="K41" s="73">
        <v>-125</v>
      </c>
      <c r="L41" s="73">
        <v>0</v>
      </c>
      <c r="M41" s="73">
        <v>17</v>
      </c>
      <c r="N41" s="73">
        <v>-724</v>
      </c>
      <c r="O41" s="73">
        <v>0</v>
      </c>
      <c r="P41" s="73">
        <v>0</v>
      </c>
      <c r="Q41" s="73">
        <v>0</v>
      </c>
      <c r="R41" s="73">
        <v>0</v>
      </c>
      <c r="S41" s="73">
        <v>1906</v>
      </c>
      <c r="T41" s="73">
        <v>0</v>
      </c>
      <c r="U41" s="73">
        <v>1906</v>
      </c>
      <c r="V41" s="73">
        <v>0</v>
      </c>
      <c r="W41" s="73">
        <v>0</v>
      </c>
      <c r="X41" s="73">
        <v>0</v>
      </c>
      <c r="Y41" s="73">
        <v>0</v>
      </c>
      <c r="Z41" s="73">
        <v>1906</v>
      </c>
      <c r="AA41" s="73">
        <v>5981</v>
      </c>
      <c r="AB41" s="73">
        <v>1125</v>
      </c>
      <c r="AC41" s="73">
        <v>7106</v>
      </c>
      <c r="AD41" s="73">
        <v>289</v>
      </c>
      <c r="AE41" s="73">
        <v>0</v>
      </c>
      <c r="AF41" s="73">
        <v>0</v>
      </c>
      <c r="AG41" s="73">
        <v>28</v>
      </c>
      <c r="AH41" s="73">
        <v>7423</v>
      </c>
      <c r="AI41" s="73">
        <v>846</v>
      </c>
      <c r="AJ41" s="73">
        <v>2057</v>
      </c>
      <c r="AK41" s="73">
        <v>1014</v>
      </c>
      <c r="AL41" s="73">
        <v>76</v>
      </c>
      <c r="AM41" s="73">
        <v>59</v>
      </c>
      <c r="AN41" s="73">
        <v>24</v>
      </c>
      <c r="AO41" s="73">
        <v>915</v>
      </c>
      <c r="AP41" s="73">
        <v>0</v>
      </c>
      <c r="AQ41" s="73">
        <v>646</v>
      </c>
      <c r="AR41" s="73">
        <v>5637</v>
      </c>
      <c r="AS41" s="73">
        <v>1786</v>
      </c>
      <c r="AT41" s="73">
        <v>160</v>
      </c>
      <c r="AU41" s="73">
        <v>52128</v>
      </c>
      <c r="AV41" s="73">
        <v>0</v>
      </c>
      <c r="AW41" s="73">
        <v>1951</v>
      </c>
      <c r="AX41" s="73">
        <v>0</v>
      </c>
      <c r="AY41" s="73">
        <v>0</v>
      </c>
      <c r="AZ41" s="73">
        <v>0</v>
      </c>
      <c r="BA41" s="73">
        <v>0</v>
      </c>
      <c r="BB41" s="73">
        <v>0</v>
      </c>
      <c r="BC41" s="73">
        <v>0</v>
      </c>
      <c r="BD41" s="73">
        <v>0</v>
      </c>
      <c r="BE41" s="73">
        <v>54079</v>
      </c>
      <c r="BF41" s="73">
        <v>329</v>
      </c>
      <c r="BG41" s="73">
        <v>2283</v>
      </c>
      <c r="BH41" s="73">
        <v>7113</v>
      </c>
      <c r="BI41" s="73">
        <v>0</v>
      </c>
      <c r="BJ41" s="73">
        <v>91</v>
      </c>
      <c r="BK41" s="73">
        <v>9816</v>
      </c>
      <c r="BL41" s="73">
        <v>686</v>
      </c>
      <c r="BM41" s="73">
        <v>0</v>
      </c>
      <c r="BN41" s="73">
        <v>289</v>
      </c>
      <c r="BO41" s="73">
        <v>3437</v>
      </c>
      <c r="BP41" s="73">
        <v>4412</v>
      </c>
      <c r="BQ41" s="73">
        <v>5404</v>
      </c>
      <c r="BR41" s="73">
        <v>59483</v>
      </c>
      <c r="BS41" s="73">
        <v>15335</v>
      </c>
      <c r="BT41" s="73">
        <v>0</v>
      </c>
      <c r="BU41" s="73">
        <v>0</v>
      </c>
      <c r="BV41" s="73">
        <v>15943</v>
      </c>
      <c r="BW41" s="73">
        <v>0</v>
      </c>
      <c r="BX41" s="73">
        <v>0</v>
      </c>
      <c r="BY41" s="73">
        <v>4665</v>
      </c>
      <c r="BZ41" s="73">
        <v>35943</v>
      </c>
      <c r="CA41" s="73">
        <v>0</v>
      </c>
      <c r="CB41" s="73">
        <v>0</v>
      </c>
      <c r="CC41" s="73">
        <v>23540</v>
      </c>
      <c r="CD41" s="73">
        <v>13137</v>
      </c>
      <c r="CE41" s="73">
        <v>10403</v>
      </c>
      <c r="CF41" s="73">
        <v>0</v>
      </c>
      <c r="CG41" s="73">
        <v>0</v>
      </c>
      <c r="CH41" s="73">
        <v>0</v>
      </c>
      <c r="CI41" s="73">
        <v>23540</v>
      </c>
      <c r="CJ41" s="73">
        <v>0</v>
      </c>
      <c r="CK41" s="73">
        <v>0</v>
      </c>
      <c r="CL41" s="73">
        <v>0</v>
      </c>
      <c r="CM41" s="73">
        <v>0</v>
      </c>
      <c r="CN41" s="73">
        <v>654</v>
      </c>
      <c r="CO41" s="73">
        <v>0</v>
      </c>
      <c r="CP41" s="73">
        <v>447</v>
      </c>
      <c r="CQ41" s="73">
        <v>207</v>
      </c>
      <c r="CR41" s="73">
        <v>0</v>
      </c>
      <c r="CS41" s="73">
        <v>0</v>
      </c>
      <c r="CT41" s="73">
        <v>0</v>
      </c>
      <c r="CU41" s="73">
        <v>0</v>
      </c>
      <c r="CV41" s="73">
        <v>0</v>
      </c>
      <c r="CW41" s="73">
        <v>0</v>
      </c>
      <c r="CX41" s="73">
        <v>0</v>
      </c>
      <c r="CY41" s="73">
        <v>0</v>
      </c>
      <c r="CZ41" s="73">
        <v>0</v>
      </c>
      <c r="DA41" s="73">
        <v>0</v>
      </c>
      <c r="DB41" s="73">
        <v>0</v>
      </c>
      <c r="DC41" s="73">
        <v>0</v>
      </c>
      <c r="DD41" s="73">
        <v>654</v>
      </c>
      <c r="DE41" s="73">
        <v>0</v>
      </c>
      <c r="DF41" s="73">
        <v>447</v>
      </c>
      <c r="DG41" s="73">
        <v>207</v>
      </c>
      <c r="DH41" s="73">
        <v>0</v>
      </c>
      <c r="DI41" s="73">
        <v>0</v>
      </c>
      <c r="DJ41" s="73">
        <v>0</v>
      </c>
      <c r="DK41" s="73">
        <v>0</v>
      </c>
      <c r="DL41" s="73">
        <v>0</v>
      </c>
      <c r="DM41" s="73">
        <v>0</v>
      </c>
      <c r="DN41" s="73">
        <v>0</v>
      </c>
      <c r="DO41" s="73">
        <v>0</v>
      </c>
      <c r="DP41" s="73">
        <v>14013</v>
      </c>
      <c r="DQ41" s="73">
        <v>0</v>
      </c>
      <c r="DR41" s="73">
        <v>13196</v>
      </c>
      <c r="DS41" s="73">
        <v>817</v>
      </c>
      <c r="DT41" s="73">
        <v>0</v>
      </c>
      <c r="DU41" s="73">
        <v>0</v>
      </c>
      <c r="DV41" s="73">
        <v>0</v>
      </c>
      <c r="DW41" s="73">
        <v>0</v>
      </c>
      <c r="DX41" s="73">
        <v>0</v>
      </c>
      <c r="DY41" s="73">
        <v>0</v>
      </c>
      <c r="DZ41" s="73">
        <v>0</v>
      </c>
      <c r="EA41" s="73">
        <v>0</v>
      </c>
      <c r="EB41" s="73">
        <v>10905</v>
      </c>
      <c r="EC41" s="73">
        <v>1108</v>
      </c>
      <c r="ED41" s="73">
        <v>9869</v>
      </c>
      <c r="EE41" s="73">
        <v>-72</v>
      </c>
      <c r="EF41" s="73">
        <v>24918</v>
      </c>
      <c r="EG41" s="73">
        <v>1108</v>
      </c>
      <c r="EH41" s="73">
        <v>23065</v>
      </c>
      <c r="EI41" s="73">
        <v>745</v>
      </c>
      <c r="EJ41" s="73">
        <v>25572</v>
      </c>
      <c r="EK41" s="73">
        <v>1108</v>
      </c>
      <c r="EL41" s="73">
        <v>23512</v>
      </c>
      <c r="EM41" s="73">
        <v>952</v>
      </c>
      <c r="EN41" s="73">
        <v>137</v>
      </c>
      <c r="EO41" s="73">
        <v>16</v>
      </c>
      <c r="EP41" s="73">
        <v>62</v>
      </c>
      <c r="EQ41" s="73">
        <v>0</v>
      </c>
      <c r="ER41" s="73">
        <v>73150</v>
      </c>
      <c r="ES41" s="73">
        <v>0</v>
      </c>
      <c r="ET41" s="73">
        <v>73150</v>
      </c>
      <c r="EU41" s="73">
        <v>980</v>
      </c>
      <c r="EV41" s="73">
        <v>-277</v>
      </c>
      <c r="EW41" s="73">
        <v>0</v>
      </c>
      <c r="EX41" s="73">
        <v>0</v>
      </c>
      <c r="EY41" s="73">
        <v>0</v>
      </c>
      <c r="EZ41" s="73">
        <v>73853</v>
      </c>
      <c r="FA41" s="73">
        <v>20271</v>
      </c>
      <c r="FB41" s="73">
        <v>1682</v>
      </c>
      <c r="FC41" s="73">
        <v>0</v>
      </c>
      <c r="FD41" s="73">
        <v>0</v>
      </c>
      <c r="FE41" s="73">
        <v>-228</v>
      </c>
      <c r="FF41" s="73">
        <v>0</v>
      </c>
      <c r="FG41" s="73">
        <v>0</v>
      </c>
      <c r="FH41" s="73">
        <v>21725</v>
      </c>
      <c r="FI41" s="73">
        <v>52128</v>
      </c>
      <c r="FJ41" s="73">
        <v>52879</v>
      </c>
      <c r="FK41" s="73">
        <v>0</v>
      </c>
      <c r="FL41" s="73">
        <v>0</v>
      </c>
      <c r="FM41" s="73">
        <v>0</v>
      </c>
      <c r="FN41" s="73">
        <v>0</v>
      </c>
      <c r="FO41" s="73">
        <v>0</v>
      </c>
      <c r="FP41" s="73">
        <v>0</v>
      </c>
      <c r="FQ41" s="73">
        <v>0</v>
      </c>
      <c r="FR41" s="73">
        <v>0</v>
      </c>
      <c r="FS41" s="73">
        <v>0</v>
      </c>
      <c r="FT41" s="73">
        <v>0</v>
      </c>
      <c r="FU41" s="73">
        <v>0</v>
      </c>
      <c r="FV41" s="73">
        <v>0</v>
      </c>
      <c r="FW41" s="73">
        <v>0</v>
      </c>
      <c r="FX41" s="73">
        <v>0</v>
      </c>
      <c r="FY41" s="73">
        <v>0</v>
      </c>
      <c r="FZ41" s="73">
        <v>0</v>
      </c>
      <c r="GA41" s="73">
        <v>0</v>
      </c>
      <c r="GB41" s="73">
        <v>0</v>
      </c>
      <c r="GC41" s="73">
        <v>0</v>
      </c>
      <c r="GD41" s="73">
        <v>0</v>
      </c>
      <c r="GE41" s="73">
        <v>0</v>
      </c>
      <c r="GF41" s="73">
        <v>0</v>
      </c>
      <c r="GG41" s="73">
        <v>8</v>
      </c>
      <c r="GH41" s="73">
        <v>0</v>
      </c>
      <c r="GI41" s="73">
        <v>0</v>
      </c>
      <c r="GJ41" s="73">
        <v>0</v>
      </c>
      <c r="GK41" s="73">
        <v>83</v>
      </c>
      <c r="GL41" s="73">
        <v>91</v>
      </c>
      <c r="GM41" s="73">
        <v>346</v>
      </c>
      <c r="GN41" s="73">
        <v>382</v>
      </c>
      <c r="GO41" s="73">
        <v>0</v>
      </c>
      <c r="GP41" s="73">
        <v>0</v>
      </c>
      <c r="GQ41" s="73">
        <v>0</v>
      </c>
      <c r="GR41" s="73">
        <v>761</v>
      </c>
      <c r="GS41" s="73">
        <v>0</v>
      </c>
      <c r="GT41" s="73">
        <v>0</v>
      </c>
      <c r="GU41" s="73">
        <v>0</v>
      </c>
      <c r="GV41" s="73">
        <v>0</v>
      </c>
      <c r="GW41" s="73">
        <v>1948</v>
      </c>
      <c r="GX41" s="73">
        <v>3437</v>
      </c>
      <c r="GY41" s="73">
        <v>0</v>
      </c>
      <c r="GZ41" s="73">
        <v>0</v>
      </c>
      <c r="HA41" s="73">
        <v>4582</v>
      </c>
      <c r="HB41" s="73">
        <v>83</v>
      </c>
      <c r="HC41" s="73">
        <v>4665</v>
      </c>
      <c r="HD41" s="73">
        <v>0</v>
      </c>
      <c r="HE41" s="73">
        <v>0</v>
      </c>
      <c r="HF41" s="73">
        <v>0</v>
      </c>
      <c r="HG41" s="73">
        <v>627</v>
      </c>
      <c r="HH41" s="73">
        <v>0</v>
      </c>
      <c r="HI41" s="73">
        <v>97</v>
      </c>
      <c r="HJ41" s="73">
        <v>0</v>
      </c>
      <c r="HK41" s="73">
        <v>0</v>
      </c>
      <c r="HL41" s="73">
        <v>0</v>
      </c>
      <c r="HM41" s="73">
        <v>724</v>
      </c>
      <c r="HN41" s="73">
        <v>980</v>
      </c>
      <c r="HO41" s="73">
        <v>2130</v>
      </c>
      <c r="HP41" s="73">
        <v>0</v>
      </c>
      <c r="HQ41" s="73">
        <v>0</v>
      </c>
      <c r="HR41" s="73">
        <v>0</v>
      </c>
      <c r="HS41" s="73">
        <v>-10</v>
      </c>
      <c r="HT41" s="73">
        <v>1086</v>
      </c>
      <c r="HU41" s="73">
        <v>0</v>
      </c>
      <c r="HV41" s="73">
        <v>0</v>
      </c>
      <c r="HW41" s="73">
        <v>0</v>
      </c>
      <c r="HX41" s="73">
        <v>350</v>
      </c>
    </row>
    <row r="42" spans="1:232" x14ac:dyDescent="0.2">
      <c r="A42" s="74" t="s">
        <v>34</v>
      </c>
      <c r="B42" s="74" t="s">
        <v>33</v>
      </c>
      <c r="C42" s="75" t="s">
        <v>200</v>
      </c>
      <c r="D42" s="75">
        <v>12</v>
      </c>
      <c r="E42" s="76">
        <v>9802</v>
      </c>
      <c r="F42" s="76">
        <v>0</v>
      </c>
      <c r="G42" s="76">
        <v>-8435</v>
      </c>
      <c r="H42" s="76">
        <v>1367</v>
      </c>
      <c r="I42" s="76">
        <v>83</v>
      </c>
      <c r="J42" s="76">
        <v>0</v>
      </c>
      <c r="K42" s="76">
        <v>0</v>
      </c>
      <c r="L42" s="76">
        <v>0</v>
      </c>
      <c r="M42" s="76">
        <v>42</v>
      </c>
      <c r="N42" s="76">
        <v>-286</v>
      </c>
      <c r="O42" s="76">
        <v>0</v>
      </c>
      <c r="P42" s="76">
        <v>0</v>
      </c>
      <c r="Q42" s="76">
        <v>0</v>
      </c>
      <c r="R42" s="76">
        <v>0</v>
      </c>
      <c r="S42" s="76">
        <v>1206</v>
      </c>
      <c r="T42" s="76">
        <v>0</v>
      </c>
      <c r="U42" s="76">
        <v>1206</v>
      </c>
      <c r="V42" s="76">
        <v>0</v>
      </c>
      <c r="W42" s="76">
        <v>-196</v>
      </c>
      <c r="X42" s="76">
        <v>0</v>
      </c>
      <c r="Y42" s="76">
        <v>0</v>
      </c>
      <c r="Z42" s="76">
        <v>1010</v>
      </c>
      <c r="AA42" s="76">
        <v>6935</v>
      </c>
      <c r="AB42" s="76">
        <v>2657</v>
      </c>
      <c r="AC42" s="76">
        <v>9592</v>
      </c>
      <c r="AD42" s="76">
        <v>0</v>
      </c>
      <c r="AE42" s="76">
        <v>0</v>
      </c>
      <c r="AF42" s="76">
        <v>200</v>
      </c>
      <c r="AG42" s="76">
        <v>10</v>
      </c>
      <c r="AH42" s="76">
        <v>9802</v>
      </c>
      <c r="AI42" s="76">
        <v>2209</v>
      </c>
      <c r="AJ42" s="76">
        <v>2648</v>
      </c>
      <c r="AK42" s="76">
        <v>1484</v>
      </c>
      <c r="AL42" s="76">
        <v>100</v>
      </c>
      <c r="AM42" s="76">
        <v>788</v>
      </c>
      <c r="AN42" s="76">
        <v>540</v>
      </c>
      <c r="AO42" s="76">
        <v>181</v>
      </c>
      <c r="AP42" s="76">
        <v>0</v>
      </c>
      <c r="AQ42" s="76">
        <v>484</v>
      </c>
      <c r="AR42" s="76">
        <v>8434</v>
      </c>
      <c r="AS42" s="76">
        <v>1368</v>
      </c>
      <c r="AT42" s="76">
        <v>156</v>
      </c>
      <c r="AU42" s="76">
        <v>13952</v>
      </c>
      <c r="AV42" s="76">
        <v>0</v>
      </c>
      <c r="AW42" s="76">
        <v>258</v>
      </c>
      <c r="AX42" s="76">
        <v>0</v>
      </c>
      <c r="AY42" s="76">
        <v>0</v>
      </c>
      <c r="AZ42" s="76">
        <v>0</v>
      </c>
      <c r="BA42" s="76">
        <v>0</v>
      </c>
      <c r="BB42" s="76">
        <v>0</v>
      </c>
      <c r="BC42" s="76">
        <v>0</v>
      </c>
      <c r="BD42" s="76">
        <v>0</v>
      </c>
      <c r="BE42" s="76">
        <v>14210</v>
      </c>
      <c r="BF42" s="76">
        <v>0</v>
      </c>
      <c r="BG42" s="76">
        <v>4628</v>
      </c>
      <c r="BH42" s="76">
        <v>4135</v>
      </c>
      <c r="BI42" s="76">
        <v>152</v>
      </c>
      <c r="BJ42" s="76">
        <v>65387</v>
      </c>
      <c r="BK42" s="76">
        <v>74302</v>
      </c>
      <c r="BL42" s="76">
        <v>0</v>
      </c>
      <c r="BM42" s="76">
        <v>0</v>
      </c>
      <c r="BN42" s="76">
        <v>0</v>
      </c>
      <c r="BO42" s="76">
        <v>6026</v>
      </c>
      <c r="BP42" s="76">
        <v>6026</v>
      </c>
      <c r="BQ42" s="76">
        <v>68276</v>
      </c>
      <c r="BR42" s="76">
        <v>82486</v>
      </c>
      <c r="BS42" s="76">
        <v>6000</v>
      </c>
      <c r="BT42" s="76">
        <v>0</v>
      </c>
      <c r="BU42" s="76">
        <v>0</v>
      </c>
      <c r="BV42" s="76">
        <v>593</v>
      </c>
      <c r="BW42" s="76">
        <v>0</v>
      </c>
      <c r="BX42" s="76">
        <v>0</v>
      </c>
      <c r="BY42" s="76">
        <v>65291</v>
      </c>
      <c r="BZ42" s="76">
        <v>71884</v>
      </c>
      <c r="CA42" s="76">
        <v>364</v>
      </c>
      <c r="CB42" s="76">
        <v>0</v>
      </c>
      <c r="CC42" s="76">
        <v>10238</v>
      </c>
      <c r="CD42" s="76">
        <v>10238</v>
      </c>
      <c r="CE42" s="76">
        <v>0</v>
      </c>
      <c r="CF42" s="76">
        <v>0</v>
      </c>
      <c r="CG42" s="76">
        <v>0</v>
      </c>
      <c r="CH42" s="76">
        <v>0</v>
      </c>
      <c r="CI42" s="76">
        <v>10238</v>
      </c>
      <c r="CJ42" s="76">
        <v>0</v>
      </c>
      <c r="CK42" s="76">
        <v>0</v>
      </c>
      <c r="CL42" s="76">
        <v>0</v>
      </c>
      <c r="CM42" s="76">
        <v>0</v>
      </c>
      <c r="CN42" s="76">
        <v>0</v>
      </c>
      <c r="CO42" s="76">
        <v>0</v>
      </c>
      <c r="CP42" s="76">
        <v>0</v>
      </c>
      <c r="CQ42" s="76">
        <v>0</v>
      </c>
      <c r="CR42" s="76">
        <v>0</v>
      </c>
      <c r="CS42" s="76">
        <v>0</v>
      </c>
      <c r="CT42" s="76">
        <v>0</v>
      </c>
      <c r="CU42" s="76">
        <v>0</v>
      </c>
      <c r="CV42" s="76">
        <v>0</v>
      </c>
      <c r="CW42" s="76">
        <v>0</v>
      </c>
      <c r="CX42" s="76">
        <v>0</v>
      </c>
      <c r="CY42" s="76">
        <v>0</v>
      </c>
      <c r="CZ42" s="76">
        <v>0</v>
      </c>
      <c r="DA42" s="76">
        <v>0</v>
      </c>
      <c r="DB42" s="76">
        <v>0</v>
      </c>
      <c r="DC42" s="76">
        <v>0</v>
      </c>
      <c r="DD42" s="76">
        <v>0</v>
      </c>
      <c r="DE42" s="76">
        <v>0</v>
      </c>
      <c r="DF42" s="76">
        <v>0</v>
      </c>
      <c r="DG42" s="76">
        <v>0</v>
      </c>
      <c r="DH42" s="76">
        <v>0</v>
      </c>
      <c r="DI42" s="76">
        <v>0</v>
      </c>
      <c r="DJ42" s="76">
        <v>0</v>
      </c>
      <c r="DK42" s="76">
        <v>0</v>
      </c>
      <c r="DL42" s="76">
        <v>0</v>
      </c>
      <c r="DM42" s="76">
        <v>0</v>
      </c>
      <c r="DN42" s="76">
        <v>0</v>
      </c>
      <c r="DO42" s="76">
        <v>0</v>
      </c>
      <c r="DP42" s="76">
        <v>0</v>
      </c>
      <c r="DQ42" s="76">
        <v>0</v>
      </c>
      <c r="DR42" s="76">
        <v>0</v>
      </c>
      <c r="DS42" s="76">
        <v>0</v>
      </c>
      <c r="DT42" s="76">
        <v>0</v>
      </c>
      <c r="DU42" s="76">
        <v>0</v>
      </c>
      <c r="DV42" s="76">
        <v>0</v>
      </c>
      <c r="DW42" s="76">
        <v>0</v>
      </c>
      <c r="DX42" s="76">
        <v>0</v>
      </c>
      <c r="DY42" s="76">
        <v>0</v>
      </c>
      <c r="DZ42" s="76">
        <v>0</v>
      </c>
      <c r="EA42" s="76">
        <v>0</v>
      </c>
      <c r="EB42" s="76">
        <v>0</v>
      </c>
      <c r="EC42" s="76">
        <v>0</v>
      </c>
      <c r="ED42" s="76">
        <v>0</v>
      </c>
      <c r="EE42" s="76">
        <v>0</v>
      </c>
      <c r="EF42" s="76">
        <v>0</v>
      </c>
      <c r="EG42" s="76">
        <v>0</v>
      </c>
      <c r="EH42" s="76">
        <v>0</v>
      </c>
      <c r="EI42" s="76">
        <v>0</v>
      </c>
      <c r="EJ42" s="76">
        <v>0</v>
      </c>
      <c r="EK42" s="76">
        <v>0</v>
      </c>
      <c r="EL42" s="76">
        <v>0</v>
      </c>
      <c r="EM42" s="76">
        <v>0</v>
      </c>
      <c r="EN42" s="76">
        <v>809</v>
      </c>
      <c r="EO42" s="76">
        <v>143</v>
      </c>
      <c r="EP42" s="76">
        <v>423</v>
      </c>
      <c r="EQ42" s="76">
        <v>143</v>
      </c>
      <c r="ER42" s="76">
        <v>14120</v>
      </c>
      <c r="ES42" s="76">
        <v>0</v>
      </c>
      <c r="ET42" s="76">
        <v>14120</v>
      </c>
      <c r="EU42" s="76">
        <v>367</v>
      </c>
      <c r="EV42" s="76">
        <v>0</v>
      </c>
      <c r="EW42" s="76">
        <v>0</v>
      </c>
      <c r="EX42" s="76">
        <v>0</v>
      </c>
      <c r="EY42" s="76">
        <v>0</v>
      </c>
      <c r="EZ42" s="76">
        <v>14487</v>
      </c>
      <c r="FA42" s="76">
        <v>354</v>
      </c>
      <c r="FB42" s="76">
        <v>181</v>
      </c>
      <c r="FC42" s="76">
        <v>0</v>
      </c>
      <c r="FD42" s="76">
        <v>0</v>
      </c>
      <c r="FE42" s="76">
        <v>0</v>
      </c>
      <c r="FF42" s="76">
        <v>0</v>
      </c>
      <c r="FG42" s="76">
        <v>0</v>
      </c>
      <c r="FH42" s="76">
        <v>535</v>
      </c>
      <c r="FI42" s="76">
        <v>13952</v>
      </c>
      <c r="FJ42" s="76">
        <v>13766</v>
      </c>
      <c r="FK42" s="76">
        <v>0</v>
      </c>
      <c r="FL42" s="76">
        <v>0</v>
      </c>
      <c r="FM42" s="76">
        <v>0</v>
      </c>
      <c r="FN42" s="76">
        <v>83</v>
      </c>
      <c r="FO42" s="76">
        <v>0</v>
      </c>
      <c r="FP42" s="76">
        <v>83</v>
      </c>
      <c r="FQ42" s="76">
        <v>0</v>
      </c>
      <c r="FR42" s="76">
        <v>0</v>
      </c>
      <c r="FS42" s="76">
        <v>0</v>
      </c>
      <c r="FT42" s="76">
        <v>0</v>
      </c>
      <c r="FU42" s="76">
        <v>0</v>
      </c>
      <c r="FV42" s="76">
        <v>0</v>
      </c>
      <c r="FW42" s="76">
        <v>0</v>
      </c>
      <c r="FX42" s="76">
        <v>0</v>
      </c>
      <c r="FY42" s="76">
        <v>0</v>
      </c>
      <c r="FZ42" s="76">
        <v>0</v>
      </c>
      <c r="GA42" s="76">
        <v>0</v>
      </c>
      <c r="GB42" s="76">
        <v>0</v>
      </c>
      <c r="GC42" s="76">
        <v>83</v>
      </c>
      <c r="GD42" s="76">
        <v>0</v>
      </c>
      <c r="GE42" s="76">
        <v>83</v>
      </c>
      <c r="GF42" s="76">
        <v>0</v>
      </c>
      <c r="GG42" s="76">
        <v>0</v>
      </c>
      <c r="GH42" s="76">
        <v>0</v>
      </c>
      <c r="GI42" s="76">
        <v>65292</v>
      </c>
      <c r="GJ42" s="76">
        <v>0</v>
      </c>
      <c r="GK42" s="76">
        <v>95</v>
      </c>
      <c r="GL42" s="76">
        <v>65387</v>
      </c>
      <c r="GM42" s="76">
        <v>394</v>
      </c>
      <c r="GN42" s="76">
        <v>87</v>
      </c>
      <c r="GO42" s="76">
        <v>0</v>
      </c>
      <c r="GP42" s="76">
        <v>0</v>
      </c>
      <c r="GQ42" s="76">
        <v>0</v>
      </c>
      <c r="GR42" s="76">
        <v>1517</v>
      </c>
      <c r="GS42" s="76">
        <v>0</v>
      </c>
      <c r="GT42" s="76">
        <v>4000</v>
      </c>
      <c r="GU42" s="76">
        <v>0</v>
      </c>
      <c r="GV42" s="76">
        <v>0</v>
      </c>
      <c r="GW42" s="76">
        <v>28</v>
      </c>
      <c r="GX42" s="76">
        <v>6026</v>
      </c>
      <c r="GY42" s="76">
        <v>0</v>
      </c>
      <c r="GZ42" s="76">
        <v>0</v>
      </c>
      <c r="HA42" s="76">
        <v>0</v>
      </c>
      <c r="HB42" s="76">
        <v>65292</v>
      </c>
      <c r="HC42" s="76">
        <v>65292</v>
      </c>
      <c r="HD42" s="76">
        <v>0</v>
      </c>
      <c r="HE42" s="76">
        <v>0</v>
      </c>
      <c r="HF42" s="76">
        <v>0</v>
      </c>
      <c r="HG42" s="76">
        <v>282</v>
      </c>
      <c r="HH42" s="76">
        <v>0</v>
      </c>
      <c r="HI42" s="76">
        <v>4</v>
      </c>
      <c r="HJ42" s="76">
        <v>0</v>
      </c>
      <c r="HK42" s="76">
        <v>0</v>
      </c>
      <c r="HL42" s="76">
        <v>0</v>
      </c>
      <c r="HM42" s="76">
        <v>286</v>
      </c>
      <c r="HN42" s="76">
        <v>367</v>
      </c>
      <c r="HO42" s="76">
        <v>181</v>
      </c>
      <c r="HP42" s="76">
        <v>0</v>
      </c>
      <c r="HQ42" s="76">
        <v>0</v>
      </c>
      <c r="HR42" s="76">
        <v>-3</v>
      </c>
      <c r="HS42" s="76">
        <v>0</v>
      </c>
      <c r="HT42" s="76">
        <v>1780</v>
      </c>
      <c r="HU42" s="76">
        <v>0</v>
      </c>
      <c r="HV42" s="76">
        <v>0</v>
      </c>
      <c r="HW42" s="76">
        <v>0</v>
      </c>
      <c r="HX42" s="76">
        <v>0</v>
      </c>
    </row>
    <row r="43" spans="1:232" x14ac:dyDescent="0.2">
      <c r="A43" s="74" t="s">
        <v>278</v>
      </c>
      <c r="B43" s="74" t="s">
        <v>279</v>
      </c>
      <c r="C43" s="75" t="s">
        <v>200</v>
      </c>
      <c r="D43" s="75">
        <v>12</v>
      </c>
      <c r="E43" s="76">
        <v>23500</v>
      </c>
      <c r="F43" s="76">
        <v>-1062</v>
      </c>
      <c r="G43" s="76">
        <v>-16128</v>
      </c>
      <c r="H43" s="76">
        <v>6310</v>
      </c>
      <c r="I43" s="76">
        <v>11</v>
      </c>
      <c r="J43" s="76">
        <v>0</v>
      </c>
      <c r="K43" s="76">
        <v>0</v>
      </c>
      <c r="L43" s="76">
        <v>0</v>
      </c>
      <c r="M43" s="76">
        <v>2</v>
      </c>
      <c r="N43" s="76">
        <v>-4032</v>
      </c>
      <c r="O43" s="76">
        <v>0</v>
      </c>
      <c r="P43" s="76">
        <v>0</v>
      </c>
      <c r="Q43" s="76">
        <v>0</v>
      </c>
      <c r="R43" s="76">
        <v>0</v>
      </c>
      <c r="S43" s="76">
        <v>2291</v>
      </c>
      <c r="T43" s="76">
        <v>0</v>
      </c>
      <c r="U43" s="76">
        <v>2291</v>
      </c>
      <c r="V43" s="76">
        <v>0</v>
      </c>
      <c r="W43" s="76">
        <v>-3387</v>
      </c>
      <c r="X43" s="76">
        <v>0</v>
      </c>
      <c r="Y43" s="76">
        <v>0</v>
      </c>
      <c r="Z43" s="76">
        <v>-1096</v>
      </c>
      <c r="AA43" s="76">
        <v>19561</v>
      </c>
      <c r="AB43" s="76">
        <v>1316</v>
      </c>
      <c r="AC43" s="76">
        <v>20877</v>
      </c>
      <c r="AD43" s="76">
        <v>166</v>
      </c>
      <c r="AE43" s="76">
        <v>0</v>
      </c>
      <c r="AF43" s="76">
        <v>0</v>
      </c>
      <c r="AG43" s="76">
        <v>0</v>
      </c>
      <c r="AH43" s="76">
        <v>21043</v>
      </c>
      <c r="AI43" s="76">
        <v>5141</v>
      </c>
      <c r="AJ43" s="76">
        <v>1105</v>
      </c>
      <c r="AK43" s="76">
        <v>3458</v>
      </c>
      <c r="AL43" s="76">
        <v>436</v>
      </c>
      <c r="AM43" s="76">
        <v>1140</v>
      </c>
      <c r="AN43" s="76">
        <v>339</v>
      </c>
      <c r="AO43" s="76">
        <v>2674</v>
      </c>
      <c r="AP43" s="76">
        <v>0</v>
      </c>
      <c r="AQ43" s="76">
        <v>303</v>
      </c>
      <c r="AR43" s="76">
        <v>14596</v>
      </c>
      <c r="AS43" s="76">
        <v>6447</v>
      </c>
      <c r="AT43" s="76">
        <v>440</v>
      </c>
      <c r="AU43" s="76">
        <v>89797</v>
      </c>
      <c r="AV43" s="76">
        <v>0</v>
      </c>
      <c r="AW43" s="76">
        <v>4685</v>
      </c>
      <c r="AX43" s="76">
        <v>105</v>
      </c>
      <c r="AY43" s="76">
        <v>0</v>
      </c>
      <c r="AZ43" s="76">
        <v>0</v>
      </c>
      <c r="BA43" s="76">
        <v>0</v>
      </c>
      <c r="BB43" s="76">
        <v>0</v>
      </c>
      <c r="BC43" s="76">
        <v>0</v>
      </c>
      <c r="BD43" s="76">
        <v>0</v>
      </c>
      <c r="BE43" s="76">
        <v>94587</v>
      </c>
      <c r="BF43" s="76">
        <v>0</v>
      </c>
      <c r="BG43" s="76">
        <v>1335</v>
      </c>
      <c r="BH43" s="76">
        <v>689</v>
      </c>
      <c r="BI43" s="76">
        <v>0</v>
      </c>
      <c r="BJ43" s="76">
        <v>1989</v>
      </c>
      <c r="BK43" s="76">
        <v>4013</v>
      </c>
      <c r="BL43" s="76">
        <v>0</v>
      </c>
      <c r="BM43" s="76">
        <v>0</v>
      </c>
      <c r="BN43" s="76">
        <v>163</v>
      </c>
      <c r="BO43" s="76">
        <v>4529</v>
      </c>
      <c r="BP43" s="76">
        <v>4692</v>
      </c>
      <c r="BQ43" s="76">
        <v>-679</v>
      </c>
      <c r="BR43" s="76">
        <v>93908</v>
      </c>
      <c r="BS43" s="76">
        <v>90148</v>
      </c>
      <c r="BT43" s="76">
        <v>0</v>
      </c>
      <c r="BU43" s="76">
        <v>0</v>
      </c>
      <c r="BV43" s="76">
        <v>11495</v>
      </c>
      <c r="BW43" s="76">
        <v>0</v>
      </c>
      <c r="BX43" s="76">
        <v>0</v>
      </c>
      <c r="BY43" s="76">
        <v>1113</v>
      </c>
      <c r="BZ43" s="76">
        <v>102756</v>
      </c>
      <c r="CA43" s="76">
        <v>11848</v>
      </c>
      <c r="CB43" s="76">
        <v>0</v>
      </c>
      <c r="CC43" s="76">
        <v>-20696</v>
      </c>
      <c r="CD43" s="76">
        <v>-20696</v>
      </c>
      <c r="CE43" s="76">
        <v>0</v>
      </c>
      <c r="CF43" s="76">
        <v>0</v>
      </c>
      <c r="CG43" s="76">
        <v>0</v>
      </c>
      <c r="CH43" s="76">
        <v>0</v>
      </c>
      <c r="CI43" s="76">
        <v>-20696</v>
      </c>
      <c r="CJ43" s="76">
        <v>0</v>
      </c>
      <c r="CK43" s="76">
        <v>0</v>
      </c>
      <c r="CL43" s="76">
        <v>0</v>
      </c>
      <c r="CM43" s="76">
        <v>0</v>
      </c>
      <c r="CN43" s="76">
        <v>446</v>
      </c>
      <c r="CO43" s="76">
        <v>0</v>
      </c>
      <c r="CP43" s="76">
        <v>282</v>
      </c>
      <c r="CQ43" s="76">
        <v>164</v>
      </c>
      <c r="CR43" s="76">
        <v>0</v>
      </c>
      <c r="CS43" s="76">
        <v>0</v>
      </c>
      <c r="CT43" s="76">
        <v>0</v>
      </c>
      <c r="CU43" s="76">
        <v>0</v>
      </c>
      <c r="CV43" s="76">
        <v>0</v>
      </c>
      <c r="CW43" s="76">
        <v>0</v>
      </c>
      <c r="CX43" s="76">
        <v>0</v>
      </c>
      <c r="CY43" s="76">
        <v>0</v>
      </c>
      <c r="CZ43" s="76">
        <v>0</v>
      </c>
      <c r="DA43" s="76">
        <v>0</v>
      </c>
      <c r="DB43" s="76">
        <v>0</v>
      </c>
      <c r="DC43" s="76">
        <v>0</v>
      </c>
      <c r="DD43" s="76">
        <v>446</v>
      </c>
      <c r="DE43" s="76">
        <v>0</v>
      </c>
      <c r="DF43" s="76">
        <v>282</v>
      </c>
      <c r="DG43" s="76">
        <v>164</v>
      </c>
      <c r="DH43" s="76">
        <v>1030</v>
      </c>
      <c r="DI43" s="76">
        <v>1062</v>
      </c>
      <c r="DJ43" s="76">
        <v>0</v>
      </c>
      <c r="DK43" s="76">
        <v>-32</v>
      </c>
      <c r="DL43" s="76">
        <v>0</v>
      </c>
      <c r="DM43" s="76">
        <v>0</v>
      </c>
      <c r="DN43" s="76">
        <v>0</v>
      </c>
      <c r="DO43" s="76">
        <v>0</v>
      </c>
      <c r="DP43" s="76">
        <v>188</v>
      </c>
      <c r="DQ43" s="76">
        <v>0</v>
      </c>
      <c r="DR43" s="76">
        <v>356</v>
      </c>
      <c r="DS43" s="76">
        <v>-168</v>
      </c>
      <c r="DT43" s="76">
        <v>66</v>
      </c>
      <c r="DU43" s="76">
        <v>0</v>
      </c>
      <c r="DV43" s="76">
        <v>17</v>
      </c>
      <c r="DW43" s="76">
        <v>49</v>
      </c>
      <c r="DX43" s="76">
        <v>0</v>
      </c>
      <c r="DY43" s="76">
        <v>0</v>
      </c>
      <c r="DZ43" s="76">
        <v>0</v>
      </c>
      <c r="EA43" s="76">
        <v>0</v>
      </c>
      <c r="EB43" s="76">
        <v>727</v>
      </c>
      <c r="EC43" s="76">
        <v>0</v>
      </c>
      <c r="ED43" s="76">
        <v>877</v>
      </c>
      <c r="EE43" s="76">
        <v>-150</v>
      </c>
      <c r="EF43" s="76">
        <v>2011</v>
      </c>
      <c r="EG43" s="76">
        <v>1062</v>
      </c>
      <c r="EH43" s="76">
        <v>1250</v>
      </c>
      <c r="EI43" s="76">
        <v>-301</v>
      </c>
      <c r="EJ43" s="76">
        <v>2457</v>
      </c>
      <c r="EK43" s="76">
        <v>1062</v>
      </c>
      <c r="EL43" s="76">
        <v>1532</v>
      </c>
      <c r="EM43" s="76">
        <v>-137</v>
      </c>
      <c r="EN43" s="76">
        <v>789</v>
      </c>
      <c r="EO43" s="76">
        <v>777</v>
      </c>
      <c r="EP43" s="76">
        <v>70</v>
      </c>
      <c r="EQ43" s="76">
        <v>777</v>
      </c>
      <c r="ER43" s="76">
        <v>100944</v>
      </c>
      <c r="ES43" s="76">
        <v>0</v>
      </c>
      <c r="ET43" s="76">
        <v>100944</v>
      </c>
      <c r="EU43" s="76">
        <v>10180</v>
      </c>
      <c r="EV43" s="76">
        <v>-855</v>
      </c>
      <c r="EW43" s="76">
        <v>0</v>
      </c>
      <c r="EX43" s="76">
        <v>0</v>
      </c>
      <c r="EY43" s="76">
        <v>0</v>
      </c>
      <c r="EZ43" s="76">
        <v>110269</v>
      </c>
      <c r="FA43" s="76">
        <v>18232</v>
      </c>
      <c r="FB43" s="76">
        <v>2592</v>
      </c>
      <c r="FC43" s="76">
        <v>0</v>
      </c>
      <c r="FD43" s="76">
        <v>0</v>
      </c>
      <c r="FE43" s="76">
        <v>-352</v>
      </c>
      <c r="FF43" s="76">
        <v>0</v>
      </c>
      <c r="FG43" s="76">
        <v>0</v>
      </c>
      <c r="FH43" s="76">
        <v>20472</v>
      </c>
      <c r="FI43" s="76">
        <v>89797</v>
      </c>
      <c r="FJ43" s="76">
        <v>82712</v>
      </c>
      <c r="FK43" s="76">
        <v>0</v>
      </c>
      <c r="FL43" s="76">
        <v>0</v>
      </c>
      <c r="FM43" s="76">
        <v>0</v>
      </c>
      <c r="FN43" s="76">
        <v>106</v>
      </c>
      <c r="FO43" s="76">
        <v>97</v>
      </c>
      <c r="FP43" s="76">
        <v>9</v>
      </c>
      <c r="FQ43" s="76">
        <v>100</v>
      </c>
      <c r="FR43" s="76">
        <v>98</v>
      </c>
      <c r="FS43" s="76">
        <v>2</v>
      </c>
      <c r="FT43" s="76">
        <v>0</v>
      </c>
      <c r="FU43" s="76">
        <v>0</v>
      </c>
      <c r="FV43" s="76">
        <v>0</v>
      </c>
      <c r="FW43" s="76">
        <v>0</v>
      </c>
      <c r="FX43" s="76">
        <v>0</v>
      </c>
      <c r="FY43" s="76">
        <v>0</v>
      </c>
      <c r="FZ43" s="76">
        <v>0</v>
      </c>
      <c r="GA43" s="76">
        <v>0</v>
      </c>
      <c r="GB43" s="76">
        <v>0</v>
      </c>
      <c r="GC43" s="76">
        <v>206</v>
      </c>
      <c r="GD43" s="76">
        <v>195</v>
      </c>
      <c r="GE43" s="76">
        <v>11</v>
      </c>
      <c r="GF43" s="76">
        <v>1402</v>
      </c>
      <c r="GG43" s="76">
        <v>0</v>
      </c>
      <c r="GH43" s="76">
        <v>0</v>
      </c>
      <c r="GI43" s="76">
        <v>0</v>
      </c>
      <c r="GJ43" s="76">
        <v>0</v>
      </c>
      <c r="GK43" s="76">
        <v>587</v>
      </c>
      <c r="GL43" s="76">
        <v>1989</v>
      </c>
      <c r="GM43" s="76">
        <v>350</v>
      </c>
      <c r="GN43" s="76">
        <v>376</v>
      </c>
      <c r="GO43" s="76">
        <v>562</v>
      </c>
      <c r="GP43" s="76">
        <v>0</v>
      </c>
      <c r="GQ43" s="76">
        <v>187</v>
      </c>
      <c r="GR43" s="76">
        <v>2689</v>
      </c>
      <c r="GS43" s="76">
        <v>0</v>
      </c>
      <c r="GT43" s="76">
        <v>0</v>
      </c>
      <c r="GU43" s="76">
        <v>57</v>
      </c>
      <c r="GV43" s="76">
        <v>0</v>
      </c>
      <c r="GW43" s="76">
        <v>308</v>
      </c>
      <c r="GX43" s="76">
        <v>4529</v>
      </c>
      <c r="GY43" s="76">
        <v>0</v>
      </c>
      <c r="GZ43" s="76">
        <v>725</v>
      </c>
      <c r="HA43" s="76">
        <v>343</v>
      </c>
      <c r="HB43" s="76">
        <v>45</v>
      </c>
      <c r="HC43" s="76">
        <v>1113</v>
      </c>
      <c r="HD43" s="76">
        <v>0</v>
      </c>
      <c r="HE43" s="76">
        <v>0</v>
      </c>
      <c r="HF43" s="76">
        <v>0</v>
      </c>
      <c r="HG43" s="76">
        <v>3710</v>
      </c>
      <c r="HH43" s="76">
        <v>60</v>
      </c>
      <c r="HI43" s="76">
        <v>305</v>
      </c>
      <c r="HJ43" s="76">
        <v>0</v>
      </c>
      <c r="HK43" s="76">
        <v>0</v>
      </c>
      <c r="HL43" s="76">
        <v>-43</v>
      </c>
      <c r="HM43" s="76">
        <v>4032</v>
      </c>
      <c r="HN43" s="76">
        <v>3531</v>
      </c>
      <c r="HO43" s="76">
        <v>2735</v>
      </c>
      <c r="HP43" s="76">
        <v>0</v>
      </c>
      <c r="HQ43" s="76">
        <v>13</v>
      </c>
      <c r="HR43" s="76">
        <v>-39</v>
      </c>
      <c r="HS43" s="76">
        <v>234</v>
      </c>
      <c r="HT43" s="76">
        <v>5010</v>
      </c>
      <c r="HU43" s="76">
        <v>0</v>
      </c>
      <c r="HV43" s="76">
        <v>0</v>
      </c>
      <c r="HW43" s="76">
        <v>-22</v>
      </c>
      <c r="HX43" s="76">
        <v>13</v>
      </c>
    </row>
    <row r="44" spans="1:232" x14ac:dyDescent="0.2">
      <c r="A44" s="74" t="s">
        <v>37</v>
      </c>
      <c r="B44" s="74" t="s">
        <v>35</v>
      </c>
      <c r="C44" s="75" t="s">
        <v>200</v>
      </c>
      <c r="D44" s="75">
        <v>12</v>
      </c>
      <c r="E44" s="76">
        <v>143623</v>
      </c>
      <c r="F44" s="76">
        <v>-6456</v>
      </c>
      <c r="G44" s="76">
        <v>-95167</v>
      </c>
      <c r="H44" s="76">
        <v>42000</v>
      </c>
      <c r="I44" s="76">
        <v>21524</v>
      </c>
      <c r="J44" s="76">
        <v>19781</v>
      </c>
      <c r="K44" s="76">
        <v>0</v>
      </c>
      <c r="L44" s="76">
        <v>0</v>
      </c>
      <c r="M44" s="76">
        <v>2681</v>
      </c>
      <c r="N44" s="76">
        <v>-17264</v>
      </c>
      <c r="O44" s="76">
        <v>4257</v>
      </c>
      <c r="P44" s="76">
        <v>0</v>
      </c>
      <c r="Q44" s="76">
        <v>0</v>
      </c>
      <c r="R44" s="76">
        <v>0</v>
      </c>
      <c r="S44" s="76">
        <v>72979</v>
      </c>
      <c r="T44" s="76">
        <v>0</v>
      </c>
      <c r="U44" s="76">
        <v>72979</v>
      </c>
      <c r="V44" s="76">
        <v>0</v>
      </c>
      <c r="W44" s="76">
        <v>-2643</v>
      </c>
      <c r="X44" s="76">
        <v>0</v>
      </c>
      <c r="Y44" s="76">
        <v>0</v>
      </c>
      <c r="Z44" s="76">
        <v>70336</v>
      </c>
      <c r="AA44" s="76">
        <v>106986</v>
      </c>
      <c r="AB44" s="76">
        <v>8944</v>
      </c>
      <c r="AC44" s="76">
        <v>115930</v>
      </c>
      <c r="AD44" s="76">
        <v>5632</v>
      </c>
      <c r="AE44" s="76">
        <v>0</v>
      </c>
      <c r="AF44" s="76">
        <v>0</v>
      </c>
      <c r="AG44" s="76">
        <v>3082</v>
      </c>
      <c r="AH44" s="76">
        <v>124644</v>
      </c>
      <c r="AI44" s="76">
        <v>22797</v>
      </c>
      <c r="AJ44" s="76">
        <v>12795</v>
      </c>
      <c r="AK44" s="76">
        <v>13941</v>
      </c>
      <c r="AL44" s="76">
        <v>9813</v>
      </c>
      <c r="AM44" s="76">
        <v>0</v>
      </c>
      <c r="AN44" s="76">
        <v>303</v>
      </c>
      <c r="AO44" s="76">
        <v>20959</v>
      </c>
      <c r="AP44" s="76">
        <v>0</v>
      </c>
      <c r="AQ44" s="76">
        <v>254</v>
      </c>
      <c r="AR44" s="76">
        <v>80862</v>
      </c>
      <c r="AS44" s="76">
        <v>43782</v>
      </c>
      <c r="AT44" s="76">
        <v>1481</v>
      </c>
      <c r="AU44" s="76">
        <v>1987704</v>
      </c>
      <c r="AV44" s="76">
        <v>0</v>
      </c>
      <c r="AW44" s="76">
        <v>8930</v>
      </c>
      <c r="AX44" s="76">
        <v>0</v>
      </c>
      <c r="AY44" s="76">
        <v>93119</v>
      </c>
      <c r="AZ44" s="76">
        <v>19131</v>
      </c>
      <c r="BA44" s="76">
        <v>0</v>
      </c>
      <c r="BB44" s="76">
        <v>0</v>
      </c>
      <c r="BC44" s="76">
        <v>0</v>
      </c>
      <c r="BD44" s="76">
        <v>0</v>
      </c>
      <c r="BE44" s="76">
        <v>2108884</v>
      </c>
      <c r="BF44" s="76">
        <v>55447</v>
      </c>
      <c r="BG44" s="76">
        <v>3892</v>
      </c>
      <c r="BH44" s="76">
        <v>16020</v>
      </c>
      <c r="BI44" s="76">
        <v>0</v>
      </c>
      <c r="BJ44" s="76">
        <v>94479</v>
      </c>
      <c r="BK44" s="76">
        <v>169838</v>
      </c>
      <c r="BL44" s="76">
        <v>34240</v>
      </c>
      <c r="BM44" s="76">
        <v>10</v>
      </c>
      <c r="BN44" s="76">
        <v>7329</v>
      </c>
      <c r="BO44" s="76">
        <v>65053</v>
      </c>
      <c r="BP44" s="76">
        <v>106632</v>
      </c>
      <c r="BQ44" s="76">
        <v>63206</v>
      </c>
      <c r="BR44" s="76">
        <v>2172090</v>
      </c>
      <c r="BS44" s="76">
        <v>340368</v>
      </c>
      <c r="BT44" s="76">
        <v>217360</v>
      </c>
      <c r="BU44" s="76">
        <v>0</v>
      </c>
      <c r="BV44" s="76">
        <v>142610</v>
      </c>
      <c r="BW44" s="76">
        <v>447</v>
      </c>
      <c r="BX44" s="76">
        <v>0</v>
      </c>
      <c r="BY44" s="76">
        <v>49387</v>
      </c>
      <c r="BZ44" s="76">
        <v>750172</v>
      </c>
      <c r="CA44" s="76">
        <v>7961</v>
      </c>
      <c r="CB44" s="76">
        <v>0</v>
      </c>
      <c r="CC44" s="76">
        <v>1413957</v>
      </c>
      <c r="CD44" s="76">
        <v>1020498</v>
      </c>
      <c r="CE44" s="76">
        <v>393459</v>
      </c>
      <c r="CF44" s="76">
        <v>0</v>
      </c>
      <c r="CG44" s="76">
        <v>0</v>
      </c>
      <c r="CH44" s="76">
        <v>0</v>
      </c>
      <c r="CI44" s="76">
        <v>1413957</v>
      </c>
      <c r="CJ44" s="76">
        <v>7817</v>
      </c>
      <c r="CK44" s="76">
        <v>5433</v>
      </c>
      <c r="CL44" s="76">
        <v>0</v>
      </c>
      <c r="CM44" s="76">
        <v>2384</v>
      </c>
      <c r="CN44" s="76">
        <v>0</v>
      </c>
      <c r="CO44" s="76">
        <v>0</v>
      </c>
      <c r="CP44" s="76">
        <v>0</v>
      </c>
      <c r="CQ44" s="76">
        <v>0</v>
      </c>
      <c r="CR44" s="76">
        <v>0</v>
      </c>
      <c r="CS44" s="76">
        <v>0</v>
      </c>
      <c r="CT44" s="76">
        <v>0</v>
      </c>
      <c r="CU44" s="76">
        <v>0</v>
      </c>
      <c r="CV44" s="76">
        <v>121</v>
      </c>
      <c r="CW44" s="76">
        <v>0</v>
      </c>
      <c r="CX44" s="76">
        <v>2229</v>
      </c>
      <c r="CY44" s="76">
        <v>-2108</v>
      </c>
      <c r="CZ44" s="76">
        <v>1151</v>
      </c>
      <c r="DA44" s="76">
        <v>0</v>
      </c>
      <c r="DB44" s="76">
        <v>3156</v>
      </c>
      <c r="DC44" s="76">
        <v>-2005</v>
      </c>
      <c r="DD44" s="76">
        <v>9089</v>
      </c>
      <c r="DE44" s="76">
        <v>5433</v>
      </c>
      <c r="DF44" s="76">
        <v>5385</v>
      </c>
      <c r="DG44" s="76">
        <v>-1729</v>
      </c>
      <c r="DH44" s="76">
        <v>0</v>
      </c>
      <c r="DI44" s="76">
        <v>0</v>
      </c>
      <c r="DJ44" s="76">
        <v>0</v>
      </c>
      <c r="DK44" s="76">
        <v>0</v>
      </c>
      <c r="DL44" s="76">
        <v>0</v>
      </c>
      <c r="DM44" s="76">
        <v>0</v>
      </c>
      <c r="DN44" s="76">
        <v>0</v>
      </c>
      <c r="DO44" s="76">
        <v>0</v>
      </c>
      <c r="DP44" s="76">
        <v>2657</v>
      </c>
      <c r="DQ44" s="76">
        <v>0</v>
      </c>
      <c r="DR44" s="76">
        <v>2758</v>
      </c>
      <c r="DS44" s="76">
        <v>-101</v>
      </c>
      <c r="DT44" s="76">
        <v>0</v>
      </c>
      <c r="DU44" s="76">
        <v>0</v>
      </c>
      <c r="DV44" s="76">
        <v>0</v>
      </c>
      <c r="DW44" s="76">
        <v>0</v>
      </c>
      <c r="DX44" s="76">
        <v>0</v>
      </c>
      <c r="DY44" s="76">
        <v>0</v>
      </c>
      <c r="DZ44" s="76">
        <v>0</v>
      </c>
      <c r="EA44" s="76">
        <v>0</v>
      </c>
      <c r="EB44" s="76">
        <v>7233</v>
      </c>
      <c r="EC44" s="76">
        <v>1023</v>
      </c>
      <c r="ED44" s="76">
        <v>6162</v>
      </c>
      <c r="EE44" s="76">
        <v>48</v>
      </c>
      <c r="EF44" s="76">
        <v>9890</v>
      </c>
      <c r="EG44" s="76">
        <v>1023</v>
      </c>
      <c r="EH44" s="76">
        <v>8920</v>
      </c>
      <c r="EI44" s="76">
        <v>-53</v>
      </c>
      <c r="EJ44" s="76">
        <v>18979</v>
      </c>
      <c r="EK44" s="76">
        <v>6456</v>
      </c>
      <c r="EL44" s="76">
        <v>14305</v>
      </c>
      <c r="EM44" s="76">
        <v>-1782</v>
      </c>
      <c r="EN44" s="76">
        <v>4047</v>
      </c>
      <c r="EO44" s="76">
        <v>1199</v>
      </c>
      <c r="EP44" s="76">
        <v>155</v>
      </c>
      <c r="EQ44" s="76">
        <v>1199</v>
      </c>
      <c r="ER44" s="76">
        <v>2075485</v>
      </c>
      <c r="ES44" s="76">
        <v>0</v>
      </c>
      <c r="ET44" s="76">
        <v>2075485</v>
      </c>
      <c r="EU44" s="76">
        <v>102857</v>
      </c>
      <c r="EV44" s="76">
        <v>-30091</v>
      </c>
      <c r="EW44" s="76">
        <v>0</v>
      </c>
      <c r="EX44" s="76">
        <v>0</v>
      </c>
      <c r="EY44" s="76">
        <v>-464</v>
      </c>
      <c r="EZ44" s="76">
        <v>2147787</v>
      </c>
      <c r="FA44" s="76">
        <v>143577</v>
      </c>
      <c r="FB44" s="76">
        <v>19391</v>
      </c>
      <c r="FC44" s="76">
        <v>1452</v>
      </c>
      <c r="FD44" s="76">
        <v>0</v>
      </c>
      <c r="FE44" s="76">
        <v>-4337</v>
      </c>
      <c r="FF44" s="76">
        <v>0</v>
      </c>
      <c r="FG44" s="76">
        <v>0</v>
      </c>
      <c r="FH44" s="76">
        <v>160083</v>
      </c>
      <c r="FI44" s="76">
        <v>1987704</v>
      </c>
      <c r="FJ44" s="76">
        <v>1931908</v>
      </c>
      <c r="FK44" s="76">
        <v>32745</v>
      </c>
      <c r="FL44" s="76">
        <v>19854</v>
      </c>
      <c r="FM44" s="76">
        <v>12891</v>
      </c>
      <c r="FN44" s="76">
        <v>1254</v>
      </c>
      <c r="FO44" s="76">
        <v>723</v>
      </c>
      <c r="FP44" s="76">
        <v>531</v>
      </c>
      <c r="FQ44" s="76">
        <v>0</v>
      </c>
      <c r="FR44" s="76">
        <v>0</v>
      </c>
      <c r="FS44" s="76">
        <v>0</v>
      </c>
      <c r="FT44" s="76">
        <v>31762</v>
      </c>
      <c r="FU44" s="76">
        <v>23585</v>
      </c>
      <c r="FV44" s="76">
        <v>8177</v>
      </c>
      <c r="FW44" s="76">
        <v>0</v>
      </c>
      <c r="FX44" s="76">
        <v>0</v>
      </c>
      <c r="FY44" s="76">
        <v>0</v>
      </c>
      <c r="FZ44" s="76">
        <v>0</v>
      </c>
      <c r="GA44" s="76">
        <v>75</v>
      </c>
      <c r="GB44" s="76">
        <v>-75</v>
      </c>
      <c r="GC44" s="76">
        <v>65761</v>
      </c>
      <c r="GD44" s="76">
        <v>44237</v>
      </c>
      <c r="GE44" s="76">
        <v>21524</v>
      </c>
      <c r="GF44" s="76">
        <v>77954</v>
      </c>
      <c r="GG44" s="76">
        <v>0</v>
      </c>
      <c r="GH44" s="76">
        <v>0</v>
      </c>
      <c r="GI44" s="76">
        <v>0</v>
      </c>
      <c r="GJ44" s="76">
        <v>0</v>
      </c>
      <c r="GK44" s="76">
        <v>16525</v>
      </c>
      <c r="GL44" s="76">
        <v>94479</v>
      </c>
      <c r="GM44" s="76">
        <v>1047</v>
      </c>
      <c r="GN44" s="76">
        <v>0</v>
      </c>
      <c r="GO44" s="76">
        <v>1166</v>
      </c>
      <c r="GP44" s="76">
        <v>19249</v>
      </c>
      <c r="GQ44" s="76">
        <v>1279</v>
      </c>
      <c r="GR44" s="76">
        <v>25039</v>
      </c>
      <c r="GS44" s="76">
        <v>0</v>
      </c>
      <c r="GT44" s="76">
        <v>0</v>
      </c>
      <c r="GU44" s="76">
        <v>0</v>
      </c>
      <c r="GV44" s="76">
        <v>0</v>
      </c>
      <c r="GW44" s="76">
        <v>17273</v>
      </c>
      <c r="GX44" s="76">
        <v>65053</v>
      </c>
      <c r="GY44" s="76">
        <v>49066</v>
      </c>
      <c r="GZ44" s="76">
        <v>79</v>
      </c>
      <c r="HA44" s="76">
        <v>0</v>
      </c>
      <c r="HB44" s="76">
        <v>242</v>
      </c>
      <c r="HC44" s="76">
        <v>49387</v>
      </c>
      <c r="HD44" s="76">
        <v>0</v>
      </c>
      <c r="HE44" s="76">
        <v>0</v>
      </c>
      <c r="HF44" s="76">
        <v>0</v>
      </c>
      <c r="HG44" s="76">
        <v>20782</v>
      </c>
      <c r="HH44" s="76">
        <v>458</v>
      </c>
      <c r="HI44" s="76">
        <v>206</v>
      </c>
      <c r="HJ44" s="76">
        <v>235</v>
      </c>
      <c r="HK44" s="76">
        <v>1037</v>
      </c>
      <c r="HL44" s="76">
        <v>-5454</v>
      </c>
      <c r="HM44" s="76">
        <v>17264</v>
      </c>
      <c r="HN44" s="76">
        <v>23854</v>
      </c>
      <c r="HO44" s="76">
        <v>23258</v>
      </c>
      <c r="HP44" s="76">
        <v>1452</v>
      </c>
      <c r="HQ44" s="76">
        <v>221</v>
      </c>
      <c r="HR44" s="76">
        <v>-226</v>
      </c>
      <c r="HS44" s="76">
        <v>365</v>
      </c>
      <c r="HT44" s="76">
        <v>19164</v>
      </c>
      <c r="HU44" s="76">
        <v>0</v>
      </c>
      <c r="HV44" s="76">
        <v>-271</v>
      </c>
      <c r="HW44" s="76">
        <v>0</v>
      </c>
      <c r="HX44" s="76">
        <v>1989</v>
      </c>
    </row>
    <row r="45" spans="1:232" x14ac:dyDescent="0.2">
      <c r="A45" s="74" t="s">
        <v>280</v>
      </c>
      <c r="B45" s="74" t="s">
        <v>281</v>
      </c>
      <c r="C45" s="75" t="s">
        <v>200</v>
      </c>
      <c r="D45" s="75">
        <v>12</v>
      </c>
      <c r="E45" s="76">
        <v>10392</v>
      </c>
      <c r="F45" s="76">
        <v>0</v>
      </c>
      <c r="G45" s="76">
        <v>-4980</v>
      </c>
      <c r="H45" s="76">
        <v>5412</v>
      </c>
      <c r="I45" s="76">
        <v>1217</v>
      </c>
      <c r="J45" s="76">
        <v>0</v>
      </c>
      <c r="K45" s="76">
        <v>0</v>
      </c>
      <c r="L45" s="76">
        <v>0</v>
      </c>
      <c r="M45" s="76">
        <v>7</v>
      </c>
      <c r="N45" s="76">
        <v>-897</v>
      </c>
      <c r="O45" s="76">
        <v>0</v>
      </c>
      <c r="P45" s="76">
        <v>0</v>
      </c>
      <c r="Q45" s="76">
        <v>0</v>
      </c>
      <c r="R45" s="76">
        <v>0</v>
      </c>
      <c r="S45" s="76">
        <v>5739</v>
      </c>
      <c r="T45" s="76">
        <v>0</v>
      </c>
      <c r="U45" s="76">
        <v>5739</v>
      </c>
      <c r="V45" s="76">
        <v>0</v>
      </c>
      <c r="W45" s="76">
        <v>-642</v>
      </c>
      <c r="X45" s="76">
        <v>0</v>
      </c>
      <c r="Y45" s="76">
        <v>0</v>
      </c>
      <c r="Z45" s="76">
        <v>5097</v>
      </c>
      <c r="AA45" s="76">
        <v>9333</v>
      </c>
      <c r="AB45" s="76">
        <v>46</v>
      </c>
      <c r="AC45" s="76">
        <v>9379</v>
      </c>
      <c r="AD45" s="76">
        <v>244</v>
      </c>
      <c r="AE45" s="76">
        <v>0</v>
      </c>
      <c r="AF45" s="76">
        <v>3</v>
      </c>
      <c r="AG45" s="76">
        <v>14</v>
      </c>
      <c r="AH45" s="76">
        <v>9640</v>
      </c>
      <c r="AI45" s="76">
        <v>1257</v>
      </c>
      <c r="AJ45" s="76">
        <v>164</v>
      </c>
      <c r="AK45" s="76">
        <v>1033</v>
      </c>
      <c r="AL45" s="76">
        <v>402</v>
      </c>
      <c r="AM45" s="76">
        <v>0</v>
      </c>
      <c r="AN45" s="76">
        <v>92</v>
      </c>
      <c r="AO45" s="76">
        <v>1002</v>
      </c>
      <c r="AP45" s="76">
        <v>0</v>
      </c>
      <c r="AQ45" s="76">
        <v>0</v>
      </c>
      <c r="AR45" s="76">
        <v>3950</v>
      </c>
      <c r="AS45" s="76">
        <v>5690</v>
      </c>
      <c r="AT45" s="76">
        <v>14</v>
      </c>
      <c r="AU45" s="76">
        <v>0</v>
      </c>
      <c r="AV45" s="76">
        <v>0</v>
      </c>
      <c r="AW45" s="76">
        <v>0</v>
      </c>
      <c r="AX45" s="76">
        <v>0</v>
      </c>
      <c r="AY45" s="76">
        <v>0</v>
      </c>
      <c r="AZ45" s="76">
        <v>0</v>
      </c>
      <c r="BA45" s="76">
        <v>0</v>
      </c>
      <c r="BB45" s="76">
        <v>0</v>
      </c>
      <c r="BC45" s="76">
        <v>0</v>
      </c>
      <c r="BD45" s="76">
        <v>0</v>
      </c>
      <c r="BE45" s="76">
        <v>0</v>
      </c>
      <c r="BF45" s="76">
        <v>0</v>
      </c>
      <c r="BG45" s="76">
        <v>0</v>
      </c>
      <c r="BH45" s="76">
        <v>0</v>
      </c>
      <c r="BI45" s="76">
        <v>0</v>
      </c>
      <c r="BJ45" s="76">
        <v>0</v>
      </c>
      <c r="BK45" s="76">
        <v>0</v>
      </c>
      <c r="BL45" s="76">
        <v>0</v>
      </c>
      <c r="BM45" s="76">
        <v>0</v>
      </c>
      <c r="BN45" s="76">
        <v>0</v>
      </c>
      <c r="BO45" s="76">
        <v>0</v>
      </c>
      <c r="BP45" s="76">
        <v>0</v>
      </c>
      <c r="BQ45" s="76">
        <v>0</v>
      </c>
      <c r="BR45" s="76">
        <v>0</v>
      </c>
      <c r="BS45" s="76">
        <v>0</v>
      </c>
      <c r="BT45" s="76">
        <v>0</v>
      </c>
      <c r="BU45" s="76">
        <v>0</v>
      </c>
      <c r="BV45" s="76">
        <v>0</v>
      </c>
      <c r="BW45" s="76">
        <v>0</v>
      </c>
      <c r="BX45" s="76">
        <v>0</v>
      </c>
      <c r="BY45" s="76">
        <v>0</v>
      </c>
      <c r="BZ45" s="76">
        <v>0</v>
      </c>
      <c r="CA45" s="76">
        <v>0</v>
      </c>
      <c r="CB45" s="76">
        <v>0</v>
      </c>
      <c r="CC45" s="76">
        <v>0</v>
      </c>
      <c r="CD45" s="76">
        <v>0</v>
      </c>
      <c r="CE45" s="76">
        <v>0</v>
      </c>
      <c r="CF45" s="76">
        <v>0</v>
      </c>
      <c r="CG45" s="76">
        <v>0</v>
      </c>
      <c r="CH45" s="76">
        <v>0</v>
      </c>
      <c r="CI45" s="76">
        <v>0</v>
      </c>
      <c r="CJ45" s="76">
        <v>0</v>
      </c>
      <c r="CK45" s="76">
        <v>0</v>
      </c>
      <c r="CL45" s="76">
        <v>0</v>
      </c>
      <c r="CM45" s="76">
        <v>0</v>
      </c>
      <c r="CN45" s="76">
        <v>0</v>
      </c>
      <c r="CO45" s="76">
        <v>0</v>
      </c>
      <c r="CP45" s="76">
        <v>0</v>
      </c>
      <c r="CQ45" s="76">
        <v>0</v>
      </c>
      <c r="CR45" s="76">
        <v>0</v>
      </c>
      <c r="CS45" s="76">
        <v>0</v>
      </c>
      <c r="CT45" s="76">
        <v>391</v>
      </c>
      <c r="CU45" s="76">
        <v>-391</v>
      </c>
      <c r="CV45" s="76">
        <v>0</v>
      </c>
      <c r="CW45" s="76">
        <v>0</v>
      </c>
      <c r="CX45" s="76">
        <v>0</v>
      </c>
      <c r="CY45" s="76">
        <v>0</v>
      </c>
      <c r="CZ45" s="76">
        <v>0</v>
      </c>
      <c r="DA45" s="76">
        <v>0</v>
      </c>
      <c r="DB45" s="76">
        <v>0</v>
      </c>
      <c r="DC45" s="76">
        <v>0</v>
      </c>
      <c r="DD45" s="76">
        <v>0</v>
      </c>
      <c r="DE45" s="76">
        <v>0</v>
      </c>
      <c r="DF45" s="76">
        <v>391</v>
      </c>
      <c r="DG45" s="76">
        <v>-391</v>
      </c>
      <c r="DH45" s="76">
        <v>0</v>
      </c>
      <c r="DI45" s="76">
        <v>0</v>
      </c>
      <c r="DJ45" s="76">
        <v>0</v>
      </c>
      <c r="DK45" s="76">
        <v>0</v>
      </c>
      <c r="DL45" s="76">
        <v>0</v>
      </c>
      <c r="DM45" s="76">
        <v>0</v>
      </c>
      <c r="DN45" s="76">
        <v>0</v>
      </c>
      <c r="DO45" s="76">
        <v>0</v>
      </c>
      <c r="DP45" s="76">
        <v>0</v>
      </c>
      <c r="DQ45" s="76">
        <v>0</v>
      </c>
      <c r="DR45" s="76">
        <v>0</v>
      </c>
      <c r="DS45" s="76">
        <v>0</v>
      </c>
      <c r="DT45" s="76">
        <v>0</v>
      </c>
      <c r="DU45" s="76">
        <v>0</v>
      </c>
      <c r="DV45" s="76">
        <v>0</v>
      </c>
      <c r="DW45" s="76">
        <v>0</v>
      </c>
      <c r="DX45" s="76">
        <v>0</v>
      </c>
      <c r="DY45" s="76">
        <v>0</v>
      </c>
      <c r="DZ45" s="76">
        <v>0</v>
      </c>
      <c r="EA45" s="76">
        <v>0</v>
      </c>
      <c r="EB45" s="76">
        <v>752</v>
      </c>
      <c r="EC45" s="76">
        <v>0</v>
      </c>
      <c r="ED45" s="76">
        <v>639</v>
      </c>
      <c r="EE45" s="76">
        <v>113</v>
      </c>
      <c r="EF45" s="76">
        <v>752</v>
      </c>
      <c r="EG45" s="76">
        <v>0</v>
      </c>
      <c r="EH45" s="76">
        <v>639</v>
      </c>
      <c r="EI45" s="76">
        <v>113</v>
      </c>
      <c r="EJ45" s="76">
        <v>752</v>
      </c>
      <c r="EK45" s="76">
        <v>0</v>
      </c>
      <c r="EL45" s="76">
        <v>1030</v>
      </c>
      <c r="EM45" s="76">
        <v>-278</v>
      </c>
      <c r="EN45" s="76">
        <v>0</v>
      </c>
      <c r="EO45" s="76">
        <v>0</v>
      </c>
      <c r="EP45" s="76">
        <v>0</v>
      </c>
      <c r="EQ45" s="76">
        <v>0</v>
      </c>
      <c r="ER45" s="76">
        <v>148872</v>
      </c>
      <c r="ES45" s="76">
        <v>0</v>
      </c>
      <c r="ET45" s="76">
        <v>148872</v>
      </c>
      <c r="EU45" s="76">
        <v>1817</v>
      </c>
      <c r="EV45" s="76">
        <v>-933</v>
      </c>
      <c r="EW45" s="76">
        <v>0</v>
      </c>
      <c r="EX45" s="76">
        <v>-149756</v>
      </c>
      <c r="EY45" s="76">
        <v>0</v>
      </c>
      <c r="EZ45" s="76">
        <v>0</v>
      </c>
      <c r="FA45" s="76">
        <v>3632</v>
      </c>
      <c r="FB45" s="76">
        <v>934</v>
      </c>
      <c r="FC45" s="76">
        <v>0</v>
      </c>
      <c r="FD45" s="76">
        <v>0</v>
      </c>
      <c r="FE45" s="76">
        <v>-82</v>
      </c>
      <c r="FF45" s="76">
        <v>-4484</v>
      </c>
      <c r="FG45" s="76">
        <v>0</v>
      </c>
      <c r="FH45" s="76">
        <v>0</v>
      </c>
      <c r="FI45" s="76">
        <v>0</v>
      </c>
      <c r="FJ45" s="76">
        <v>145240</v>
      </c>
      <c r="FK45" s="76">
        <v>211</v>
      </c>
      <c r="FL45" s="76">
        <v>88</v>
      </c>
      <c r="FM45" s="76">
        <v>123</v>
      </c>
      <c r="FN45" s="76">
        <v>1860</v>
      </c>
      <c r="FO45" s="76">
        <v>766</v>
      </c>
      <c r="FP45" s="76">
        <v>1094</v>
      </c>
      <c r="FQ45" s="76">
        <v>0</v>
      </c>
      <c r="FR45" s="76">
        <v>0</v>
      </c>
      <c r="FS45" s="76">
        <v>0</v>
      </c>
      <c r="FT45" s="76">
        <v>0</v>
      </c>
      <c r="FU45" s="76">
        <v>0</v>
      </c>
      <c r="FV45" s="76">
        <v>0</v>
      </c>
      <c r="FW45" s="76">
        <v>0</v>
      </c>
      <c r="FX45" s="76">
        <v>0</v>
      </c>
      <c r="FY45" s="76">
        <v>0</v>
      </c>
      <c r="FZ45" s="76">
        <v>0</v>
      </c>
      <c r="GA45" s="76">
        <v>0</v>
      </c>
      <c r="GB45" s="76">
        <v>0</v>
      </c>
      <c r="GC45" s="76">
        <v>2071</v>
      </c>
      <c r="GD45" s="76">
        <v>854</v>
      </c>
      <c r="GE45" s="76">
        <v>1217</v>
      </c>
      <c r="GF45" s="76">
        <v>0</v>
      </c>
      <c r="GG45" s="76">
        <v>0</v>
      </c>
      <c r="GH45" s="76">
        <v>0</v>
      </c>
      <c r="GI45" s="76">
        <v>0</v>
      </c>
      <c r="GJ45" s="76">
        <v>0</v>
      </c>
      <c r="GK45" s="76">
        <v>0</v>
      </c>
      <c r="GL45" s="76">
        <v>0</v>
      </c>
      <c r="GM45" s="76">
        <v>0</v>
      </c>
      <c r="GN45" s="76">
        <v>0</v>
      </c>
      <c r="GO45" s="76">
        <v>0</v>
      </c>
      <c r="GP45" s="76">
        <v>0</v>
      </c>
      <c r="GQ45" s="76">
        <v>0</v>
      </c>
      <c r="GR45" s="76">
        <v>0</v>
      </c>
      <c r="GS45" s="76">
        <v>0</v>
      </c>
      <c r="GT45" s="76">
        <v>0</v>
      </c>
      <c r="GU45" s="76">
        <v>0</v>
      </c>
      <c r="GV45" s="76">
        <v>0</v>
      </c>
      <c r="GW45" s="76">
        <v>0</v>
      </c>
      <c r="GX45" s="76">
        <v>0</v>
      </c>
      <c r="GY45" s="76">
        <v>0</v>
      </c>
      <c r="GZ45" s="76">
        <v>0</v>
      </c>
      <c r="HA45" s="76">
        <v>0</v>
      </c>
      <c r="HB45" s="76">
        <v>0</v>
      </c>
      <c r="HC45" s="76">
        <v>0</v>
      </c>
      <c r="HD45" s="76">
        <v>0</v>
      </c>
      <c r="HE45" s="76">
        <v>0</v>
      </c>
      <c r="HF45" s="76">
        <v>0</v>
      </c>
      <c r="HG45" s="76">
        <v>748</v>
      </c>
      <c r="HH45" s="76">
        <v>15</v>
      </c>
      <c r="HI45" s="76">
        <v>134</v>
      </c>
      <c r="HJ45" s="76">
        <v>0</v>
      </c>
      <c r="HK45" s="76">
        <v>0</v>
      </c>
      <c r="HL45" s="76">
        <v>0</v>
      </c>
      <c r="HM45" s="76">
        <v>897</v>
      </c>
      <c r="HN45" s="76">
        <v>1817</v>
      </c>
      <c r="HO45" s="76">
        <v>1056</v>
      </c>
      <c r="HP45" s="76">
        <v>0</v>
      </c>
      <c r="HQ45" s="76">
        <v>0</v>
      </c>
      <c r="HR45" s="76">
        <v>-9</v>
      </c>
      <c r="HS45" s="76">
        <v>-1492</v>
      </c>
      <c r="HT45" s="76">
        <v>0</v>
      </c>
      <c r="HU45" s="76">
        <v>0</v>
      </c>
      <c r="HV45" s="76">
        <v>0</v>
      </c>
      <c r="HW45" s="76">
        <v>-47</v>
      </c>
      <c r="HX45" s="76">
        <v>0</v>
      </c>
    </row>
    <row r="46" spans="1:232" x14ac:dyDescent="0.2">
      <c r="A46" s="74" t="s">
        <v>284</v>
      </c>
      <c r="B46" s="74" t="s">
        <v>283</v>
      </c>
      <c r="C46" s="75" t="s">
        <v>200</v>
      </c>
      <c r="D46" s="75">
        <v>12</v>
      </c>
      <c r="E46" s="76">
        <v>29430</v>
      </c>
      <c r="F46" s="76">
        <v>0</v>
      </c>
      <c r="G46" s="76">
        <v>-26715</v>
      </c>
      <c r="H46" s="76">
        <v>2715</v>
      </c>
      <c r="I46" s="76">
        <v>0</v>
      </c>
      <c r="J46" s="76">
        <v>0</v>
      </c>
      <c r="K46" s="76">
        <v>-15</v>
      </c>
      <c r="L46" s="76">
        <v>0</v>
      </c>
      <c r="M46" s="76">
        <v>460</v>
      </c>
      <c r="N46" s="76">
        <v>-471</v>
      </c>
      <c r="O46" s="76">
        <v>326</v>
      </c>
      <c r="P46" s="76">
        <v>0</v>
      </c>
      <c r="Q46" s="76">
        <v>0</v>
      </c>
      <c r="R46" s="76">
        <v>0</v>
      </c>
      <c r="S46" s="76">
        <v>3015</v>
      </c>
      <c r="T46" s="76">
        <v>0</v>
      </c>
      <c r="U46" s="76">
        <v>3015</v>
      </c>
      <c r="V46" s="76">
        <v>0</v>
      </c>
      <c r="W46" s="76">
        <v>-3736</v>
      </c>
      <c r="X46" s="76">
        <v>0</v>
      </c>
      <c r="Y46" s="76">
        <v>0</v>
      </c>
      <c r="Z46" s="76">
        <v>-721</v>
      </c>
      <c r="AA46" s="76">
        <v>16303</v>
      </c>
      <c r="AB46" s="76">
        <v>3113</v>
      </c>
      <c r="AC46" s="76">
        <v>19416</v>
      </c>
      <c r="AD46" s="76">
        <v>380</v>
      </c>
      <c r="AE46" s="76">
        <v>0</v>
      </c>
      <c r="AF46" s="76">
        <v>32</v>
      </c>
      <c r="AG46" s="76">
        <v>1243</v>
      </c>
      <c r="AH46" s="76">
        <v>21071</v>
      </c>
      <c r="AI46" s="76">
        <v>6164</v>
      </c>
      <c r="AJ46" s="76">
        <v>10774</v>
      </c>
      <c r="AK46" s="76">
        <v>815</v>
      </c>
      <c r="AL46" s="76">
        <v>181</v>
      </c>
      <c r="AM46" s="76">
        <v>534</v>
      </c>
      <c r="AN46" s="76">
        <v>195</v>
      </c>
      <c r="AO46" s="76">
        <v>1780</v>
      </c>
      <c r="AP46" s="76">
        <v>0</v>
      </c>
      <c r="AQ46" s="76">
        <v>0</v>
      </c>
      <c r="AR46" s="76">
        <v>20443</v>
      </c>
      <c r="AS46" s="76">
        <v>628</v>
      </c>
      <c r="AT46" s="76">
        <v>3486</v>
      </c>
      <c r="AU46" s="76">
        <v>93023</v>
      </c>
      <c r="AV46" s="76">
        <v>0</v>
      </c>
      <c r="AW46" s="76">
        <v>5492</v>
      </c>
      <c r="AX46" s="76">
        <v>0</v>
      </c>
      <c r="AY46" s="76">
        <v>0</v>
      </c>
      <c r="AZ46" s="76">
        <v>850</v>
      </c>
      <c r="BA46" s="76">
        <v>0</v>
      </c>
      <c r="BB46" s="76">
        <v>0</v>
      </c>
      <c r="BC46" s="76">
        <v>0</v>
      </c>
      <c r="BD46" s="76">
        <v>0</v>
      </c>
      <c r="BE46" s="76">
        <v>99365</v>
      </c>
      <c r="BF46" s="76">
        <v>0</v>
      </c>
      <c r="BG46" s="76">
        <v>1731</v>
      </c>
      <c r="BH46" s="76">
        <v>1407</v>
      </c>
      <c r="BI46" s="76">
        <v>0</v>
      </c>
      <c r="BJ46" s="76">
        <v>7760</v>
      </c>
      <c r="BK46" s="76">
        <v>10898</v>
      </c>
      <c r="BL46" s="76">
        <v>905</v>
      </c>
      <c r="BM46" s="76">
        <v>0</v>
      </c>
      <c r="BN46" s="76">
        <v>379</v>
      </c>
      <c r="BO46" s="76">
        <v>3616</v>
      </c>
      <c r="BP46" s="76">
        <v>4900</v>
      </c>
      <c r="BQ46" s="76">
        <v>5998</v>
      </c>
      <c r="BR46" s="76">
        <v>105363</v>
      </c>
      <c r="BS46" s="76">
        <v>20236</v>
      </c>
      <c r="BT46" s="76">
        <v>0</v>
      </c>
      <c r="BU46" s="76">
        <v>0</v>
      </c>
      <c r="BV46" s="76">
        <v>31887</v>
      </c>
      <c r="BW46" s="76">
        <v>0</v>
      </c>
      <c r="BX46" s="76">
        <v>0</v>
      </c>
      <c r="BY46" s="76">
        <v>0</v>
      </c>
      <c r="BZ46" s="76">
        <v>52123</v>
      </c>
      <c r="CA46" s="76">
        <v>1049</v>
      </c>
      <c r="CB46" s="76">
        <v>0</v>
      </c>
      <c r="CC46" s="76">
        <v>52191</v>
      </c>
      <c r="CD46" s="76">
        <v>51874</v>
      </c>
      <c r="CE46" s="76">
        <v>0</v>
      </c>
      <c r="CF46" s="76">
        <v>317</v>
      </c>
      <c r="CG46" s="76">
        <v>0</v>
      </c>
      <c r="CH46" s="76">
        <v>0</v>
      </c>
      <c r="CI46" s="76">
        <v>52191</v>
      </c>
      <c r="CJ46" s="76">
        <v>0</v>
      </c>
      <c r="CK46" s="76">
        <v>0</v>
      </c>
      <c r="CL46" s="76">
        <v>0</v>
      </c>
      <c r="CM46" s="76">
        <v>0</v>
      </c>
      <c r="CN46" s="76">
        <v>237</v>
      </c>
      <c r="CO46" s="76">
        <v>0</v>
      </c>
      <c r="CP46" s="76">
        <v>240</v>
      </c>
      <c r="CQ46" s="76">
        <v>-3</v>
      </c>
      <c r="CR46" s="76">
        <v>0</v>
      </c>
      <c r="CS46" s="76">
        <v>0</v>
      </c>
      <c r="CT46" s="76">
        <v>0</v>
      </c>
      <c r="CU46" s="76">
        <v>0</v>
      </c>
      <c r="CV46" s="76">
        <v>0</v>
      </c>
      <c r="CW46" s="76">
        <v>0</v>
      </c>
      <c r="CX46" s="76">
        <v>0</v>
      </c>
      <c r="CY46" s="76">
        <v>0</v>
      </c>
      <c r="CZ46" s="76">
        <v>104</v>
      </c>
      <c r="DA46" s="76">
        <v>0</v>
      </c>
      <c r="DB46" s="76">
        <v>106</v>
      </c>
      <c r="DC46" s="76">
        <v>-2</v>
      </c>
      <c r="DD46" s="76">
        <v>341</v>
      </c>
      <c r="DE46" s="76">
        <v>0</v>
      </c>
      <c r="DF46" s="76">
        <v>346</v>
      </c>
      <c r="DG46" s="76">
        <v>-5</v>
      </c>
      <c r="DH46" s="76">
        <v>0</v>
      </c>
      <c r="DI46" s="76">
        <v>0</v>
      </c>
      <c r="DJ46" s="76">
        <v>0</v>
      </c>
      <c r="DK46" s="76">
        <v>0</v>
      </c>
      <c r="DL46" s="76">
        <v>0</v>
      </c>
      <c r="DM46" s="76">
        <v>0</v>
      </c>
      <c r="DN46" s="76">
        <v>0</v>
      </c>
      <c r="DO46" s="76">
        <v>0</v>
      </c>
      <c r="DP46" s="76">
        <v>4622</v>
      </c>
      <c r="DQ46" s="76">
        <v>0</v>
      </c>
      <c r="DR46" s="76">
        <v>5375</v>
      </c>
      <c r="DS46" s="76">
        <v>-753</v>
      </c>
      <c r="DT46" s="76">
        <v>0</v>
      </c>
      <c r="DU46" s="76">
        <v>0</v>
      </c>
      <c r="DV46" s="76">
        <v>0</v>
      </c>
      <c r="DW46" s="76">
        <v>0</v>
      </c>
      <c r="DX46" s="76">
        <v>0</v>
      </c>
      <c r="DY46" s="76">
        <v>0</v>
      </c>
      <c r="DZ46" s="76">
        <v>0</v>
      </c>
      <c r="EA46" s="76">
        <v>0</v>
      </c>
      <c r="EB46" s="76">
        <v>3396</v>
      </c>
      <c r="EC46" s="76">
        <v>0</v>
      </c>
      <c r="ED46" s="76">
        <v>551</v>
      </c>
      <c r="EE46" s="76">
        <v>2845</v>
      </c>
      <c r="EF46" s="76">
        <v>8018</v>
      </c>
      <c r="EG46" s="76">
        <v>0</v>
      </c>
      <c r="EH46" s="76">
        <v>5926</v>
      </c>
      <c r="EI46" s="76">
        <v>2092</v>
      </c>
      <c r="EJ46" s="76">
        <v>8359</v>
      </c>
      <c r="EK46" s="76">
        <v>0</v>
      </c>
      <c r="EL46" s="76">
        <v>6272</v>
      </c>
      <c r="EM46" s="76">
        <v>2087</v>
      </c>
      <c r="EN46" s="76">
        <v>1985</v>
      </c>
      <c r="EO46" s="76">
        <v>368</v>
      </c>
      <c r="EP46" s="76">
        <v>254</v>
      </c>
      <c r="EQ46" s="76">
        <v>368</v>
      </c>
      <c r="ER46" s="76">
        <v>112268</v>
      </c>
      <c r="ES46" s="76">
        <v>0</v>
      </c>
      <c r="ET46" s="76">
        <v>112268</v>
      </c>
      <c r="EU46" s="76">
        <v>6222</v>
      </c>
      <c r="EV46" s="76">
        <v>-605</v>
      </c>
      <c r="EW46" s="76">
        <v>0</v>
      </c>
      <c r="EX46" s="76">
        <v>0</v>
      </c>
      <c r="EY46" s="76">
        <v>0</v>
      </c>
      <c r="EZ46" s="76">
        <v>117885</v>
      </c>
      <c r="FA46" s="76">
        <v>23677</v>
      </c>
      <c r="FB46" s="76">
        <v>1745</v>
      </c>
      <c r="FC46" s="76">
        <v>0</v>
      </c>
      <c r="FD46" s="76">
        <v>0</v>
      </c>
      <c r="FE46" s="76">
        <v>-560</v>
      </c>
      <c r="FF46" s="76">
        <v>0</v>
      </c>
      <c r="FG46" s="76">
        <v>0</v>
      </c>
      <c r="FH46" s="76">
        <v>24862</v>
      </c>
      <c r="FI46" s="76">
        <v>93023</v>
      </c>
      <c r="FJ46" s="76">
        <v>88591</v>
      </c>
      <c r="FK46" s="76">
        <v>0</v>
      </c>
      <c r="FL46" s="76">
        <v>0</v>
      </c>
      <c r="FM46" s="76">
        <v>0</v>
      </c>
      <c r="FN46" s="76">
        <v>0</v>
      </c>
      <c r="FO46" s="76">
        <v>0</v>
      </c>
      <c r="FP46" s="76">
        <v>0</v>
      </c>
      <c r="FQ46" s="76">
        <v>0</v>
      </c>
      <c r="FR46" s="76">
        <v>0</v>
      </c>
      <c r="FS46" s="76">
        <v>0</v>
      </c>
      <c r="FT46" s="76">
        <v>0</v>
      </c>
      <c r="FU46" s="76">
        <v>0</v>
      </c>
      <c r="FV46" s="76">
        <v>0</v>
      </c>
      <c r="FW46" s="76">
        <v>0</v>
      </c>
      <c r="FX46" s="76">
        <v>0</v>
      </c>
      <c r="FY46" s="76">
        <v>0</v>
      </c>
      <c r="FZ46" s="76">
        <v>0</v>
      </c>
      <c r="GA46" s="76">
        <v>0</v>
      </c>
      <c r="GB46" s="76">
        <v>0</v>
      </c>
      <c r="GC46" s="76">
        <v>0</v>
      </c>
      <c r="GD46" s="76">
        <v>0</v>
      </c>
      <c r="GE46" s="76">
        <v>0</v>
      </c>
      <c r="GF46" s="76">
        <v>5525</v>
      </c>
      <c r="GG46" s="76">
        <v>19</v>
      </c>
      <c r="GH46" s="76">
        <v>0</v>
      </c>
      <c r="GI46" s="76">
        <v>0</v>
      </c>
      <c r="GJ46" s="76">
        <v>0</v>
      </c>
      <c r="GK46" s="76">
        <v>2216</v>
      </c>
      <c r="GL46" s="76">
        <v>7760</v>
      </c>
      <c r="GM46" s="76">
        <v>322</v>
      </c>
      <c r="GN46" s="76">
        <v>406</v>
      </c>
      <c r="GO46" s="76">
        <v>56</v>
      </c>
      <c r="GP46" s="76">
        <v>0</v>
      </c>
      <c r="GQ46" s="76">
        <v>0</v>
      </c>
      <c r="GR46" s="76">
        <v>2445</v>
      </c>
      <c r="GS46" s="76">
        <v>0</v>
      </c>
      <c r="GT46" s="76">
        <v>0</v>
      </c>
      <c r="GU46" s="76">
        <v>0</v>
      </c>
      <c r="GV46" s="76">
        <v>0</v>
      </c>
      <c r="GW46" s="76">
        <v>387</v>
      </c>
      <c r="GX46" s="76">
        <v>3616</v>
      </c>
      <c r="GY46" s="76">
        <v>0</v>
      </c>
      <c r="GZ46" s="76">
        <v>0</v>
      </c>
      <c r="HA46" s="76">
        <v>0</v>
      </c>
      <c r="HB46" s="76">
        <v>0</v>
      </c>
      <c r="HC46" s="76">
        <v>0</v>
      </c>
      <c r="HD46" s="76">
        <v>0</v>
      </c>
      <c r="HE46" s="76">
        <v>0</v>
      </c>
      <c r="HF46" s="76">
        <v>0</v>
      </c>
      <c r="HG46" s="76">
        <v>866</v>
      </c>
      <c r="HH46" s="76">
        <v>0</v>
      </c>
      <c r="HI46" s="76">
        <v>0</v>
      </c>
      <c r="HJ46" s="76">
        <v>0</v>
      </c>
      <c r="HK46" s="76">
        <v>0</v>
      </c>
      <c r="HL46" s="76">
        <v>-395</v>
      </c>
      <c r="HM46" s="76">
        <v>471</v>
      </c>
      <c r="HN46" s="76">
        <v>2005</v>
      </c>
      <c r="HO46" s="76">
        <v>2505</v>
      </c>
      <c r="HP46" s="76">
        <v>0</v>
      </c>
      <c r="HQ46" s="76">
        <v>1</v>
      </c>
      <c r="HR46" s="76">
        <v>0</v>
      </c>
      <c r="HS46" s="76">
        <v>-249</v>
      </c>
      <c r="HT46" s="76">
        <v>1963</v>
      </c>
      <c r="HU46" s="76">
        <v>0</v>
      </c>
      <c r="HV46" s="76">
        <v>0</v>
      </c>
      <c r="HW46" s="76">
        <v>0</v>
      </c>
      <c r="HX46" s="76">
        <v>101</v>
      </c>
    </row>
    <row r="47" spans="1:232" x14ac:dyDescent="0.2">
      <c r="A47" s="74" t="s">
        <v>39</v>
      </c>
      <c r="B47" s="74" t="s">
        <v>38</v>
      </c>
      <c r="C47" s="75" t="s">
        <v>200</v>
      </c>
      <c r="D47" s="75">
        <v>12</v>
      </c>
      <c r="E47" s="76">
        <v>19932</v>
      </c>
      <c r="F47" s="76">
        <v>-561</v>
      </c>
      <c r="G47" s="76">
        <v>-13443</v>
      </c>
      <c r="H47" s="76">
        <v>5928</v>
      </c>
      <c r="I47" s="76">
        <v>383</v>
      </c>
      <c r="J47" s="76">
        <v>0</v>
      </c>
      <c r="K47" s="76">
        <v>0</v>
      </c>
      <c r="L47" s="76">
        <v>0</v>
      </c>
      <c r="M47" s="76">
        <v>28</v>
      </c>
      <c r="N47" s="76">
        <v>-802</v>
      </c>
      <c r="O47" s="76">
        <v>0</v>
      </c>
      <c r="P47" s="76">
        <v>0</v>
      </c>
      <c r="Q47" s="76">
        <v>0</v>
      </c>
      <c r="R47" s="76">
        <v>0</v>
      </c>
      <c r="S47" s="76">
        <v>5537</v>
      </c>
      <c r="T47" s="76">
        <v>-5</v>
      </c>
      <c r="U47" s="76">
        <v>5532</v>
      </c>
      <c r="V47" s="76">
        <v>0</v>
      </c>
      <c r="W47" s="76">
        <v>-4800</v>
      </c>
      <c r="X47" s="76">
        <v>0</v>
      </c>
      <c r="Y47" s="76">
        <v>0</v>
      </c>
      <c r="Z47" s="76">
        <v>732</v>
      </c>
      <c r="AA47" s="76">
        <v>16214</v>
      </c>
      <c r="AB47" s="76">
        <v>946</v>
      </c>
      <c r="AC47" s="76">
        <v>17160</v>
      </c>
      <c r="AD47" s="76">
        <v>1494</v>
      </c>
      <c r="AE47" s="76">
        <v>0</v>
      </c>
      <c r="AF47" s="76">
        <v>0</v>
      </c>
      <c r="AG47" s="76">
        <v>0</v>
      </c>
      <c r="AH47" s="76">
        <v>18654</v>
      </c>
      <c r="AI47" s="76">
        <v>3412</v>
      </c>
      <c r="AJ47" s="76">
        <v>1483</v>
      </c>
      <c r="AK47" s="76">
        <v>3916</v>
      </c>
      <c r="AL47" s="76">
        <v>0</v>
      </c>
      <c r="AM47" s="76">
        <v>0</v>
      </c>
      <c r="AN47" s="76">
        <v>107</v>
      </c>
      <c r="AO47" s="76">
        <v>3801</v>
      </c>
      <c r="AP47" s="76">
        <v>103</v>
      </c>
      <c r="AQ47" s="76">
        <v>592</v>
      </c>
      <c r="AR47" s="76">
        <v>13414</v>
      </c>
      <c r="AS47" s="76">
        <v>5240</v>
      </c>
      <c r="AT47" s="76">
        <v>205</v>
      </c>
      <c r="AU47" s="76">
        <v>85239</v>
      </c>
      <c r="AV47" s="76">
        <v>0</v>
      </c>
      <c r="AW47" s="76">
        <v>490</v>
      </c>
      <c r="AX47" s="76">
        <v>0</v>
      </c>
      <c r="AY47" s="76">
        <v>0</v>
      </c>
      <c r="AZ47" s="76">
        <v>0</v>
      </c>
      <c r="BA47" s="76">
        <v>0</v>
      </c>
      <c r="BB47" s="76">
        <v>0</v>
      </c>
      <c r="BC47" s="76">
        <v>0</v>
      </c>
      <c r="BD47" s="76">
        <v>0</v>
      </c>
      <c r="BE47" s="76">
        <v>85729</v>
      </c>
      <c r="BF47" s="76">
        <v>362</v>
      </c>
      <c r="BG47" s="76">
        <v>1422</v>
      </c>
      <c r="BH47" s="76">
        <v>7044</v>
      </c>
      <c r="BI47" s="76">
        <v>0</v>
      </c>
      <c r="BJ47" s="76">
        <v>4838</v>
      </c>
      <c r="BK47" s="76">
        <v>13666</v>
      </c>
      <c r="BL47" s="76">
        <v>0</v>
      </c>
      <c r="BM47" s="76">
        <v>0</v>
      </c>
      <c r="BN47" s="76">
        <v>1507</v>
      </c>
      <c r="BO47" s="76">
        <v>2729</v>
      </c>
      <c r="BP47" s="76">
        <v>4236</v>
      </c>
      <c r="BQ47" s="76">
        <v>9430</v>
      </c>
      <c r="BR47" s="76">
        <v>95159</v>
      </c>
      <c r="BS47" s="76">
        <v>16000</v>
      </c>
      <c r="BT47" s="76">
        <v>0</v>
      </c>
      <c r="BU47" s="76">
        <v>0</v>
      </c>
      <c r="BV47" s="76">
        <v>35438</v>
      </c>
      <c r="BW47" s="76">
        <v>0</v>
      </c>
      <c r="BX47" s="76">
        <v>0</v>
      </c>
      <c r="BY47" s="76">
        <v>7821</v>
      </c>
      <c r="BZ47" s="76">
        <v>59259</v>
      </c>
      <c r="CA47" s="76">
        <v>0</v>
      </c>
      <c r="CB47" s="76">
        <v>4654</v>
      </c>
      <c r="CC47" s="76">
        <v>31246</v>
      </c>
      <c r="CD47" s="76">
        <v>31246</v>
      </c>
      <c r="CE47" s="76">
        <v>0</v>
      </c>
      <c r="CF47" s="76">
        <v>0</v>
      </c>
      <c r="CG47" s="76">
        <v>0</v>
      </c>
      <c r="CH47" s="76">
        <v>0</v>
      </c>
      <c r="CI47" s="76">
        <v>31246</v>
      </c>
      <c r="CJ47" s="76">
        <v>281</v>
      </c>
      <c r="CK47" s="76">
        <v>205</v>
      </c>
      <c r="CL47" s="76">
        <v>0</v>
      </c>
      <c r="CM47" s="76">
        <v>76</v>
      </c>
      <c r="CN47" s="76">
        <v>8</v>
      </c>
      <c r="CO47" s="76">
        <v>0</v>
      </c>
      <c r="CP47" s="76">
        <v>0</v>
      </c>
      <c r="CQ47" s="76">
        <v>8</v>
      </c>
      <c r="CR47" s="76">
        <v>0</v>
      </c>
      <c r="CS47" s="76">
        <v>0</v>
      </c>
      <c r="CT47" s="76">
        <v>0</v>
      </c>
      <c r="CU47" s="76">
        <v>0</v>
      </c>
      <c r="CV47" s="76">
        <v>0</v>
      </c>
      <c r="CW47" s="76">
        <v>0</v>
      </c>
      <c r="CX47" s="76">
        <v>0</v>
      </c>
      <c r="CY47" s="76">
        <v>0</v>
      </c>
      <c r="CZ47" s="76">
        <v>539</v>
      </c>
      <c r="DA47" s="76">
        <v>0</v>
      </c>
      <c r="DB47" s="76">
        <v>0</v>
      </c>
      <c r="DC47" s="76">
        <v>539</v>
      </c>
      <c r="DD47" s="76">
        <v>828</v>
      </c>
      <c r="DE47" s="76">
        <v>205</v>
      </c>
      <c r="DF47" s="76">
        <v>0</v>
      </c>
      <c r="DG47" s="76">
        <v>623</v>
      </c>
      <c r="DH47" s="76">
        <v>250</v>
      </c>
      <c r="DI47" s="76">
        <v>185</v>
      </c>
      <c r="DJ47" s="76">
        <v>0</v>
      </c>
      <c r="DK47" s="76">
        <v>65</v>
      </c>
      <c r="DL47" s="76">
        <v>0</v>
      </c>
      <c r="DM47" s="76">
        <v>0</v>
      </c>
      <c r="DN47" s="76">
        <v>0</v>
      </c>
      <c r="DO47" s="76">
        <v>0</v>
      </c>
      <c r="DP47" s="76">
        <v>0</v>
      </c>
      <c r="DQ47" s="76">
        <v>0</v>
      </c>
      <c r="DR47" s="76">
        <v>0</v>
      </c>
      <c r="DS47" s="76">
        <v>0</v>
      </c>
      <c r="DT47" s="76">
        <v>0</v>
      </c>
      <c r="DU47" s="76">
        <v>0</v>
      </c>
      <c r="DV47" s="76">
        <v>0</v>
      </c>
      <c r="DW47" s="76">
        <v>0</v>
      </c>
      <c r="DX47" s="76">
        <v>0</v>
      </c>
      <c r="DY47" s="76">
        <v>0</v>
      </c>
      <c r="DZ47" s="76">
        <v>0</v>
      </c>
      <c r="EA47" s="76">
        <v>0</v>
      </c>
      <c r="EB47" s="76">
        <v>199</v>
      </c>
      <c r="EC47" s="76">
        <v>171</v>
      </c>
      <c r="ED47" s="76">
        <v>28</v>
      </c>
      <c r="EE47" s="76">
        <v>0</v>
      </c>
      <c r="EF47" s="76">
        <v>449</v>
      </c>
      <c r="EG47" s="76">
        <v>356</v>
      </c>
      <c r="EH47" s="76">
        <v>28</v>
      </c>
      <c r="EI47" s="76">
        <v>65</v>
      </c>
      <c r="EJ47" s="76">
        <v>1277</v>
      </c>
      <c r="EK47" s="76">
        <v>561</v>
      </c>
      <c r="EL47" s="76">
        <v>28</v>
      </c>
      <c r="EM47" s="76">
        <v>688</v>
      </c>
      <c r="EN47" s="76">
        <v>1368</v>
      </c>
      <c r="EO47" s="76">
        <v>163</v>
      </c>
      <c r="EP47" s="76">
        <v>309</v>
      </c>
      <c r="EQ47" s="76">
        <v>163</v>
      </c>
      <c r="ER47" s="76">
        <v>94409</v>
      </c>
      <c r="ES47" s="76">
        <v>0</v>
      </c>
      <c r="ET47" s="76">
        <v>94409</v>
      </c>
      <c r="EU47" s="76">
        <v>10603</v>
      </c>
      <c r="EV47" s="76">
        <v>-430</v>
      </c>
      <c r="EW47" s="76">
        <v>0</v>
      </c>
      <c r="EX47" s="76">
        <v>0</v>
      </c>
      <c r="EY47" s="76">
        <v>0</v>
      </c>
      <c r="EZ47" s="76">
        <v>104582</v>
      </c>
      <c r="FA47" s="76">
        <v>15529</v>
      </c>
      <c r="FB47" s="76">
        <v>3801</v>
      </c>
      <c r="FC47" s="76">
        <v>103</v>
      </c>
      <c r="FD47" s="76">
        <v>0</v>
      </c>
      <c r="FE47" s="76">
        <v>-90</v>
      </c>
      <c r="FF47" s="76">
        <v>0</v>
      </c>
      <c r="FG47" s="76">
        <v>0</v>
      </c>
      <c r="FH47" s="76">
        <v>19343</v>
      </c>
      <c r="FI47" s="76">
        <v>85239</v>
      </c>
      <c r="FJ47" s="76">
        <v>78880</v>
      </c>
      <c r="FK47" s="76">
        <v>0</v>
      </c>
      <c r="FL47" s="76">
        <v>0</v>
      </c>
      <c r="FM47" s="76">
        <v>0</v>
      </c>
      <c r="FN47" s="76">
        <v>699</v>
      </c>
      <c r="FO47" s="76">
        <v>310</v>
      </c>
      <c r="FP47" s="76">
        <v>389</v>
      </c>
      <c r="FQ47" s="76">
        <v>100</v>
      </c>
      <c r="FR47" s="76">
        <v>106</v>
      </c>
      <c r="FS47" s="76">
        <v>-6</v>
      </c>
      <c r="FT47" s="76">
        <v>0</v>
      </c>
      <c r="FU47" s="76">
        <v>0</v>
      </c>
      <c r="FV47" s="76">
        <v>0</v>
      </c>
      <c r="FW47" s="76">
        <v>0</v>
      </c>
      <c r="FX47" s="76">
        <v>0</v>
      </c>
      <c r="FY47" s="76">
        <v>0</v>
      </c>
      <c r="FZ47" s="76">
        <v>0</v>
      </c>
      <c r="GA47" s="76">
        <v>0</v>
      </c>
      <c r="GB47" s="76">
        <v>0</v>
      </c>
      <c r="GC47" s="76">
        <v>799</v>
      </c>
      <c r="GD47" s="76">
        <v>416</v>
      </c>
      <c r="GE47" s="76">
        <v>383</v>
      </c>
      <c r="GF47" s="76">
        <v>0</v>
      </c>
      <c r="GG47" s="76">
        <v>0</v>
      </c>
      <c r="GH47" s="76">
        <v>0</v>
      </c>
      <c r="GI47" s="76">
        <v>0</v>
      </c>
      <c r="GJ47" s="76">
        <v>0</v>
      </c>
      <c r="GK47" s="76">
        <v>4838</v>
      </c>
      <c r="GL47" s="76">
        <v>4838</v>
      </c>
      <c r="GM47" s="76">
        <v>59</v>
      </c>
      <c r="GN47" s="76">
        <v>176</v>
      </c>
      <c r="GO47" s="76">
        <v>666</v>
      </c>
      <c r="GP47" s="76">
        <v>0</v>
      </c>
      <c r="GQ47" s="76">
        <v>0</v>
      </c>
      <c r="GR47" s="76">
        <v>1828</v>
      </c>
      <c r="GS47" s="76">
        <v>0</v>
      </c>
      <c r="GT47" s="76">
        <v>0</v>
      </c>
      <c r="GU47" s="76">
        <v>0</v>
      </c>
      <c r="GV47" s="76">
        <v>0</v>
      </c>
      <c r="GW47" s="76">
        <v>0</v>
      </c>
      <c r="GX47" s="76">
        <v>2729</v>
      </c>
      <c r="GY47" s="76">
        <v>0</v>
      </c>
      <c r="GZ47" s="76">
        <v>91</v>
      </c>
      <c r="HA47" s="76">
        <v>7730</v>
      </c>
      <c r="HB47" s="76">
        <v>0</v>
      </c>
      <c r="HC47" s="76">
        <v>7821</v>
      </c>
      <c r="HD47" s="76">
        <v>0</v>
      </c>
      <c r="HE47" s="76">
        <v>4654</v>
      </c>
      <c r="HF47" s="76">
        <v>4654</v>
      </c>
      <c r="HG47" s="76">
        <v>795</v>
      </c>
      <c r="HH47" s="76">
        <v>0</v>
      </c>
      <c r="HI47" s="76">
        <v>0</v>
      </c>
      <c r="HJ47" s="76">
        <v>0</v>
      </c>
      <c r="HK47" s="76">
        <v>7</v>
      </c>
      <c r="HL47" s="76">
        <v>0</v>
      </c>
      <c r="HM47" s="76">
        <v>802</v>
      </c>
      <c r="HN47" s="76">
        <v>4588</v>
      </c>
      <c r="HO47" s="76">
        <v>3964</v>
      </c>
      <c r="HP47" s="76">
        <v>285</v>
      </c>
      <c r="HQ47" s="76">
        <v>43</v>
      </c>
      <c r="HR47" s="76">
        <v>-25</v>
      </c>
      <c r="HS47" s="76">
        <v>12</v>
      </c>
      <c r="HT47" s="76">
        <v>4225</v>
      </c>
      <c r="HU47" s="76">
        <v>0</v>
      </c>
      <c r="HV47" s="76">
        <v>0</v>
      </c>
      <c r="HW47" s="76">
        <v>0</v>
      </c>
      <c r="HX47" s="76">
        <v>1</v>
      </c>
    </row>
    <row r="48" spans="1:232" x14ac:dyDescent="0.2">
      <c r="A48" s="74" t="s">
        <v>285</v>
      </c>
      <c r="B48" s="74" t="s">
        <v>286</v>
      </c>
      <c r="C48" s="75" t="s">
        <v>200</v>
      </c>
      <c r="D48" s="75">
        <v>12</v>
      </c>
      <c r="E48" s="76">
        <v>13464</v>
      </c>
      <c r="F48" s="76">
        <v>0</v>
      </c>
      <c r="G48" s="76">
        <v>-13525</v>
      </c>
      <c r="H48" s="76">
        <v>-61</v>
      </c>
      <c r="I48" s="76">
        <v>-15</v>
      </c>
      <c r="J48" s="76">
        <v>0</v>
      </c>
      <c r="K48" s="76">
        <v>0</v>
      </c>
      <c r="L48" s="76">
        <v>0</v>
      </c>
      <c r="M48" s="76">
        <v>0</v>
      </c>
      <c r="N48" s="76">
        <v>-371</v>
      </c>
      <c r="O48" s="76">
        <v>0</v>
      </c>
      <c r="P48" s="76">
        <v>0</v>
      </c>
      <c r="Q48" s="76">
        <v>0</v>
      </c>
      <c r="R48" s="76">
        <v>0</v>
      </c>
      <c r="S48" s="76">
        <v>-447</v>
      </c>
      <c r="T48" s="76">
        <v>0</v>
      </c>
      <c r="U48" s="76">
        <v>-447</v>
      </c>
      <c r="V48" s="76">
        <v>0</v>
      </c>
      <c r="W48" s="76">
        <v>0</v>
      </c>
      <c r="X48" s="76">
        <v>0</v>
      </c>
      <c r="Y48" s="76">
        <v>0</v>
      </c>
      <c r="Z48" s="76">
        <v>-447</v>
      </c>
      <c r="AA48" s="76">
        <v>3533</v>
      </c>
      <c r="AB48" s="76">
        <v>2936</v>
      </c>
      <c r="AC48" s="76">
        <v>6469</v>
      </c>
      <c r="AD48" s="76">
        <v>689</v>
      </c>
      <c r="AE48" s="76">
        <v>0</v>
      </c>
      <c r="AF48" s="76">
        <v>596</v>
      </c>
      <c r="AG48" s="76">
        <v>245</v>
      </c>
      <c r="AH48" s="76">
        <v>7999</v>
      </c>
      <c r="AI48" s="76">
        <v>2966</v>
      </c>
      <c r="AJ48" s="76">
        <v>1123</v>
      </c>
      <c r="AK48" s="76">
        <v>482</v>
      </c>
      <c r="AL48" s="76">
        <v>7</v>
      </c>
      <c r="AM48" s="76">
        <v>0</v>
      </c>
      <c r="AN48" s="76">
        <v>269</v>
      </c>
      <c r="AO48" s="76">
        <v>714</v>
      </c>
      <c r="AP48" s="76">
        <v>0</v>
      </c>
      <c r="AQ48" s="76">
        <v>2692</v>
      </c>
      <c r="AR48" s="76">
        <v>8253</v>
      </c>
      <c r="AS48" s="76">
        <v>-254</v>
      </c>
      <c r="AT48" s="76">
        <v>543</v>
      </c>
      <c r="AU48" s="76">
        <v>29933</v>
      </c>
      <c r="AV48" s="76">
        <v>0</v>
      </c>
      <c r="AW48" s="76">
        <v>589</v>
      </c>
      <c r="AX48" s="76">
        <v>0</v>
      </c>
      <c r="AY48" s="76">
        <v>0</v>
      </c>
      <c r="AZ48" s="76">
        <v>0</v>
      </c>
      <c r="BA48" s="76">
        <v>0</v>
      </c>
      <c r="BB48" s="76">
        <v>0</v>
      </c>
      <c r="BC48" s="76">
        <v>0</v>
      </c>
      <c r="BD48" s="76">
        <v>0</v>
      </c>
      <c r="BE48" s="76">
        <v>30522</v>
      </c>
      <c r="BF48" s="76">
        <v>0</v>
      </c>
      <c r="BG48" s="76">
        <v>634</v>
      </c>
      <c r="BH48" s="76">
        <v>1778</v>
      </c>
      <c r="BI48" s="76">
        <v>0</v>
      </c>
      <c r="BJ48" s="76">
        <v>454</v>
      </c>
      <c r="BK48" s="76">
        <v>2866</v>
      </c>
      <c r="BL48" s="76">
        <v>158</v>
      </c>
      <c r="BM48" s="76">
        <v>0</v>
      </c>
      <c r="BN48" s="76">
        <v>0</v>
      </c>
      <c r="BO48" s="76">
        <v>1731</v>
      </c>
      <c r="BP48" s="76">
        <v>1889</v>
      </c>
      <c r="BQ48" s="76">
        <v>977</v>
      </c>
      <c r="BR48" s="76">
        <v>31499</v>
      </c>
      <c r="BS48" s="76">
        <v>11432</v>
      </c>
      <c r="BT48" s="76">
        <v>0</v>
      </c>
      <c r="BU48" s="76">
        <v>0</v>
      </c>
      <c r="BV48" s="76">
        <v>9994</v>
      </c>
      <c r="BW48" s="76">
        <v>0</v>
      </c>
      <c r="BX48" s="76">
        <v>0</v>
      </c>
      <c r="BY48" s="76">
        <v>582</v>
      </c>
      <c r="BZ48" s="76">
        <v>22008</v>
      </c>
      <c r="CA48" s="76">
        <v>223</v>
      </c>
      <c r="CB48" s="76">
        <v>0</v>
      </c>
      <c r="CC48" s="76">
        <v>9268</v>
      </c>
      <c r="CD48" s="76">
        <v>8525</v>
      </c>
      <c r="CE48" s="76">
        <v>0</v>
      </c>
      <c r="CF48" s="76">
        <v>161</v>
      </c>
      <c r="CG48" s="76">
        <v>0</v>
      </c>
      <c r="CH48" s="76">
        <v>582</v>
      </c>
      <c r="CI48" s="76">
        <v>9268</v>
      </c>
      <c r="CJ48" s="76">
        <v>0</v>
      </c>
      <c r="CK48" s="76">
        <v>0</v>
      </c>
      <c r="CL48" s="76">
        <v>0</v>
      </c>
      <c r="CM48" s="76">
        <v>0</v>
      </c>
      <c r="CN48" s="76">
        <v>0</v>
      </c>
      <c r="CO48" s="76">
        <v>0</v>
      </c>
      <c r="CP48" s="76">
        <v>0</v>
      </c>
      <c r="CQ48" s="76">
        <v>0</v>
      </c>
      <c r="CR48" s="76">
        <v>0</v>
      </c>
      <c r="CS48" s="76">
        <v>0</v>
      </c>
      <c r="CT48" s="76">
        <v>0</v>
      </c>
      <c r="CU48" s="76">
        <v>0</v>
      </c>
      <c r="CV48" s="76">
        <v>0</v>
      </c>
      <c r="CW48" s="76">
        <v>0</v>
      </c>
      <c r="CX48" s="76">
        <v>0</v>
      </c>
      <c r="CY48" s="76">
        <v>0</v>
      </c>
      <c r="CZ48" s="76">
        <v>0</v>
      </c>
      <c r="DA48" s="76">
        <v>0</v>
      </c>
      <c r="DB48" s="76">
        <v>0</v>
      </c>
      <c r="DC48" s="76">
        <v>0</v>
      </c>
      <c r="DD48" s="76">
        <v>0</v>
      </c>
      <c r="DE48" s="76">
        <v>0</v>
      </c>
      <c r="DF48" s="76">
        <v>0</v>
      </c>
      <c r="DG48" s="76">
        <v>0</v>
      </c>
      <c r="DH48" s="76">
        <v>0</v>
      </c>
      <c r="DI48" s="76">
        <v>0</v>
      </c>
      <c r="DJ48" s="76">
        <v>0</v>
      </c>
      <c r="DK48" s="76">
        <v>0</v>
      </c>
      <c r="DL48" s="76">
        <v>1473</v>
      </c>
      <c r="DM48" s="76">
        <v>0</v>
      </c>
      <c r="DN48" s="76">
        <v>1240</v>
      </c>
      <c r="DO48" s="76">
        <v>233</v>
      </c>
      <c r="DP48" s="76">
        <v>120</v>
      </c>
      <c r="DQ48" s="76">
        <v>0</v>
      </c>
      <c r="DR48" s="76">
        <v>133</v>
      </c>
      <c r="DS48" s="76">
        <v>-13</v>
      </c>
      <c r="DT48" s="76">
        <v>0</v>
      </c>
      <c r="DU48" s="76">
        <v>0</v>
      </c>
      <c r="DV48" s="76">
        <v>0</v>
      </c>
      <c r="DW48" s="76">
        <v>0</v>
      </c>
      <c r="DX48" s="76">
        <v>3488</v>
      </c>
      <c r="DY48" s="76">
        <v>0</v>
      </c>
      <c r="DZ48" s="76">
        <v>3418</v>
      </c>
      <c r="EA48" s="76">
        <v>70</v>
      </c>
      <c r="EB48" s="76">
        <v>384</v>
      </c>
      <c r="EC48" s="76">
        <v>0</v>
      </c>
      <c r="ED48" s="76">
        <v>481</v>
      </c>
      <c r="EE48" s="76">
        <v>-97</v>
      </c>
      <c r="EF48" s="76">
        <v>5465</v>
      </c>
      <c r="EG48" s="76">
        <v>0</v>
      </c>
      <c r="EH48" s="76">
        <v>5272</v>
      </c>
      <c r="EI48" s="76">
        <v>193</v>
      </c>
      <c r="EJ48" s="76">
        <v>5465</v>
      </c>
      <c r="EK48" s="76">
        <v>0</v>
      </c>
      <c r="EL48" s="76">
        <v>5272</v>
      </c>
      <c r="EM48" s="76">
        <v>193</v>
      </c>
      <c r="EN48" s="76">
        <v>463</v>
      </c>
      <c r="EO48" s="76">
        <v>922</v>
      </c>
      <c r="EP48" s="76">
        <v>82</v>
      </c>
      <c r="EQ48" s="76">
        <v>669</v>
      </c>
      <c r="ER48" s="76">
        <v>40088</v>
      </c>
      <c r="ES48" s="76">
        <v>0</v>
      </c>
      <c r="ET48" s="76">
        <v>40088</v>
      </c>
      <c r="EU48" s="76">
        <v>160</v>
      </c>
      <c r="EV48" s="76">
        <v>-31</v>
      </c>
      <c r="EW48" s="76">
        <v>0</v>
      </c>
      <c r="EX48" s="76">
        <v>0</v>
      </c>
      <c r="EY48" s="76">
        <v>0</v>
      </c>
      <c r="EZ48" s="76">
        <v>40217</v>
      </c>
      <c r="FA48" s="76">
        <v>9004</v>
      </c>
      <c r="FB48" s="76">
        <v>1297</v>
      </c>
      <c r="FC48" s="76">
        <v>0</v>
      </c>
      <c r="FD48" s="76">
        <v>0</v>
      </c>
      <c r="FE48" s="76">
        <v>-17</v>
      </c>
      <c r="FF48" s="76">
        <v>0</v>
      </c>
      <c r="FG48" s="76">
        <v>0</v>
      </c>
      <c r="FH48" s="76">
        <v>10284</v>
      </c>
      <c r="FI48" s="76">
        <v>29933</v>
      </c>
      <c r="FJ48" s="76">
        <v>31084</v>
      </c>
      <c r="FK48" s="76">
        <v>0</v>
      </c>
      <c r="FL48" s="76">
        <v>0</v>
      </c>
      <c r="FM48" s="76">
        <v>0</v>
      </c>
      <c r="FN48" s="76">
        <v>0</v>
      </c>
      <c r="FO48" s="76">
        <v>0</v>
      </c>
      <c r="FP48" s="76">
        <v>0</v>
      </c>
      <c r="FQ48" s="76">
        <v>0</v>
      </c>
      <c r="FR48" s="76">
        <v>0</v>
      </c>
      <c r="FS48" s="76">
        <v>0</v>
      </c>
      <c r="FT48" s="76">
        <v>0</v>
      </c>
      <c r="FU48" s="76">
        <v>0</v>
      </c>
      <c r="FV48" s="76">
        <v>0</v>
      </c>
      <c r="FW48" s="76">
        <v>0</v>
      </c>
      <c r="FX48" s="76">
        <v>0</v>
      </c>
      <c r="FY48" s="76">
        <v>0</v>
      </c>
      <c r="FZ48" s="76">
        <v>0</v>
      </c>
      <c r="GA48" s="76">
        <v>15</v>
      </c>
      <c r="GB48" s="76">
        <v>-15</v>
      </c>
      <c r="GC48" s="76">
        <v>0</v>
      </c>
      <c r="GD48" s="76">
        <v>15</v>
      </c>
      <c r="GE48" s="76">
        <v>-15</v>
      </c>
      <c r="GF48" s="76">
        <v>4</v>
      </c>
      <c r="GG48" s="76">
        <v>5</v>
      </c>
      <c r="GH48" s="76">
        <v>0</v>
      </c>
      <c r="GI48" s="76">
        <v>0</v>
      </c>
      <c r="GJ48" s="76">
        <v>0</v>
      </c>
      <c r="GK48" s="76">
        <v>445</v>
      </c>
      <c r="GL48" s="76">
        <v>454</v>
      </c>
      <c r="GM48" s="76">
        <v>670</v>
      </c>
      <c r="GN48" s="76">
        <v>0</v>
      </c>
      <c r="GO48" s="76">
        <v>0</v>
      </c>
      <c r="GP48" s="76">
        <v>0</v>
      </c>
      <c r="GQ48" s="76">
        <v>0</v>
      </c>
      <c r="GR48" s="76">
        <v>940</v>
      </c>
      <c r="GS48" s="76">
        <v>0</v>
      </c>
      <c r="GT48" s="76">
        <v>0</v>
      </c>
      <c r="GU48" s="76">
        <v>0</v>
      </c>
      <c r="GV48" s="76">
        <v>0</v>
      </c>
      <c r="GW48" s="76">
        <v>121</v>
      </c>
      <c r="GX48" s="76">
        <v>1731</v>
      </c>
      <c r="GY48" s="76">
        <v>582</v>
      </c>
      <c r="GZ48" s="76">
        <v>0</v>
      </c>
      <c r="HA48" s="76">
        <v>0</v>
      </c>
      <c r="HB48" s="76">
        <v>0</v>
      </c>
      <c r="HC48" s="76">
        <v>582</v>
      </c>
      <c r="HD48" s="76">
        <v>0</v>
      </c>
      <c r="HE48" s="76">
        <v>0</v>
      </c>
      <c r="HF48" s="76">
        <v>0</v>
      </c>
      <c r="HG48" s="76">
        <v>371</v>
      </c>
      <c r="HH48" s="76">
        <v>0</v>
      </c>
      <c r="HI48" s="76">
        <v>0</v>
      </c>
      <c r="HJ48" s="76">
        <v>0</v>
      </c>
      <c r="HK48" s="76">
        <v>0</v>
      </c>
      <c r="HL48" s="76">
        <v>0</v>
      </c>
      <c r="HM48" s="76">
        <v>371</v>
      </c>
      <c r="HN48" s="76">
        <v>40</v>
      </c>
      <c r="HO48" s="76">
        <v>1458</v>
      </c>
      <c r="HP48" s="76">
        <v>0</v>
      </c>
      <c r="HQ48" s="76">
        <v>0</v>
      </c>
      <c r="HR48" s="76">
        <v>0</v>
      </c>
      <c r="HS48" s="76">
        <v>-763</v>
      </c>
      <c r="HT48" s="76">
        <v>645</v>
      </c>
      <c r="HU48" s="76">
        <v>0</v>
      </c>
      <c r="HV48" s="76">
        <v>0</v>
      </c>
      <c r="HW48" s="76">
        <v>0</v>
      </c>
      <c r="HX48" s="76">
        <v>166</v>
      </c>
    </row>
    <row r="49" spans="1:232" x14ac:dyDescent="0.2">
      <c r="A49" s="74" t="s">
        <v>287</v>
      </c>
      <c r="B49" s="74" t="s">
        <v>288</v>
      </c>
      <c r="C49" s="75" t="s">
        <v>200</v>
      </c>
      <c r="D49" s="75">
        <v>12</v>
      </c>
      <c r="E49" s="76">
        <v>6465</v>
      </c>
      <c r="F49" s="76">
        <v>0</v>
      </c>
      <c r="G49" s="76">
        <v>-4609</v>
      </c>
      <c r="H49" s="76">
        <v>1856</v>
      </c>
      <c r="I49" s="76">
        <v>0</v>
      </c>
      <c r="J49" s="76">
        <v>0</v>
      </c>
      <c r="K49" s="76">
        <v>0</v>
      </c>
      <c r="L49" s="76">
        <v>0</v>
      </c>
      <c r="M49" s="76">
        <v>0</v>
      </c>
      <c r="N49" s="76">
        <v>-613</v>
      </c>
      <c r="O49" s="76">
        <v>0</v>
      </c>
      <c r="P49" s="76">
        <v>0</v>
      </c>
      <c r="Q49" s="76">
        <v>0</v>
      </c>
      <c r="R49" s="76">
        <v>0</v>
      </c>
      <c r="S49" s="76">
        <v>1243</v>
      </c>
      <c r="T49" s="76">
        <v>0</v>
      </c>
      <c r="U49" s="76">
        <v>1243</v>
      </c>
      <c r="V49" s="76">
        <v>0</v>
      </c>
      <c r="W49" s="76">
        <v>0</v>
      </c>
      <c r="X49" s="76">
        <v>0</v>
      </c>
      <c r="Y49" s="76">
        <v>0</v>
      </c>
      <c r="Z49" s="76">
        <v>1243</v>
      </c>
      <c r="AA49" s="76">
        <v>5594</v>
      </c>
      <c r="AB49" s="76">
        <v>525</v>
      </c>
      <c r="AC49" s="76">
        <v>6119</v>
      </c>
      <c r="AD49" s="76">
        <v>222</v>
      </c>
      <c r="AE49" s="76">
        <v>0</v>
      </c>
      <c r="AF49" s="76">
        <v>0</v>
      </c>
      <c r="AG49" s="76">
        <v>0</v>
      </c>
      <c r="AH49" s="76">
        <v>6341</v>
      </c>
      <c r="AI49" s="76">
        <v>1563</v>
      </c>
      <c r="AJ49" s="76">
        <v>977</v>
      </c>
      <c r="AK49" s="76">
        <v>501</v>
      </c>
      <c r="AL49" s="76">
        <v>288</v>
      </c>
      <c r="AM49" s="76">
        <v>0</v>
      </c>
      <c r="AN49" s="76">
        <v>30</v>
      </c>
      <c r="AO49" s="76">
        <v>1245</v>
      </c>
      <c r="AP49" s="76">
        <v>0</v>
      </c>
      <c r="AQ49" s="76">
        <v>0</v>
      </c>
      <c r="AR49" s="76">
        <v>4604</v>
      </c>
      <c r="AS49" s="76">
        <v>1737</v>
      </c>
      <c r="AT49" s="76">
        <v>35</v>
      </c>
      <c r="AU49" s="76">
        <v>72674</v>
      </c>
      <c r="AV49" s="76">
        <v>0</v>
      </c>
      <c r="AW49" s="76">
        <v>116</v>
      </c>
      <c r="AX49" s="76">
        <v>0</v>
      </c>
      <c r="AY49" s="76">
        <v>0</v>
      </c>
      <c r="AZ49" s="76">
        <v>0</v>
      </c>
      <c r="BA49" s="76">
        <v>0</v>
      </c>
      <c r="BB49" s="76">
        <v>0</v>
      </c>
      <c r="BC49" s="76">
        <v>0</v>
      </c>
      <c r="BD49" s="76">
        <v>0</v>
      </c>
      <c r="BE49" s="76">
        <v>72790</v>
      </c>
      <c r="BF49" s="76">
        <v>0</v>
      </c>
      <c r="BG49" s="76">
        <v>539</v>
      </c>
      <c r="BH49" s="76">
        <v>17</v>
      </c>
      <c r="BI49" s="76">
        <v>0</v>
      </c>
      <c r="BJ49" s="76">
        <v>144</v>
      </c>
      <c r="BK49" s="76">
        <v>700</v>
      </c>
      <c r="BL49" s="76">
        <v>0</v>
      </c>
      <c r="BM49" s="76">
        <v>0</v>
      </c>
      <c r="BN49" s="76">
        <v>0</v>
      </c>
      <c r="BO49" s="76">
        <v>773</v>
      </c>
      <c r="BP49" s="76">
        <v>773</v>
      </c>
      <c r="BQ49" s="76">
        <v>-73</v>
      </c>
      <c r="BR49" s="76">
        <v>72717</v>
      </c>
      <c r="BS49" s="76">
        <v>0</v>
      </c>
      <c r="BT49" s="76">
        <v>20300</v>
      </c>
      <c r="BU49" s="76">
        <v>0</v>
      </c>
      <c r="BV49" s="76">
        <v>23590</v>
      </c>
      <c r="BW49" s="76">
        <v>0</v>
      </c>
      <c r="BX49" s="76">
        <v>0</v>
      </c>
      <c r="BY49" s="76">
        <v>327</v>
      </c>
      <c r="BZ49" s="76">
        <v>44217</v>
      </c>
      <c r="CA49" s="76">
        <v>0</v>
      </c>
      <c r="CB49" s="76">
        <v>0</v>
      </c>
      <c r="CC49" s="76">
        <v>28500</v>
      </c>
      <c r="CD49" s="76">
        <v>28500</v>
      </c>
      <c r="CE49" s="76">
        <v>0</v>
      </c>
      <c r="CF49" s="76">
        <v>0</v>
      </c>
      <c r="CG49" s="76">
        <v>0</v>
      </c>
      <c r="CH49" s="76">
        <v>0</v>
      </c>
      <c r="CI49" s="76">
        <v>28500</v>
      </c>
      <c r="CJ49" s="76">
        <v>0</v>
      </c>
      <c r="CK49" s="76">
        <v>0</v>
      </c>
      <c r="CL49" s="76">
        <v>0</v>
      </c>
      <c r="CM49" s="76">
        <v>0</v>
      </c>
      <c r="CN49" s="76">
        <v>0</v>
      </c>
      <c r="CO49" s="76">
        <v>0</v>
      </c>
      <c r="CP49" s="76">
        <v>0</v>
      </c>
      <c r="CQ49" s="76">
        <v>0</v>
      </c>
      <c r="CR49" s="76">
        <v>0</v>
      </c>
      <c r="CS49" s="76">
        <v>0</v>
      </c>
      <c r="CT49" s="76">
        <v>0</v>
      </c>
      <c r="CU49" s="76">
        <v>0</v>
      </c>
      <c r="CV49" s="76">
        <v>0</v>
      </c>
      <c r="CW49" s="76">
        <v>0</v>
      </c>
      <c r="CX49" s="76">
        <v>0</v>
      </c>
      <c r="CY49" s="76">
        <v>0</v>
      </c>
      <c r="CZ49" s="76">
        <v>124</v>
      </c>
      <c r="DA49" s="76">
        <v>0</v>
      </c>
      <c r="DB49" s="76">
        <v>5</v>
      </c>
      <c r="DC49" s="76">
        <v>119</v>
      </c>
      <c r="DD49" s="76">
        <v>124</v>
      </c>
      <c r="DE49" s="76">
        <v>0</v>
      </c>
      <c r="DF49" s="76">
        <v>5</v>
      </c>
      <c r="DG49" s="76">
        <v>119</v>
      </c>
      <c r="DH49" s="76">
        <v>0</v>
      </c>
      <c r="DI49" s="76">
        <v>0</v>
      </c>
      <c r="DJ49" s="76">
        <v>0</v>
      </c>
      <c r="DK49" s="76">
        <v>0</v>
      </c>
      <c r="DL49" s="76">
        <v>0</v>
      </c>
      <c r="DM49" s="76">
        <v>0</v>
      </c>
      <c r="DN49" s="76">
        <v>0</v>
      </c>
      <c r="DO49" s="76">
        <v>0</v>
      </c>
      <c r="DP49" s="76">
        <v>0</v>
      </c>
      <c r="DQ49" s="76">
        <v>0</v>
      </c>
      <c r="DR49" s="76">
        <v>0</v>
      </c>
      <c r="DS49" s="76">
        <v>0</v>
      </c>
      <c r="DT49" s="76">
        <v>0</v>
      </c>
      <c r="DU49" s="76">
        <v>0</v>
      </c>
      <c r="DV49" s="76">
        <v>0</v>
      </c>
      <c r="DW49" s="76">
        <v>0</v>
      </c>
      <c r="DX49" s="76">
        <v>0</v>
      </c>
      <c r="DY49" s="76">
        <v>0</v>
      </c>
      <c r="DZ49" s="76">
        <v>0</v>
      </c>
      <c r="EA49" s="76">
        <v>0</v>
      </c>
      <c r="EB49" s="76">
        <v>0</v>
      </c>
      <c r="EC49" s="76">
        <v>0</v>
      </c>
      <c r="ED49" s="76">
        <v>0</v>
      </c>
      <c r="EE49" s="76">
        <v>0</v>
      </c>
      <c r="EF49" s="76">
        <v>0</v>
      </c>
      <c r="EG49" s="76">
        <v>0</v>
      </c>
      <c r="EH49" s="76">
        <v>0</v>
      </c>
      <c r="EI49" s="76">
        <v>0</v>
      </c>
      <c r="EJ49" s="76">
        <v>124</v>
      </c>
      <c r="EK49" s="76">
        <v>0</v>
      </c>
      <c r="EL49" s="76">
        <v>5</v>
      </c>
      <c r="EM49" s="76">
        <v>119</v>
      </c>
      <c r="EN49" s="76">
        <v>611</v>
      </c>
      <c r="EO49" s="76">
        <v>138</v>
      </c>
      <c r="EP49" s="76">
        <v>77</v>
      </c>
      <c r="EQ49" s="76">
        <v>138</v>
      </c>
      <c r="ER49" s="76">
        <v>81805</v>
      </c>
      <c r="ES49" s="76">
        <v>0</v>
      </c>
      <c r="ET49" s="76">
        <v>81805</v>
      </c>
      <c r="EU49" s="76">
        <v>956</v>
      </c>
      <c r="EV49" s="76">
        <v>-134</v>
      </c>
      <c r="EW49" s="76">
        <v>0</v>
      </c>
      <c r="EX49" s="76">
        <v>0</v>
      </c>
      <c r="EY49" s="76">
        <v>0</v>
      </c>
      <c r="EZ49" s="76">
        <v>82627</v>
      </c>
      <c r="FA49" s="76">
        <v>8776</v>
      </c>
      <c r="FB49" s="76">
        <v>1244</v>
      </c>
      <c r="FC49" s="76">
        <v>0</v>
      </c>
      <c r="FD49" s="76">
        <v>0</v>
      </c>
      <c r="FE49" s="76">
        <v>-67</v>
      </c>
      <c r="FF49" s="76">
        <v>0</v>
      </c>
      <c r="FG49" s="76">
        <v>0</v>
      </c>
      <c r="FH49" s="76">
        <v>9953</v>
      </c>
      <c r="FI49" s="76">
        <v>72674</v>
      </c>
      <c r="FJ49" s="76">
        <v>73029</v>
      </c>
      <c r="FK49" s="76">
        <v>0</v>
      </c>
      <c r="FL49" s="76">
        <v>0</v>
      </c>
      <c r="FM49" s="76">
        <v>0</v>
      </c>
      <c r="FN49" s="76">
        <v>0</v>
      </c>
      <c r="FO49" s="76">
        <v>0</v>
      </c>
      <c r="FP49" s="76">
        <v>0</v>
      </c>
      <c r="FQ49" s="76">
        <v>0</v>
      </c>
      <c r="FR49" s="76">
        <v>0</v>
      </c>
      <c r="FS49" s="76">
        <v>0</v>
      </c>
      <c r="FT49" s="76">
        <v>0</v>
      </c>
      <c r="FU49" s="76">
        <v>0</v>
      </c>
      <c r="FV49" s="76">
        <v>0</v>
      </c>
      <c r="FW49" s="76">
        <v>0</v>
      </c>
      <c r="FX49" s="76">
        <v>0</v>
      </c>
      <c r="FY49" s="76">
        <v>0</v>
      </c>
      <c r="FZ49" s="76">
        <v>0</v>
      </c>
      <c r="GA49" s="76">
        <v>0</v>
      </c>
      <c r="GB49" s="76">
        <v>0</v>
      </c>
      <c r="GC49" s="76">
        <v>0</v>
      </c>
      <c r="GD49" s="76">
        <v>0</v>
      </c>
      <c r="GE49" s="76">
        <v>0</v>
      </c>
      <c r="GF49" s="76">
        <v>75</v>
      </c>
      <c r="GG49" s="76">
        <v>0</v>
      </c>
      <c r="GH49" s="76">
        <v>0</v>
      </c>
      <c r="GI49" s="76">
        <v>0</v>
      </c>
      <c r="GJ49" s="76">
        <v>0</v>
      </c>
      <c r="GK49" s="76">
        <v>74</v>
      </c>
      <c r="GL49" s="76">
        <v>149</v>
      </c>
      <c r="GM49" s="76">
        <v>16</v>
      </c>
      <c r="GN49" s="76">
        <v>128</v>
      </c>
      <c r="GO49" s="76">
        <v>0</v>
      </c>
      <c r="GP49" s="76">
        <v>0</v>
      </c>
      <c r="GQ49" s="76">
        <v>186</v>
      </c>
      <c r="GR49" s="76">
        <v>430</v>
      </c>
      <c r="GS49" s="76">
        <v>0</v>
      </c>
      <c r="GT49" s="76">
        <v>0</v>
      </c>
      <c r="GU49" s="76">
        <v>0</v>
      </c>
      <c r="GV49" s="76">
        <v>0</v>
      </c>
      <c r="GW49" s="76">
        <v>13</v>
      </c>
      <c r="GX49" s="76">
        <v>773</v>
      </c>
      <c r="GY49" s="76">
        <v>0</v>
      </c>
      <c r="GZ49" s="76">
        <v>385</v>
      </c>
      <c r="HA49" s="76">
        <v>0</v>
      </c>
      <c r="HB49" s="76">
        <v>-58</v>
      </c>
      <c r="HC49" s="76">
        <v>327</v>
      </c>
      <c r="HD49" s="76">
        <v>0</v>
      </c>
      <c r="HE49" s="76">
        <v>0</v>
      </c>
      <c r="HF49" s="76">
        <v>0</v>
      </c>
      <c r="HG49" s="76">
        <v>609</v>
      </c>
      <c r="HH49" s="76">
        <v>4</v>
      </c>
      <c r="HI49" s="76">
        <v>0</v>
      </c>
      <c r="HJ49" s="76">
        <v>0</v>
      </c>
      <c r="HK49" s="76">
        <v>0</v>
      </c>
      <c r="HL49" s="76">
        <v>0</v>
      </c>
      <c r="HM49" s="76">
        <v>613</v>
      </c>
      <c r="HN49" s="76">
        <v>924</v>
      </c>
      <c r="HO49" s="76">
        <v>1253</v>
      </c>
      <c r="HP49" s="76">
        <v>0</v>
      </c>
      <c r="HQ49" s="76">
        <v>0</v>
      </c>
      <c r="HR49" s="76">
        <v>0</v>
      </c>
      <c r="HS49" s="76">
        <v>0</v>
      </c>
      <c r="HT49" s="76">
        <v>1154</v>
      </c>
      <c r="HU49" s="76">
        <v>0</v>
      </c>
      <c r="HV49" s="76">
        <v>0</v>
      </c>
      <c r="HW49" s="76">
        <v>0</v>
      </c>
      <c r="HX49" s="76">
        <v>0</v>
      </c>
    </row>
    <row r="50" spans="1:232" x14ac:dyDescent="0.2">
      <c r="A50" s="74" t="s">
        <v>42</v>
      </c>
      <c r="B50" s="74" t="s">
        <v>40</v>
      </c>
      <c r="C50" s="75" t="s">
        <v>200</v>
      </c>
      <c r="D50" s="75">
        <v>12</v>
      </c>
      <c r="E50" s="76">
        <v>58947</v>
      </c>
      <c r="F50" s="76">
        <v>-6509</v>
      </c>
      <c r="G50" s="76">
        <v>-30488</v>
      </c>
      <c r="H50" s="76">
        <v>21950</v>
      </c>
      <c r="I50" s="76">
        <v>1091</v>
      </c>
      <c r="J50" s="76">
        <v>552</v>
      </c>
      <c r="K50" s="76">
        <v>-350</v>
      </c>
      <c r="L50" s="76">
        <v>0</v>
      </c>
      <c r="M50" s="76">
        <v>754</v>
      </c>
      <c r="N50" s="76">
        <v>-12475</v>
      </c>
      <c r="O50" s="76">
        <v>830</v>
      </c>
      <c r="P50" s="76">
        <v>-7784</v>
      </c>
      <c r="Q50" s="76">
        <v>0</v>
      </c>
      <c r="R50" s="76">
        <v>0</v>
      </c>
      <c r="S50" s="76">
        <v>4568</v>
      </c>
      <c r="T50" s="76">
        <v>50</v>
      </c>
      <c r="U50" s="76">
        <v>4618</v>
      </c>
      <c r="V50" s="76">
        <v>0</v>
      </c>
      <c r="W50" s="76">
        <v>-5036</v>
      </c>
      <c r="X50" s="76">
        <v>-8983</v>
      </c>
      <c r="Y50" s="76">
        <v>0</v>
      </c>
      <c r="Z50" s="76">
        <v>-9401</v>
      </c>
      <c r="AA50" s="76">
        <v>44907</v>
      </c>
      <c r="AB50" s="76">
        <v>2394</v>
      </c>
      <c r="AC50" s="76">
        <v>47301</v>
      </c>
      <c r="AD50" s="76">
        <v>9</v>
      </c>
      <c r="AE50" s="76">
        <v>0</v>
      </c>
      <c r="AF50" s="76">
        <v>0</v>
      </c>
      <c r="AG50" s="76">
        <v>0</v>
      </c>
      <c r="AH50" s="76">
        <v>47310</v>
      </c>
      <c r="AI50" s="76">
        <v>11210</v>
      </c>
      <c r="AJ50" s="76">
        <v>2184</v>
      </c>
      <c r="AK50" s="76">
        <v>4423</v>
      </c>
      <c r="AL50" s="76">
        <v>4660</v>
      </c>
      <c r="AM50" s="76">
        <v>426</v>
      </c>
      <c r="AN50" s="76">
        <v>74</v>
      </c>
      <c r="AO50" s="76">
        <v>6563</v>
      </c>
      <c r="AP50" s="76">
        <v>0</v>
      </c>
      <c r="AQ50" s="76">
        <v>0</v>
      </c>
      <c r="AR50" s="76">
        <v>29540</v>
      </c>
      <c r="AS50" s="76">
        <v>17770</v>
      </c>
      <c r="AT50" s="76">
        <v>198</v>
      </c>
      <c r="AU50" s="76">
        <v>528785</v>
      </c>
      <c r="AV50" s="76">
        <v>0</v>
      </c>
      <c r="AW50" s="76">
        <v>19428</v>
      </c>
      <c r="AX50" s="76">
        <v>0</v>
      </c>
      <c r="AY50" s="76">
        <v>0</v>
      </c>
      <c r="AZ50" s="76">
        <v>7506</v>
      </c>
      <c r="BA50" s="76">
        <v>0</v>
      </c>
      <c r="BB50" s="76">
        <v>50</v>
      </c>
      <c r="BC50" s="76">
        <v>0</v>
      </c>
      <c r="BD50" s="76">
        <v>0</v>
      </c>
      <c r="BE50" s="76">
        <v>555769</v>
      </c>
      <c r="BF50" s="76">
        <v>2272</v>
      </c>
      <c r="BG50" s="76">
        <v>2677</v>
      </c>
      <c r="BH50" s="76">
        <v>10002</v>
      </c>
      <c r="BI50" s="76">
        <v>0</v>
      </c>
      <c r="BJ50" s="76">
        <v>17592</v>
      </c>
      <c r="BK50" s="76">
        <v>32543</v>
      </c>
      <c r="BL50" s="76">
        <v>0</v>
      </c>
      <c r="BM50" s="76">
        <v>0</v>
      </c>
      <c r="BN50" s="76">
        <v>0</v>
      </c>
      <c r="BO50" s="76">
        <v>18312</v>
      </c>
      <c r="BP50" s="76">
        <v>18312</v>
      </c>
      <c r="BQ50" s="76">
        <v>14231</v>
      </c>
      <c r="BR50" s="76">
        <v>570000</v>
      </c>
      <c r="BS50" s="76">
        <v>342889</v>
      </c>
      <c r="BT50" s="76">
        <v>0</v>
      </c>
      <c r="BU50" s="76">
        <v>0</v>
      </c>
      <c r="BV50" s="76">
        <v>3034</v>
      </c>
      <c r="BW50" s="76">
        <v>0</v>
      </c>
      <c r="BX50" s="76">
        <v>81221</v>
      </c>
      <c r="BY50" s="76">
        <v>784</v>
      </c>
      <c r="BZ50" s="76">
        <v>427928</v>
      </c>
      <c r="CA50" s="76">
        <v>15725</v>
      </c>
      <c r="CB50" s="76">
        <v>0</v>
      </c>
      <c r="CC50" s="76">
        <v>126347</v>
      </c>
      <c r="CD50" s="76">
        <v>18340</v>
      </c>
      <c r="CE50" s="76">
        <v>162981</v>
      </c>
      <c r="CF50" s="76">
        <v>0</v>
      </c>
      <c r="CG50" s="76">
        <v>-54974</v>
      </c>
      <c r="CH50" s="76">
        <v>0</v>
      </c>
      <c r="CI50" s="76">
        <v>126347</v>
      </c>
      <c r="CJ50" s="76">
        <v>10054</v>
      </c>
      <c r="CK50" s="76">
        <v>6509</v>
      </c>
      <c r="CL50" s="76">
        <v>0</v>
      </c>
      <c r="CM50" s="76">
        <v>3545</v>
      </c>
      <c r="CN50" s="76">
        <v>376</v>
      </c>
      <c r="CO50" s="76">
        <v>0</v>
      </c>
      <c r="CP50" s="76">
        <v>398</v>
      </c>
      <c r="CQ50" s="76">
        <v>-22</v>
      </c>
      <c r="CR50" s="76">
        <v>0</v>
      </c>
      <c r="CS50" s="76">
        <v>0</v>
      </c>
      <c r="CT50" s="76">
        <v>272</v>
      </c>
      <c r="CU50" s="76">
        <v>-272</v>
      </c>
      <c r="CV50" s="76">
        <v>0</v>
      </c>
      <c r="CW50" s="76">
        <v>0</v>
      </c>
      <c r="CX50" s="76">
        <v>0</v>
      </c>
      <c r="CY50" s="76">
        <v>0</v>
      </c>
      <c r="CZ50" s="76">
        <v>49</v>
      </c>
      <c r="DA50" s="76">
        <v>0</v>
      </c>
      <c r="DB50" s="76">
        <v>0</v>
      </c>
      <c r="DC50" s="76">
        <v>49</v>
      </c>
      <c r="DD50" s="76">
        <v>10479</v>
      </c>
      <c r="DE50" s="76">
        <v>6509</v>
      </c>
      <c r="DF50" s="76">
        <v>670</v>
      </c>
      <c r="DG50" s="76">
        <v>3300</v>
      </c>
      <c r="DH50" s="76">
        <v>0</v>
      </c>
      <c r="DI50" s="76">
        <v>0</v>
      </c>
      <c r="DJ50" s="76">
        <v>0</v>
      </c>
      <c r="DK50" s="76">
        <v>0</v>
      </c>
      <c r="DL50" s="76">
        <v>0</v>
      </c>
      <c r="DM50" s="76">
        <v>0</v>
      </c>
      <c r="DN50" s="76">
        <v>0</v>
      </c>
      <c r="DO50" s="76">
        <v>0</v>
      </c>
      <c r="DP50" s="76">
        <v>0</v>
      </c>
      <c r="DQ50" s="76">
        <v>0</v>
      </c>
      <c r="DR50" s="76">
        <v>0</v>
      </c>
      <c r="DS50" s="76">
        <v>0</v>
      </c>
      <c r="DT50" s="76">
        <v>320</v>
      </c>
      <c r="DU50" s="76">
        <v>0</v>
      </c>
      <c r="DV50" s="76">
        <v>221</v>
      </c>
      <c r="DW50" s="76">
        <v>99</v>
      </c>
      <c r="DX50" s="76">
        <v>65</v>
      </c>
      <c r="DY50" s="76">
        <v>0</v>
      </c>
      <c r="DZ50" s="76">
        <v>57</v>
      </c>
      <c r="EA50" s="76">
        <v>8</v>
      </c>
      <c r="EB50" s="76">
        <v>773</v>
      </c>
      <c r="EC50" s="76">
        <v>0</v>
      </c>
      <c r="ED50" s="76">
        <v>0</v>
      </c>
      <c r="EE50" s="76">
        <v>773</v>
      </c>
      <c r="EF50" s="76">
        <v>1158</v>
      </c>
      <c r="EG50" s="76">
        <v>0</v>
      </c>
      <c r="EH50" s="76">
        <v>278</v>
      </c>
      <c r="EI50" s="76">
        <v>880</v>
      </c>
      <c r="EJ50" s="76">
        <v>11637</v>
      </c>
      <c r="EK50" s="76">
        <v>6509</v>
      </c>
      <c r="EL50" s="76">
        <v>948</v>
      </c>
      <c r="EM50" s="76">
        <v>4180</v>
      </c>
      <c r="EN50" s="76">
        <v>563</v>
      </c>
      <c r="EO50" s="76">
        <v>172</v>
      </c>
      <c r="EP50" s="76">
        <v>145</v>
      </c>
      <c r="EQ50" s="76">
        <v>136</v>
      </c>
      <c r="ER50" s="76">
        <v>503535</v>
      </c>
      <c r="ES50" s="76">
        <v>0</v>
      </c>
      <c r="ET50" s="76">
        <v>503535</v>
      </c>
      <c r="EU50" s="76">
        <v>45926</v>
      </c>
      <c r="EV50" s="76">
        <v>-4158</v>
      </c>
      <c r="EW50" s="76">
        <v>0</v>
      </c>
      <c r="EX50" s="76">
        <v>0</v>
      </c>
      <c r="EY50" s="76">
        <v>68</v>
      </c>
      <c r="EZ50" s="76">
        <v>545371</v>
      </c>
      <c r="FA50" s="76">
        <v>10821</v>
      </c>
      <c r="FB50" s="76">
        <v>6563</v>
      </c>
      <c r="FC50" s="76">
        <v>0</v>
      </c>
      <c r="FD50" s="76">
        <v>0</v>
      </c>
      <c r="FE50" s="76">
        <v>-798</v>
      </c>
      <c r="FF50" s="76">
        <v>0</v>
      </c>
      <c r="FG50" s="76">
        <v>0</v>
      </c>
      <c r="FH50" s="76">
        <v>16586</v>
      </c>
      <c r="FI50" s="76">
        <v>528785</v>
      </c>
      <c r="FJ50" s="76">
        <v>492714</v>
      </c>
      <c r="FK50" s="76">
        <v>795</v>
      </c>
      <c r="FL50" s="76">
        <v>510</v>
      </c>
      <c r="FM50" s="76">
        <v>285</v>
      </c>
      <c r="FN50" s="76">
        <v>1820</v>
      </c>
      <c r="FO50" s="76">
        <v>2121</v>
      </c>
      <c r="FP50" s="76">
        <v>-301</v>
      </c>
      <c r="FQ50" s="76">
        <v>615</v>
      </c>
      <c r="FR50" s="76">
        <v>753</v>
      </c>
      <c r="FS50" s="76">
        <v>-138</v>
      </c>
      <c r="FT50" s="76">
        <v>2015</v>
      </c>
      <c r="FU50" s="76">
        <v>770</v>
      </c>
      <c r="FV50" s="76">
        <v>1245</v>
      </c>
      <c r="FW50" s="76">
        <v>0</v>
      </c>
      <c r="FX50" s="76">
        <v>0</v>
      </c>
      <c r="FY50" s="76">
        <v>0</v>
      </c>
      <c r="FZ50" s="76">
        <v>0</v>
      </c>
      <c r="GA50" s="76">
        <v>0</v>
      </c>
      <c r="GB50" s="76">
        <v>0</v>
      </c>
      <c r="GC50" s="76">
        <v>5245</v>
      </c>
      <c r="GD50" s="76">
        <v>4154</v>
      </c>
      <c r="GE50" s="76">
        <v>1091</v>
      </c>
      <c r="GF50" s="76">
        <v>17458</v>
      </c>
      <c r="GG50" s="76">
        <v>0</v>
      </c>
      <c r="GH50" s="76">
        <v>0</v>
      </c>
      <c r="GI50" s="76">
        <v>0</v>
      </c>
      <c r="GJ50" s="76">
        <v>0</v>
      </c>
      <c r="GK50" s="76">
        <v>134</v>
      </c>
      <c r="GL50" s="76">
        <v>17592</v>
      </c>
      <c r="GM50" s="76">
        <v>982</v>
      </c>
      <c r="GN50" s="76">
        <v>901</v>
      </c>
      <c r="GO50" s="76">
        <v>5899</v>
      </c>
      <c r="GP50" s="76">
        <v>0</v>
      </c>
      <c r="GQ50" s="76">
        <v>274</v>
      </c>
      <c r="GR50" s="76">
        <v>5140</v>
      </c>
      <c r="GS50" s="76">
        <v>0</v>
      </c>
      <c r="GT50" s="76">
        <v>0</v>
      </c>
      <c r="GU50" s="76">
        <v>0</v>
      </c>
      <c r="GV50" s="76">
        <v>0</v>
      </c>
      <c r="GW50" s="76">
        <v>5116</v>
      </c>
      <c r="GX50" s="76">
        <v>18312</v>
      </c>
      <c r="GY50" s="76">
        <v>86</v>
      </c>
      <c r="GZ50" s="76">
        <v>698</v>
      </c>
      <c r="HA50" s="76">
        <v>0</v>
      </c>
      <c r="HB50" s="76">
        <v>0</v>
      </c>
      <c r="HC50" s="76">
        <v>784</v>
      </c>
      <c r="HD50" s="76">
        <v>0</v>
      </c>
      <c r="HE50" s="76">
        <v>0</v>
      </c>
      <c r="HF50" s="76">
        <v>0</v>
      </c>
      <c r="HG50" s="76">
        <v>13526</v>
      </c>
      <c r="HH50" s="76">
        <v>333</v>
      </c>
      <c r="HI50" s="76">
        <v>0</v>
      </c>
      <c r="HJ50" s="76">
        <v>0</v>
      </c>
      <c r="HK50" s="76">
        <v>0</v>
      </c>
      <c r="HL50" s="76">
        <v>-1384</v>
      </c>
      <c r="HM50" s="76">
        <v>12475</v>
      </c>
      <c r="HN50" s="76">
        <v>2706</v>
      </c>
      <c r="HO50" s="76">
        <v>7548</v>
      </c>
      <c r="HP50" s="76">
        <v>192</v>
      </c>
      <c r="HQ50" s="76">
        <v>296</v>
      </c>
      <c r="HR50" s="76">
        <v>-33</v>
      </c>
      <c r="HS50" s="76">
        <v>0</v>
      </c>
      <c r="HT50" s="76">
        <v>8535</v>
      </c>
      <c r="HU50" s="76">
        <v>0</v>
      </c>
      <c r="HV50" s="76">
        <v>0</v>
      </c>
      <c r="HW50" s="76">
        <v>0</v>
      </c>
      <c r="HX50" s="76">
        <v>871</v>
      </c>
    </row>
    <row r="51" spans="1:232" x14ac:dyDescent="0.2">
      <c r="A51" s="74" t="s">
        <v>289</v>
      </c>
      <c r="B51" s="74" t="s">
        <v>290</v>
      </c>
      <c r="C51" s="75" t="s">
        <v>200</v>
      </c>
      <c r="D51" s="75">
        <v>12</v>
      </c>
      <c r="E51" s="76">
        <v>29443</v>
      </c>
      <c r="F51" s="76">
        <v>-442</v>
      </c>
      <c r="G51" s="76">
        <v>-18109</v>
      </c>
      <c r="H51" s="76">
        <v>10892</v>
      </c>
      <c r="I51" s="76">
        <v>450</v>
      </c>
      <c r="J51" s="76">
        <v>0</v>
      </c>
      <c r="K51" s="76">
        <v>0</v>
      </c>
      <c r="L51" s="76">
        <v>0</v>
      </c>
      <c r="M51" s="76">
        <v>61</v>
      </c>
      <c r="N51" s="76">
        <v>-4125</v>
      </c>
      <c r="O51" s="76">
        <v>0</v>
      </c>
      <c r="P51" s="76">
        <v>0</v>
      </c>
      <c r="Q51" s="76">
        <v>0</v>
      </c>
      <c r="R51" s="76">
        <v>0</v>
      </c>
      <c r="S51" s="76">
        <v>7278</v>
      </c>
      <c r="T51" s="76">
        <v>-9</v>
      </c>
      <c r="U51" s="76">
        <v>7269</v>
      </c>
      <c r="V51" s="76">
        <v>0</v>
      </c>
      <c r="W51" s="76">
        <v>-1878</v>
      </c>
      <c r="X51" s="76">
        <v>0</v>
      </c>
      <c r="Y51" s="76">
        <v>0</v>
      </c>
      <c r="Z51" s="76">
        <v>5391</v>
      </c>
      <c r="AA51" s="76">
        <v>24622</v>
      </c>
      <c r="AB51" s="76">
        <v>585</v>
      </c>
      <c r="AC51" s="76">
        <v>25207</v>
      </c>
      <c r="AD51" s="76">
        <v>88</v>
      </c>
      <c r="AE51" s="76">
        <v>0</v>
      </c>
      <c r="AF51" s="76">
        <v>0</v>
      </c>
      <c r="AG51" s="76">
        <v>0</v>
      </c>
      <c r="AH51" s="76">
        <v>25295</v>
      </c>
      <c r="AI51" s="76">
        <v>2521</v>
      </c>
      <c r="AJ51" s="76">
        <v>1746</v>
      </c>
      <c r="AK51" s="76">
        <v>3905</v>
      </c>
      <c r="AL51" s="76">
        <v>1770</v>
      </c>
      <c r="AM51" s="76">
        <v>0</v>
      </c>
      <c r="AN51" s="76">
        <v>206</v>
      </c>
      <c r="AO51" s="76">
        <v>5108</v>
      </c>
      <c r="AP51" s="76">
        <v>0</v>
      </c>
      <c r="AQ51" s="76">
        <v>95</v>
      </c>
      <c r="AR51" s="76">
        <v>15351</v>
      </c>
      <c r="AS51" s="76">
        <v>9944</v>
      </c>
      <c r="AT51" s="76">
        <v>67</v>
      </c>
      <c r="AU51" s="76">
        <v>110216</v>
      </c>
      <c r="AV51" s="76">
        <v>0</v>
      </c>
      <c r="AW51" s="76">
        <v>3216</v>
      </c>
      <c r="AX51" s="76">
        <v>313</v>
      </c>
      <c r="AY51" s="76">
        <v>0</v>
      </c>
      <c r="AZ51" s="76">
        <v>2474</v>
      </c>
      <c r="BA51" s="76">
        <v>0</v>
      </c>
      <c r="BB51" s="76">
        <v>0</v>
      </c>
      <c r="BC51" s="76">
        <v>0</v>
      </c>
      <c r="BD51" s="76">
        <v>0</v>
      </c>
      <c r="BE51" s="76">
        <v>116219</v>
      </c>
      <c r="BF51" s="76">
        <v>636</v>
      </c>
      <c r="BG51" s="76">
        <v>2996</v>
      </c>
      <c r="BH51" s="76">
        <v>12629</v>
      </c>
      <c r="BI51" s="76">
        <v>0</v>
      </c>
      <c r="BJ51" s="76">
        <v>856</v>
      </c>
      <c r="BK51" s="76">
        <v>17117</v>
      </c>
      <c r="BL51" s="76">
        <v>132</v>
      </c>
      <c r="BM51" s="76">
        <v>451</v>
      </c>
      <c r="BN51" s="76">
        <v>97</v>
      </c>
      <c r="BO51" s="76">
        <v>5082</v>
      </c>
      <c r="BP51" s="76">
        <v>5762</v>
      </c>
      <c r="BQ51" s="76">
        <v>11355</v>
      </c>
      <c r="BR51" s="76">
        <v>127574</v>
      </c>
      <c r="BS51" s="76">
        <v>73593</v>
      </c>
      <c r="BT51" s="76">
        <v>0</v>
      </c>
      <c r="BU51" s="76">
        <v>0</v>
      </c>
      <c r="BV51" s="76">
        <v>8958</v>
      </c>
      <c r="BW51" s="76">
        <v>0</v>
      </c>
      <c r="BX51" s="76">
        <v>0</v>
      </c>
      <c r="BY51" s="76">
        <v>145</v>
      </c>
      <c r="BZ51" s="76">
        <v>82696</v>
      </c>
      <c r="CA51" s="76">
        <v>3547</v>
      </c>
      <c r="CB51" s="76">
        <v>0</v>
      </c>
      <c r="CC51" s="76">
        <v>41331</v>
      </c>
      <c r="CD51" s="76">
        <v>41331</v>
      </c>
      <c r="CE51" s="76">
        <v>0</v>
      </c>
      <c r="CF51" s="76">
        <v>0</v>
      </c>
      <c r="CG51" s="76">
        <v>0</v>
      </c>
      <c r="CH51" s="76">
        <v>0</v>
      </c>
      <c r="CI51" s="76">
        <v>41331</v>
      </c>
      <c r="CJ51" s="76">
        <v>773</v>
      </c>
      <c r="CK51" s="76">
        <v>442</v>
      </c>
      <c r="CL51" s="76">
        <v>0</v>
      </c>
      <c r="CM51" s="76">
        <v>331</v>
      </c>
      <c r="CN51" s="76">
        <v>299</v>
      </c>
      <c r="CO51" s="76">
        <v>0</v>
      </c>
      <c r="CP51" s="76">
        <v>287</v>
      </c>
      <c r="CQ51" s="76">
        <v>12</v>
      </c>
      <c r="CR51" s="76">
        <v>0</v>
      </c>
      <c r="CS51" s="76">
        <v>0</v>
      </c>
      <c r="CT51" s="76">
        <v>0</v>
      </c>
      <c r="CU51" s="76">
        <v>0</v>
      </c>
      <c r="CV51" s="76">
        <v>0</v>
      </c>
      <c r="CW51" s="76">
        <v>0</v>
      </c>
      <c r="CX51" s="76">
        <v>0</v>
      </c>
      <c r="CY51" s="76">
        <v>0</v>
      </c>
      <c r="CZ51" s="76">
        <v>874</v>
      </c>
      <c r="DA51" s="76">
        <v>0</v>
      </c>
      <c r="DB51" s="76">
        <v>702</v>
      </c>
      <c r="DC51" s="76">
        <v>172</v>
      </c>
      <c r="DD51" s="76">
        <v>1946</v>
      </c>
      <c r="DE51" s="76">
        <v>442</v>
      </c>
      <c r="DF51" s="76">
        <v>989</v>
      </c>
      <c r="DG51" s="76">
        <v>515</v>
      </c>
      <c r="DH51" s="76">
        <v>0</v>
      </c>
      <c r="DI51" s="76">
        <v>0</v>
      </c>
      <c r="DJ51" s="76">
        <v>0</v>
      </c>
      <c r="DK51" s="76">
        <v>0</v>
      </c>
      <c r="DL51" s="76">
        <v>0</v>
      </c>
      <c r="DM51" s="76">
        <v>0</v>
      </c>
      <c r="DN51" s="76">
        <v>0</v>
      </c>
      <c r="DO51" s="76">
        <v>0</v>
      </c>
      <c r="DP51" s="76">
        <v>0</v>
      </c>
      <c r="DQ51" s="76">
        <v>0</v>
      </c>
      <c r="DR51" s="76">
        <v>0</v>
      </c>
      <c r="DS51" s="76">
        <v>0</v>
      </c>
      <c r="DT51" s="76">
        <v>0</v>
      </c>
      <c r="DU51" s="76">
        <v>0</v>
      </c>
      <c r="DV51" s="76">
        <v>0</v>
      </c>
      <c r="DW51" s="76">
        <v>0</v>
      </c>
      <c r="DX51" s="76">
        <v>0</v>
      </c>
      <c r="DY51" s="76">
        <v>0</v>
      </c>
      <c r="DZ51" s="76">
        <v>0</v>
      </c>
      <c r="EA51" s="76">
        <v>0</v>
      </c>
      <c r="EB51" s="76">
        <v>2202</v>
      </c>
      <c r="EC51" s="76">
        <v>0</v>
      </c>
      <c r="ED51" s="76">
        <v>1769</v>
      </c>
      <c r="EE51" s="76">
        <v>433</v>
      </c>
      <c r="EF51" s="76">
        <v>2202</v>
      </c>
      <c r="EG51" s="76">
        <v>0</v>
      </c>
      <c r="EH51" s="76">
        <v>1769</v>
      </c>
      <c r="EI51" s="76">
        <v>433</v>
      </c>
      <c r="EJ51" s="76">
        <v>4148</v>
      </c>
      <c r="EK51" s="76">
        <v>442</v>
      </c>
      <c r="EL51" s="76">
        <v>2758</v>
      </c>
      <c r="EM51" s="76">
        <v>948</v>
      </c>
      <c r="EN51" s="76">
        <v>335</v>
      </c>
      <c r="EO51" s="76">
        <v>209</v>
      </c>
      <c r="EP51" s="76">
        <v>158</v>
      </c>
      <c r="EQ51" s="76">
        <v>209</v>
      </c>
      <c r="ER51" s="76">
        <v>135892</v>
      </c>
      <c r="ES51" s="76">
        <v>0</v>
      </c>
      <c r="ET51" s="76">
        <v>135892</v>
      </c>
      <c r="EU51" s="76">
        <v>11032</v>
      </c>
      <c r="EV51" s="76">
        <v>-680</v>
      </c>
      <c r="EW51" s="76">
        <v>0</v>
      </c>
      <c r="EX51" s="76">
        <v>0</v>
      </c>
      <c r="EY51" s="76">
        <v>0</v>
      </c>
      <c r="EZ51" s="76">
        <v>146244</v>
      </c>
      <c r="FA51" s="76">
        <v>31279</v>
      </c>
      <c r="FB51" s="76">
        <v>4949</v>
      </c>
      <c r="FC51" s="76">
        <v>0</v>
      </c>
      <c r="FD51" s="76">
        <v>0</v>
      </c>
      <c r="FE51" s="76">
        <v>-200</v>
      </c>
      <c r="FF51" s="76">
        <v>0</v>
      </c>
      <c r="FG51" s="76">
        <v>0</v>
      </c>
      <c r="FH51" s="76">
        <v>36028</v>
      </c>
      <c r="FI51" s="76">
        <v>110216</v>
      </c>
      <c r="FJ51" s="76">
        <v>104613</v>
      </c>
      <c r="FK51" s="76">
        <v>0</v>
      </c>
      <c r="FL51" s="76">
        <v>0</v>
      </c>
      <c r="FM51" s="76">
        <v>0</v>
      </c>
      <c r="FN51" s="76">
        <v>1292</v>
      </c>
      <c r="FO51" s="76">
        <v>1042</v>
      </c>
      <c r="FP51" s="76">
        <v>250</v>
      </c>
      <c r="FQ51" s="76">
        <v>172</v>
      </c>
      <c r="FR51" s="76">
        <v>179</v>
      </c>
      <c r="FS51" s="76">
        <v>-7</v>
      </c>
      <c r="FT51" s="76">
        <v>215</v>
      </c>
      <c r="FU51" s="76">
        <v>8</v>
      </c>
      <c r="FV51" s="76">
        <v>207</v>
      </c>
      <c r="FW51" s="76">
        <v>0</v>
      </c>
      <c r="FX51" s="76">
        <v>0</v>
      </c>
      <c r="FY51" s="76">
        <v>0</v>
      </c>
      <c r="FZ51" s="76">
        <v>0</v>
      </c>
      <c r="GA51" s="76">
        <v>0</v>
      </c>
      <c r="GB51" s="76">
        <v>0</v>
      </c>
      <c r="GC51" s="76">
        <v>1679</v>
      </c>
      <c r="GD51" s="76">
        <v>1229</v>
      </c>
      <c r="GE51" s="76">
        <v>450</v>
      </c>
      <c r="GF51" s="76">
        <v>0</v>
      </c>
      <c r="GG51" s="76">
        <v>0</v>
      </c>
      <c r="GH51" s="76">
        <v>0</v>
      </c>
      <c r="GI51" s="76">
        <v>0</v>
      </c>
      <c r="GJ51" s="76">
        <v>0</v>
      </c>
      <c r="GK51" s="76">
        <v>856</v>
      </c>
      <c r="GL51" s="76">
        <v>856</v>
      </c>
      <c r="GM51" s="76">
        <v>807</v>
      </c>
      <c r="GN51" s="76">
        <v>404</v>
      </c>
      <c r="GO51" s="76">
        <v>0</v>
      </c>
      <c r="GP51" s="76">
        <v>0</v>
      </c>
      <c r="GQ51" s="76">
        <v>0</v>
      </c>
      <c r="GR51" s="76">
        <v>2476</v>
      </c>
      <c r="GS51" s="76">
        <v>0</v>
      </c>
      <c r="GT51" s="76">
        <v>0</v>
      </c>
      <c r="GU51" s="76">
        <v>0</v>
      </c>
      <c r="GV51" s="76">
        <v>0</v>
      </c>
      <c r="GW51" s="76">
        <v>1395</v>
      </c>
      <c r="GX51" s="76">
        <v>5082</v>
      </c>
      <c r="GY51" s="76">
        <v>0</v>
      </c>
      <c r="GZ51" s="76">
        <v>145</v>
      </c>
      <c r="HA51" s="76">
        <v>0</v>
      </c>
      <c r="HB51" s="76">
        <v>0</v>
      </c>
      <c r="HC51" s="76">
        <v>145</v>
      </c>
      <c r="HD51" s="76">
        <v>0</v>
      </c>
      <c r="HE51" s="76">
        <v>0</v>
      </c>
      <c r="HF51" s="76">
        <v>0</v>
      </c>
      <c r="HG51" s="76">
        <v>2</v>
      </c>
      <c r="HH51" s="76">
        <v>0</v>
      </c>
      <c r="HI51" s="76">
        <v>55</v>
      </c>
      <c r="HJ51" s="76">
        <v>0</v>
      </c>
      <c r="HK51" s="76">
        <v>4068</v>
      </c>
      <c r="HL51" s="76">
        <v>0</v>
      </c>
      <c r="HM51" s="76">
        <v>4125</v>
      </c>
      <c r="HN51" s="76">
        <v>3692</v>
      </c>
      <c r="HO51" s="76">
        <v>4949</v>
      </c>
      <c r="HP51" s="76">
        <v>0</v>
      </c>
      <c r="HQ51" s="76">
        <v>72</v>
      </c>
      <c r="HR51" s="76">
        <v>-25</v>
      </c>
      <c r="HS51" s="76">
        <v>-2</v>
      </c>
      <c r="HT51" s="76">
        <v>5065</v>
      </c>
      <c r="HU51" s="76">
        <v>0</v>
      </c>
      <c r="HV51" s="76">
        <v>0</v>
      </c>
      <c r="HW51" s="76">
        <v>0</v>
      </c>
      <c r="HX51" s="76">
        <v>0</v>
      </c>
    </row>
    <row r="52" spans="1:232" x14ac:dyDescent="0.2">
      <c r="A52" s="74" t="s">
        <v>291</v>
      </c>
      <c r="B52" s="74" t="s">
        <v>292</v>
      </c>
      <c r="C52" s="75" t="s">
        <v>200</v>
      </c>
      <c r="D52" s="75">
        <v>12</v>
      </c>
      <c r="E52" s="76">
        <v>21386</v>
      </c>
      <c r="F52" s="76">
        <v>-2424</v>
      </c>
      <c r="G52" s="76">
        <v>-11032</v>
      </c>
      <c r="H52" s="76">
        <v>7930</v>
      </c>
      <c r="I52" s="76">
        <v>15</v>
      </c>
      <c r="J52" s="76">
        <v>870</v>
      </c>
      <c r="K52" s="76">
        <v>0</v>
      </c>
      <c r="L52" s="76">
        <v>0</v>
      </c>
      <c r="M52" s="76">
        <v>130</v>
      </c>
      <c r="N52" s="76">
        <v>-4329</v>
      </c>
      <c r="O52" s="76">
        <v>74</v>
      </c>
      <c r="P52" s="76">
        <v>18</v>
      </c>
      <c r="Q52" s="76">
        <v>0</v>
      </c>
      <c r="R52" s="76">
        <v>0</v>
      </c>
      <c r="S52" s="76">
        <v>4708</v>
      </c>
      <c r="T52" s="76">
        <v>0</v>
      </c>
      <c r="U52" s="76">
        <v>4708</v>
      </c>
      <c r="V52" s="76">
        <v>0</v>
      </c>
      <c r="W52" s="76">
        <v>0</v>
      </c>
      <c r="X52" s="76">
        <v>0</v>
      </c>
      <c r="Y52" s="76">
        <v>0</v>
      </c>
      <c r="Z52" s="76">
        <v>4708</v>
      </c>
      <c r="AA52" s="76">
        <v>13621</v>
      </c>
      <c r="AB52" s="76">
        <v>2930</v>
      </c>
      <c r="AC52" s="76">
        <v>16551</v>
      </c>
      <c r="AD52" s="76">
        <v>1228</v>
      </c>
      <c r="AE52" s="76">
        <v>0</v>
      </c>
      <c r="AF52" s="76">
        <v>0</v>
      </c>
      <c r="AG52" s="76">
        <v>555</v>
      </c>
      <c r="AH52" s="76">
        <v>18334</v>
      </c>
      <c r="AI52" s="76">
        <v>2173</v>
      </c>
      <c r="AJ52" s="76">
        <v>1999</v>
      </c>
      <c r="AK52" s="76">
        <v>2318</v>
      </c>
      <c r="AL52" s="76">
        <v>699</v>
      </c>
      <c r="AM52" s="76">
        <v>616</v>
      </c>
      <c r="AN52" s="76">
        <v>62</v>
      </c>
      <c r="AO52" s="76">
        <v>2590</v>
      </c>
      <c r="AP52" s="76">
        <v>0</v>
      </c>
      <c r="AQ52" s="76">
        <v>576</v>
      </c>
      <c r="AR52" s="76">
        <v>11033</v>
      </c>
      <c r="AS52" s="76">
        <v>7301</v>
      </c>
      <c r="AT52" s="76">
        <v>233</v>
      </c>
      <c r="AU52" s="76">
        <v>131680</v>
      </c>
      <c r="AV52" s="76">
        <v>0</v>
      </c>
      <c r="AW52" s="76">
        <v>5247</v>
      </c>
      <c r="AX52" s="76">
        <v>0</v>
      </c>
      <c r="AY52" s="76">
        <v>11</v>
      </c>
      <c r="AZ52" s="76">
        <v>4071</v>
      </c>
      <c r="BA52" s="76">
        <v>0</v>
      </c>
      <c r="BB52" s="76">
        <v>2367</v>
      </c>
      <c r="BC52" s="76">
        <v>0</v>
      </c>
      <c r="BD52" s="76">
        <v>808</v>
      </c>
      <c r="BE52" s="76">
        <v>144184</v>
      </c>
      <c r="BF52" s="76">
        <v>570</v>
      </c>
      <c r="BG52" s="76">
        <v>390</v>
      </c>
      <c r="BH52" s="76">
        <v>17976</v>
      </c>
      <c r="BI52" s="76">
        <v>0</v>
      </c>
      <c r="BJ52" s="76">
        <v>6180</v>
      </c>
      <c r="BK52" s="76">
        <v>25116</v>
      </c>
      <c r="BL52" s="76">
        <v>744</v>
      </c>
      <c r="BM52" s="76">
        <v>0</v>
      </c>
      <c r="BN52" s="76">
        <v>1228</v>
      </c>
      <c r="BO52" s="76">
        <v>4958</v>
      </c>
      <c r="BP52" s="76">
        <v>6930</v>
      </c>
      <c r="BQ52" s="76">
        <v>18186</v>
      </c>
      <c r="BR52" s="76">
        <v>162370</v>
      </c>
      <c r="BS52" s="76">
        <v>67443</v>
      </c>
      <c r="BT52" s="76">
        <v>0</v>
      </c>
      <c r="BU52" s="76">
        <v>0</v>
      </c>
      <c r="BV52" s="76">
        <v>55483</v>
      </c>
      <c r="BW52" s="76">
        <v>11</v>
      </c>
      <c r="BX52" s="76">
        <v>0</v>
      </c>
      <c r="BY52" s="76">
        <v>2569</v>
      </c>
      <c r="BZ52" s="76">
        <v>125506</v>
      </c>
      <c r="CA52" s="76">
        <v>0</v>
      </c>
      <c r="CB52" s="76">
        <v>0</v>
      </c>
      <c r="CC52" s="76">
        <v>36864</v>
      </c>
      <c r="CD52" s="76">
        <v>36864</v>
      </c>
      <c r="CE52" s="76">
        <v>0</v>
      </c>
      <c r="CF52" s="76">
        <v>0</v>
      </c>
      <c r="CG52" s="76">
        <v>0</v>
      </c>
      <c r="CH52" s="76">
        <v>0</v>
      </c>
      <c r="CI52" s="76">
        <v>36864</v>
      </c>
      <c r="CJ52" s="76">
        <v>1612</v>
      </c>
      <c r="CK52" s="76">
        <v>1612</v>
      </c>
      <c r="CL52" s="76">
        <v>0</v>
      </c>
      <c r="CM52" s="76">
        <v>0</v>
      </c>
      <c r="CN52" s="76">
        <v>0</v>
      </c>
      <c r="CO52" s="76">
        <v>0</v>
      </c>
      <c r="CP52" s="76">
        <v>0</v>
      </c>
      <c r="CQ52" s="76">
        <v>0</v>
      </c>
      <c r="CR52" s="76">
        <v>0</v>
      </c>
      <c r="CS52" s="76">
        <v>0</v>
      </c>
      <c r="CT52" s="76">
        <v>182</v>
      </c>
      <c r="CU52" s="76">
        <v>-182</v>
      </c>
      <c r="CV52" s="76">
        <v>0</v>
      </c>
      <c r="CW52" s="76">
        <v>0</v>
      </c>
      <c r="CX52" s="76">
        <v>0</v>
      </c>
      <c r="CY52" s="76">
        <v>0</v>
      </c>
      <c r="CZ52" s="76">
        <v>0</v>
      </c>
      <c r="DA52" s="76">
        <v>0</v>
      </c>
      <c r="DB52" s="76">
        <v>-183</v>
      </c>
      <c r="DC52" s="76">
        <v>183</v>
      </c>
      <c r="DD52" s="76">
        <v>1612</v>
      </c>
      <c r="DE52" s="76">
        <v>1612</v>
      </c>
      <c r="DF52" s="76">
        <v>-1</v>
      </c>
      <c r="DG52" s="76">
        <v>1</v>
      </c>
      <c r="DH52" s="76">
        <v>0</v>
      </c>
      <c r="DI52" s="76">
        <v>0</v>
      </c>
      <c r="DJ52" s="76">
        <v>0</v>
      </c>
      <c r="DK52" s="76">
        <v>0</v>
      </c>
      <c r="DL52" s="76">
        <v>0</v>
      </c>
      <c r="DM52" s="76">
        <v>0</v>
      </c>
      <c r="DN52" s="76">
        <v>0</v>
      </c>
      <c r="DO52" s="76">
        <v>0</v>
      </c>
      <c r="DP52" s="76">
        <v>0</v>
      </c>
      <c r="DQ52" s="76">
        <v>0</v>
      </c>
      <c r="DR52" s="76">
        <v>0</v>
      </c>
      <c r="DS52" s="76">
        <v>0</v>
      </c>
      <c r="DT52" s="76">
        <v>92</v>
      </c>
      <c r="DU52" s="76">
        <v>0</v>
      </c>
      <c r="DV52" s="76">
        <v>0</v>
      </c>
      <c r="DW52" s="76">
        <v>92</v>
      </c>
      <c r="DX52" s="76">
        <v>0</v>
      </c>
      <c r="DY52" s="76">
        <v>0</v>
      </c>
      <c r="DZ52" s="76">
        <v>0</v>
      </c>
      <c r="EA52" s="76">
        <v>0</v>
      </c>
      <c r="EB52" s="76">
        <v>1348</v>
      </c>
      <c r="EC52" s="76">
        <v>812</v>
      </c>
      <c r="ED52" s="76">
        <v>0</v>
      </c>
      <c r="EE52" s="76">
        <v>536</v>
      </c>
      <c r="EF52" s="76">
        <v>1440</v>
      </c>
      <c r="EG52" s="76">
        <v>812</v>
      </c>
      <c r="EH52" s="76">
        <v>0</v>
      </c>
      <c r="EI52" s="76">
        <v>628</v>
      </c>
      <c r="EJ52" s="76">
        <v>3052</v>
      </c>
      <c r="EK52" s="76">
        <v>2424</v>
      </c>
      <c r="EL52" s="76">
        <v>-1</v>
      </c>
      <c r="EM52" s="76">
        <v>629</v>
      </c>
      <c r="EN52" s="76">
        <v>539</v>
      </c>
      <c r="EO52" s="76">
        <v>721</v>
      </c>
      <c r="EP52" s="76">
        <v>149</v>
      </c>
      <c r="EQ52" s="76">
        <v>721</v>
      </c>
      <c r="ER52" s="76">
        <v>159799</v>
      </c>
      <c r="ES52" s="76">
        <v>0</v>
      </c>
      <c r="ET52" s="76">
        <v>159799</v>
      </c>
      <c r="EU52" s="76">
        <v>11183</v>
      </c>
      <c r="EV52" s="76">
        <v>-1144</v>
      </c>
      <c r="EW52" s="76">
        <v>0</v>
      </c>
      <c r="EX52" s="76">
        <v>0</v>
      </c>
      <c r="EY52" s="76">
        <v>0</v>
      </c>
      <c r="EZ52" s="76">
        <v>169838</v>
      </c>
      <c r="FA52" s="76">
        <v>36363</v>
      </c>
      <c r="FB52" s="76">
        <v>2590</v>
      </c>
      <c r="FC52" s="76">
        <v>0</v>
      </c>
      <c r="FD52" s="76">
        <v>0</v>
      </c>
      <c r="FE52" s="76">
        <v>-795</v>
      </c>
      <c r="FF52" s="76">
        <v>0</v>
      </c>
      <c r="FG52" s="76">
        <v>0</v>
      </c>
      <c r="FH52" s="76">
        <v>38158</v>
      </c>
      <c r="FI52" s="76">
        <v>131680</v>
      </c>
      <c r="FJ52" s="76">
        <v>123436</v>
      </c>
      <c r="FK52" s="76">
        <v>342</v>
      </c>
      <c r="FL52" s="76">
        <v>145</v>
      </c>
      <c r="FM52" s="76">
        <v>197</v>
      </c>
      <c r="FN52" s="76">
        <v>30</v>
      </c>
      <c r="FO52" s="76">
        <v>22</v>
      </c>
      <c r="FP52" s="76">
        <v>8</v>
      </c>
      <c r="FQ52" s="76">
        <v>0</v>
      </c>
      <c r="FR52" s="76">
        <v>0</v>
      </c>
      <c r="FS52" s="76">
        <v>0</v>
      </c>
      <c r="FT52" s="76">
        <v>18</v>
      </c>
      <c r="FU52" s="76">
        <v>23</v>
      </c>
      <c r="FV52" s="76">
        <v>-5</v>
      </c>
      <c r="FW52" s="76">
        <v>0</v>
      </c>
      <c r="FX52" s="76">
        <v>0</v>
      </c>
      <c r="FY52" s="76">
        <v>0</v>
      </c>
      <c r="FZ52" s="76">
        <v>8</v>
      </c>
      <c r="GA52" s="76">
        <v>193</v>
      </c>
      <c r="GB52" s="76">
        <v>-185</v>
      </c>
      <c r="GC52" s="76">
        <v>398</v>
      </c>
      <c r="GD52" s="76">
        <v>383</v>
      </c>
      <c r="GE52" s="76">
        <v>15</v>
      </c>
      <c r="GF52" s="76">
        <v>4251</v>
      </c>
      <c r="GG52" s="76">
        <v>18</v>
      </c>
      <c r="GH52" s="76">
        <v>0</v>
      </c>
      <c r="GI52" s="76">
        <v>0</v>
      </c>
      <c r="GJ52" s="76">
        <v>0</v>
      </c>
      <c r="GK52" s="76">
        <v>1911</v>
      </c>
      <c r="GL52" s="76">
        <v>6180</v>
      </c>
      <c r="GM52" s="76">
        <v>75</v>
      </c>
      <c r="GN52" s="76">
        <v>253</v>
      </c>
      <c r="GO52" s="76">
        <v>51</v>
      </c>
      <c r="GP52" s="76">
        <v>91</v>
      </c>
      <c r="GQ52" s="76">
        <v>0</v>
      </c>
      <c r="GR52" s="76">
        <v>2932</v>
      </c>
      <c r="GS52" s="76">
        <v>30</v>
      </c>
      <c r="GT52" s="76">
        <v>0</v>
      </c>
      <c r="GU52" s="76">
        <v>298</v>
      </c>
      <c r="GV52" s="76">
        <v>0</v>
      </c>
      <c r="GW52" s="76">
        <v>1228</v>
      </c>
      <c r="GX52" s="76">
        <v>4958</v>
      </c>
      <c r="GY52" s="76">
        <v>229</v>
      </c>
      <c r="GZ52" s="76">
        <v>85</v>
      </c>
      <c r="HA52" s="76">
        <v>2255</v>
      </c>
      <c r="HB52" s="76">
        <v>0</v>
      </c>
      <c r="HC52" s="76">
        <v>2569</v>
      </c>
      <c r="HD52" s="76">
        <v>0</v>
      </c>
      <c r="HE52" s="76">
        <v>0</v>
      </c>
      <c r="HF52" s="76">
        <v>0</v>
      </c>
      <c r="HG52" s="76">
        <v>4274</v>
      </c>
      <c r="HH52" s="76">
        <v>2</v>
      </c>
      <c r="HI52" s="76">
        <v>0</v>
      </c>
      <c r="HJ52" s="76">
        <v>0</v>
      </c>
      <c r="HK52" s="76">
        <v>53</v>
      </c>
      <c r="HL52" s="76">
        <v>0</v>
      </c>
      <c r="HM52" s="76">
        <v>4329</v>
      </c>
      <c r="HN52" s="76">
        <v>3666</v>
      </c>
      <c r="HO52" s="76">
        <v>2955</v>
      </c>
      <c r="HP52" s="76">
        <v>0</v>
      </c>
      <c r="HQ52" s="76">
        <v>174</v>
      </c>
      <c r="HR52" s="76">
        <v>-8</v>
      </c>
      <c r="HS52" s="76">
        <v>-118</v>
      </c>
      <c r="HT52" s="76">
        <v>3068</v>
      </c>
      <c r="HU52" s="76">
        <v>0</v>
      </c>
      <c r="HV52" s="76">
        <v>0</v>
      </c>
      <c r="HW52" s="76">
        <v>4</v>
      </c>
      <c r="HX52" s="76">
        <v>87</v>
      </c>
    </row>
    <row r="53" spans="1:232" x14ac:dyDescent="0.2">
      <c r="A53" s="74" t="s">
        <v>44</v>
      </c>
      <c r="B53" s="74" t="s">
        <v>43</v>
      </c>
      <c r="C53" s="75" t="s">
        <v>200</v>
      </c>
      <c r="D53" s="75">
        <v>12</v>
      </c>
      <c r="E53" s="76">
        <v>14000</v>
      </c>
      <c r="F53" s="76">
        <v>-332</v>
      </c>
      <c r="G53" s="76">
        <v>-7666</v>
      </c>
      <c r="H53" s="76">
        <v>6002</v>
      </c>
      <c r="I53" s="76">
        <v>105</v>
      </c>
      <c r="J53" s="76">
        <v>0</v>
      </c>
      <c r="K53" s="76">
        <v>0</v>
      </c>
      <c r="L53" s="76">
        <v>0</v>
      </c>
      <c r="M53" s="76">
        <v>52</v>
      </c>
      <c r="N53" s="76">
        <v>-2215</v>
      </c>
      <c r="O53" s="76">
        <v>0</v>
      </c>
      <c r="P53" s="76">
        <v>0</v>
      </c>
      <c r="Q53" s="76">
        <v>0</v>
      </c>
      <c r="R53" s="76">
        <v>0</v>
      </c>
      <c r="S53" s="76">
        <v>3944</v>
      </c>
      <c r="T53" s="76">
        <v>0</v>
      </c>
      <c r="U53" s="76">
        <v>3944</v>
      </c>
      <c r="V53" s="76">
        <v>0</v>
      </c>
      <c r="W53" s="76">
        <v>-906</v>
      </c>
      <c r="X53" s="76">
        <v>0</v>
      </c>
      <c r="Y53" s="76">
        <v>0</v>
      </c>
      <c r="Z53" s="76">
        <v>3038</v>
      </c>
      <c r="AA53" s="76">
        <v>12473</v>
      </c>
      <c r="AB53" s="76">
        <v>493</v>
      </c>
      <c r="AC53" s="76">
        <v>12966</v>
      </c>
      <c r="AD53" s="76">
        <v>13</v>
      </c>
      <c r="AE53" s="76">
        <v>0</v>
      </c>
      <c r="AF53" s="76">
        <v>0</v>
      </c>
      <c r="AG53" s="76">
        <v>80</v>
      </c>
      <c r="AH53" s="76">
        <v>13059</v>
      </c>
      <c r="AI53" s="76">
        <v>2345</v>
      </c>
      <c r="AJ53" s="76">
        <v>579</v>
      </c>
      <c r="AK53" s="76">
        <v>1712</v>
      </c>
      <c r="AL53" s="76">
        <v>1714</v>
      </c>
      <c r="AM53" s="76">
        <v>107</v>
      </c>
      <c r="AN53" s="76">
        <v>38</v>
      </c>
      <c r="AO53" s="76">
        <v>1057</v>
      </c>
      <c r="AP53" s="76">
        <v>0</v>
      </c>
      <c r="AQ53" s="76">
        <v>114</v>
      </c>
      <c r="AR53" s="76">
        <v>7666</v>
      </c>
      <c r="AS53" s="76">
        <v>5393</v>
      </c>
      <c r="AT53" s="76">
        <v>72</v>
      </c>
      <c r="AU53" s="76">
        <v>79684</v>
      </c>
      <c r="AV53" s="76">
        <v>0</v>
      </c>
      <c r="AW53" s="76">
        <v>147</v>
      </c>
      <c r="AX53" s="76">
        <v>0</v>
      </c>
      <c r="AY53" s="76">
        <v>0</v>
      </c>
      <c r="AZ53" s="76">
        <v>0</v>
      </c>
      <c r="BA53" s="76">
        <v>0</v>
      </c>
      <c r="BB53" s="76">
        <v>0</v>
      </c>
      <c r="BC53" s="76">
        <v>0</v>
      </c>
      <c r="BD53" s="76">
        <v>0</v>
      </c>
      <c r="BE53" s="76">
        <v>79831</v>
      </c>
      <c r="BF53" s="76">
        <v>137</v>
      </c>
      <c r="BG53" s="76">
        <v>1523</v>
      </c>
      <c r="BH53" s="76">
        <v>13798</v>
      </c>
      <c r="BI53" s="76">
        <v>204</v>
      </c>
      <c r="BJ53" s="76">
        <v>0</v>
      </c>
      <c r="BK53" s="76">
        <v>15662</v>
      </c>
      <c r="BL53" s="76">
        <v>0</v>
      </c>
      <c r="BM53" s="76">
        <v>0</v>
      </c>
      <c r="BN53" s="76">
        <v>55</v>
      </c>
      <c r="BO53" s="76">
        <v>3161</v>
      </c>
      <c r="BP53" s="76">
        <v>3216</v>
      </c>
      <c r="BQ53" s="76">
        <v>12446</v>
      </c>
      <c r="BR53" s="76">
        <v>92277</v>
      </c>
      <c r="BS53" s="76">
        <v>65439</v>
      </c>
      <c r="BT53" s="76">
        <v>0</v>
      </c>
      <c r="BU53" s="76">
        <v>0</v>
      </c>
      <c r="BV53" s="76">
        <v>8694</v>
      </c>
      <c r="BW53" s="76">
        <v>0</v>
      </c>
      <c r="BX53" s="76">
        <v>0</v>
      </c>
      <c r="BY53" s="76">
        <v>49</v>
      </c>
      <c r="BZ53" s="76">
        <v>74182</v>
      </c>
      <c r="CA53" s="76">
        <v>2130</v>
      </c>
      <c r="CB53" s="76">
        <v>0</v>
      </c>
      <c r="CC53" s="76">
        <v>15965</v>
      </c>
      <c r="CD53" s="76">
        <v>15965</v>
      </c>
      <c r="CE53" s="76">
        <v>0</v>
      </c>
      <c r="CF53" s="76">
        <v>0</v>
      </c>
      <c r="CG53" s="76">
        <v>0</v>
      </c>
      <c r="CH53" s="76">
        <v>0</v>
      </c>
      <c r="CI53" s="76">
        <v>15965</v>
      </c>
      <c r="CJ53" s="76">
        <v>465</v>
      </c>
      <c r="CK53" s="76">
        <v>332</v>
      </c>
      <c r="CL53" s="76">
        <v>0</v>
      </c>
      <c r="CM53" s="76">
        <v>133</v>
      </c>
      <c r="CN53" s="76">
        <v>0</v>
      </c>
      <c r="CO53" s="76">
        <v>0</v>
      </c>
      <c r="CP53" s="76">
        <v>0</v>
      </c>
      <c r="CQ53" s="76">
        <v>0</v>
      </c>
      <c r="CR53" s="76">
        <v>0</v>
      </c>
      <c r="CS53" s="76">
        <v>0</v>
      </c>
      <c r="CT53" s="76">
        <v>0</v>
      </c>
      <c r="CU53" s="76">
        <v>0</v>
      </c>
      <c r="CV53" s="76">
        <v>0</v>
      </c>
      <c r="CW53" s="76">
        <v>0</v>
      </c>
      <c r="CX53" s="76">
        <v>0</v>
      </c>
      <c r="CY53" s="76">
        <v>0</v>
      </c>
      <c r="CZ53" s="76">
        <v>476</v>
      </c>
      <c r="DA53" s="76">
        <v>0</v>
      </c>
      <c r="DB53" s="76">
        <v>0</v>
      </c>
      <c r="DC53" s="76">
        <v>476</v>
      </c>
      <c r="DD53" s="76">
        <v>941</v>
      </c>
      <c r="DE53" s="76">
        <v>332</v>
      </c>
      <c r="DF53" s="76">
        <v>0</v>
      </c>
      <c r="DG53" s="76">
        <v>609</v>
      </c>
      <c r="DH53" s="76">
        <v>0</v>
      </c>
      <c r="DI53" s="76">
        <v>0</v>
      </c>
      <c r="DJ53" s="76">
        <v>0</v>
      </c>
      <c r="DK53" s="76">
        <v>0</v>
      </c>
      <c r="DL53" s="76">
        <v>0</v>
      </c>
      <c r="DM53" s="76">
        <v>0</v>
      </c>
      <c r="DN53" s="76">
        <v>0</v>
      </c>
      <c r="DO53" s="76">
        <v>0</v>
      </c>
      <c r="DP53" s="76">
        <v>0</v>
      </c>
      <c r="DQ53" s="76">
        <v>0</v>
      </c>
      <c r="DR53" s="76">
        <v>0</v>
      </c>
      <c r="DS53" s="76">
        <v>0</v>
      </c>
      <c r="DT53" s="76">
        <v>0</v>
      </c>
      <c r="DU53" s="76">
        <v>0</v>
      </c>
      <c r="DV53" s="76">
        <v>0</v>
      </c>
      <c r="DW53" s="76">
        <v>0</v>
      </c>
      <c r="DX53" s="76">
        <v>0</v>
      </c>
      <c r="DY53" s="76">
        <v>0</v>
      </c>
      <c r="DZ53" s="76">
        <v>0</v>
      </c>
      <c r="EA53" s="76">
        <v>0</v>
      </c>
      <c r="EB53" s="76">
        <v>0</v>
      </c>
      <c r="EC53" s="76">
        <v>0</v>
      </c>
      <c r="ED53" s="76">
        <v>0</v>
      </c>
      <c r="EE53" s="76">
        <v>0</v>
      </c>
      <c r="EF53" s="76">
        <v>0</v>
      </c>
      <c r="EG53" s="76">
        <v>0</v>
      </c>
      <c r="EH53" s="76">
        <v>0</v>
      </c>
      <c r="EI53" s="76">
        <v>0</v>
      </c>
      <c r="EJ53" s="76">
        <v>941</v>
      </c>
      <c r="EK53" s="76">
        <v>332</v>
      </c>
      <c r="EL53" s="76">
        <v>0</v>
      </c>
      <c r="EM53" s="76">
        <v>609</v>
      </c>
      <c r="EN53" s="76">
        <v>232</v>
      </c>
      <c r="EO53" s="76">
        <v>132</v>
      </c>
      <c r="EP53" s="76">
        <v>84</v>
      </c>
      <c r="EQ53" s="76">
        <v>132</v>
      </c>
      <c r="ER53" s="76">
        <v>64345</v>
      </c>
      <c r="ES53" s="76">
        <v>0</v>
      </c>
      <c r="ET53" s="76">
        <v>64345</v>
      </c>
      <c r="EU53" s="76">
        <v>22053</v>
      </c>
      <c r="EV53" s="76">
        <v>-466</v>
      </c>
      <c r="EW53" s="76">
        <v>0</v>
      </c>
      <c r="EX53" s="76">
        <v>0</v>
      </c>
      <c r="EY53" s="76">
        <v>198</v>
      </c>
      <c r="EZ53" s="76">
        <v>86130</v>
      </c>
      <c r="FA53" s="76">
        <v>5446</v>
      </c>
      <c r="FB53" s="76">
        <v>1058</v>
      </c>
      <c r="FC53" s="76">
        <v>0</v>
      </c>
      <c r="FD53" s="76">
        <v>0</v>
      </c>
      <c r="FE53" s="76">
        <v>-58</v>
      </c>
      <c r="FF53" s="76">
        <v>0</v>
      </c>
      <c r="FG53" s="76">
        <v>0</v>
      </c>
      <c r="FH53" s="76">
        <v>6446</v>
      </c>
      <c r="FI53" s="76">
        <v>79684</v>
      </c>
      <c r="FJ53" s="76">
        <v>58899</v>
      </c>
      <c r="FK53" s="76">
        <v>0</v>
      </c>
      <c r="FL53" s="76">
        <v>0</v>
      </c>
      <c r="FM53" s="76">
        <v>0</v>
      </c>
      <c r="FN53" s="76">
        <v>345</v>
      </c>
      <c r="FO53" s="76">
        <v>123</v>
      </c>
      <c r="FP53" s="76">
        <v>222</v>
      </c>
      <c r="FQ53" s="76">
        <v>0</v>
      </c>
      <c r="FR53" s="76">
        <v>0</v>
      </c>
      <c r="FS53" s="76">
        <v>0</v>
      </c>
      <c r="FT53" s="76">
        <v>9</v>
      </c>
      <c r="FU53" s="76">
        <v>3</v>
      </c>
      <c r="FV53" s="76">
        <v>6</v>
      </c>
      <c r="FW53" s="76">
        <v>0</v>
      </c>
      <c r="FX53" s="76">
        <v>0</v>
      </c>
      <c r="FY53" s="76">
        <v>0</v>
      </c>
      <c r="FZ53" s="76">
        <v>1</v>
      </c>
      <c r="GA53" s="76">
        <v>125</v>
      </c>
      <c r="GB53" s="76">
        <v>-124</v>
      </c>
      <c r="GC53" s="76">
        <v>355</v>
      </c>
      <c r="GD53" s="76">
        <v>251</v>
      </c>
      <c r="GE53" s="76">
        <v>104</v>
      </c>
      <c r="GF53" s="76">
        <v>0</v>
      </c>
      <c r="GG53" s="76">
        <v>0</v>
      </c>
      <c r="GH53" s="76">
        <v>0</v>
      </c>
      <c r="GI53" s="76">
        <v>0</v>
      </c>
      <c r="GJ53" s="76">
        <v>0</v>
      </c>
      <c r="GK53" s="76">
        <v>0</v>
      </c>
      <c r="GL53" s="76">
        <v>0</v>
      </c>
      <c r="GM53" s="76">
        <v>20</v>
      </c>
      <c r="GN53" s="76">
        <v>560</v>
      </c>
      <c r="GO53" s="76">
        <v>75</v>
      </c>
      <c r="GP53" s="76">
        <v>0</v>
      </c>
      <c r="GQ53" s="76">
        <v>0</v>
      </c>
      <c r="GR53" s="76">
        <v>2427</v>
      </c>
      <c r="GS53" s="76">
        <v>0</v>
      </c>
      <c r="GT53" s="76">
        <v>0</v>
      </c>
      <c r="GU53" s="76">
        <v>0</v>
      </c>
      <c r="GV53" s="76">
        <v>0</v>
      </c>
      <c r="GW53" s="76">
        <v>78</v>
      </c>
      <c r="GX53" s="76">
        <v>3160</v>
      </c>
      <c r="GY53" s="76">
        <v>0</v>
      </c>
      <c r="GZ53" s="76">
        <v>0</v>
      </c>
      <c r="HA53" s="76">
        <v>0</v>
      </c>
      <c r="HB53" s="76">
        <v>49</v>
      </c>
      <c r="HC53" s="76">
        <v>49</v>
      </c>
      <c r="HD53" s="76">
        <v>0</v>
      </c>
      <c r="HE53" s="76">
        <v>0</v>
      </c>
      <c r="HF53" s="76">
        <v>0</v>
      </c>
      <c r="HG53" s="76">
        <v>2947</v>
      </c>
      <c r="HH53" s="76">
        <v>71</v>
      </c>
      <c r="HI53" s="76">
        <v>38</v>
      </c>
      <c r="HJ53" s="76">
        <v>0</v>
      </c>
      <c r="HK53" s="76">
        <v>0</v>
      </c>
      <c r="HL53" s="76">
        <v>-841</v>
      </c>
      <c r="HM53" s="76">
        <v>2215</v>
      </c>
      <c r="HN53" s="76">
        <v>260</v>
      </c>
      <c r="HO53" s="76">
        <v>1070</v>
      </c>
      <c r="HP53" s="76">
        <v>0</v>
      </c>
      <c r="HQ53" s="76">
        <v>199</v>
      </c>
      <c r="HR53" s="76">
        <v>-13</v>
      </c>
      <c r="HS53" s="76">
        <v>63</v>
      </c>
      <c r="HT53" s="76">
        <v>5670</v>
      </c>
      <c r="HU53" s="76">
        <v>0</v>
      </c>
      <c r="HV53" s="76">
        <v>0</v>
      </c>
      <c r="HW53" s="76">
        <v>0</v>
      </c>
      <c r="HX53" s="76">
        <v>0</v>
      </c>
    </row>
    <row r="54" spans="1:232" x14ac:dyDescent="0.2">
      <c r="A54" s="74" t="s">
        <v>293</v>
      </c>
      <c r="B54" s="74" t="s">
        <v>294</v>
      </c>
      <c r="C54" s="75" t="s">
        <v>200</v>
      </c>
      <c r="D54" s="75">
        <v>12</v>
      </c>
      <c r="E54" s="76">
        <v>249757</v>
      </c>
      <c r="F54" s="76">
        <v>-9711</v>
      </c>
      <c r="G54" s="76">
        <v>-188567</v>
      </c>
      <c r="H54" s="76">
        <v>51479</v>
      </c>
      <c r="I54" s="76">
        <v>18647</v>
      </c>
      <c r="J54" s="76">
        <v>7574</v>
      </c>
      <c r="K54" s="76">
        <v>0</v>
      </c>
      <c r="L54" s="76">
        <v>0</v>
      </c>
      <c r="M54" s="76">
        <v>4484</v>
      </c>
      <c r="N54" s="76">
        <v>-70430</v>
      </c>
      <c r="O54" s="76">
        <v>15579</v>
      </c>
      <c r="P54" s="76">
        <v>-2630</v>
      </c>
      <c r="Q54" s="76">
        <v>0</v>
      </c>
      <c r="R54" s="76">
        <v>0</v>
      </c>
      <c r="S54" s="76">
        <v>24703</v>
      </c>
      <c r="T54" s="76">
        <v>0</v>
      </c>
      <c r="U54" s="76">
        <v>24703</v>
      </c>
      <c r="V54" s="76">
        <v>0</v>
      </c>
      <c r="W54" s="76">
        <v>1360</v>
      </c>
      <c r="X54" s="76">
        <v>-5292</v>
      </c>
      <c r="Y54" s="76">
        <v>0</v>
      </c>
      <c r="Z54" s="76">
        <v>20771</v>
      </c>
      <c r="AA54" s="76">
        <v>194938</v>
      </c>
      <c r="AB54" s="76">
        <v>15464</v>
      </c>
      <c r="AC54" s="76">
        <v>210402</v>
      </c>
      <c r="AD54" s="76">
        <v>10378</v>
      </c>
      <c r="AE54" s="76">
        <v>0</v>
      </c>
      <c r="AF54" s="76">
        <v>0</v>
      </c>
      <c r="AG54" s="76">
        <v>656</v>
      </c>
      <c r="AH54" s="76">
        <v>221436</v>
      </c>
      <c r="AI54" s="76">
        <v>28143</v>
      </c>
      <c r="AJ54" s="76">
        <v>21530</v>
      </c>
      <c r="AK54" s="76">
        <v>59302</v>
      </c>
      <c r="AL54" s="76">
        <v>28188</v>
      </c>
      <c r="AM54" s="76">
        <v>0</v>
      </c>
      <c r="AN54" s="76">
        <v>1591</v>
      </c>
      <c r="AO54" s="76">
        <v>29956</v>
      </c>
      <c r="AP54" s="76">
        <v>0</v>
      </c>
      <c r="AQ54" s="76">
        <v>88</v>
      </c>
      <c r="AR54" s="76">
        <v>168798</v>
      </c>
      <c r="AS54" s="76">
        <v>52638</v>
      </c>
      <c r="AT54" s="76">
        <v>3803</v>
      </c>
      <c r="AU54" s="76">
        <v>2352941</v>
      </c>
      <c r="AV54" s="76">
        <v>0</v>
      </c>
      <c r="AW54" s="76">
        <v>3954</v>
      </c>
      <c r="AX54" s="76">
        <v>0</v>
      </c>
      <c r="AY54" s="76">
        <v>12347</v>
      </c>
      <c r="AZ54" s="76">
        <v>153917</v>
      </c>
      <c r="BA54" s="76">
        <v>0</v>
      </c>
      <c r="BB54" s="76">
        <v>0</v>
      </c>
      <c r="BC54" s="76">
        <v>133859</v>
      </c>
      <c r="BD54" s="76">
        <v>15718</v>
      </c>
      <c r="BE54" s="76">
        <v>2672736</v>
      </c>
      <c r="BF54" s="76">
        <v>10196</v>
      </c>
      <c r="BG54" s="76">
        <v>22772</v>
      </c>
      <c r="BH54" s="76">
        <v>1761</v>
      </c>
      <c r="BI54" s="76">
        <v>702</v>
      </c>
      <c r="BJ54" s="76">
        <v>152363</v>
      </c>
      <c r="BK54" s="76">
        <v>187794</v>
      </c>
      <c r="BL54" s="76">
        <v>24758</v>
      </c>
      <c r="BM54" s="76">
        <v>171</v>
      </c>
      <c r="BN54" s="76">
        <v>10779</v>
      </c>
      <c r="BO54" s="76">
        <v>63778</v>
      </c>
      <c r="BP54" s="76">
        <v>99486</v>
      </c>
      <c r="BQ54" s="76">
        <v>88308</v>
      </c>
      <c r="BR54" s="76">
        <v>2761044</v>
      </c>
      <c r="BS54" s="76">
        <v>8246</v>
      </c>
      <c r="BT54" s="76">
        <v>1433510</v>
      </c>
      <c r="BU54" s="76">
        <v>1052</v>
      </c>
      <c r="BV54" s="76">
        <v>944672</v>
      </c>
      <c r="BW54" s="76">
        <v>12287</v>
      </c>
      <c r="BX54" s="76">
        <v>210813</v>
      </c>
      <c r="BY54" s="76">
        <v>28933</v>
      </c>
      <c r="BZ54" s="76">
        <v>2639513</v>
      </c>
      <c r="CA54" s="76">
        <v>856</v>
      </c>
      <c r="CB54" s="76">
        <v>6023</v>
      </c>
      <c r="CC54" s="76">
        <v>114652</v>
      </c>
      <c r="CD54" s="76">
        <v>333906</v>
      </c>
      <c r="CE54" s="76">
        <v>0</v>
      </c>
      <c r="CF54" s="76">
        <v>0</v>
      </c>
      <c r="CG54" s="76">
        <v>-219254</v>
      </c>
      <c r="CH54" s="76">
        <v>0</v>
      </c>
      <c r="CI54" s="76">
        <v>114652</v>
      </c>
      <c r="CJ54" s="76">
        <v>17840</v>
      </c>
      <c r="CK54" s="76">
        <v>9711</v>
      </c>
      <c r="CL54" s="76">
        <v>0</v>
      </c>
      <c r="CM54" s="76">
        <v>8129</v>
      </c>
      <c r="CN54" s="76">
        <v>0</v>
      </c>
      <c r="CO54" s="76">
        <v>0</v>
      </c>
      <c r="CP54" s="76">
        <v>21</v>
      </c>
      <c r="CQ54" s="76">
        <v>-21</v>
      </c>
      <c r="CR54" s="76">
        <v>0</v>
      </c>
      <c r="CS54" s="76">
        <v>0</v>
      </c>
      <c r="CT54" s="76">
        <v>668</v>
      </c>
      <c r="CU54" s="76">
        <v>-668</v>
      </c>
      <c r="CV54" s="76">
        <v>238</v>
      </c>
      <c r="CW54" s="76">
        <v>0</v>
      </c>
      <c r="CX54" s="76">
        <v>1465</v>
      </c>
      <c r="CY54" s="76">
        <v>-1227</v>
      </c>
      <c r="CZ54" s="76">
        <v>0</v>
      </c>
      <c r="DA54" s="76">
        <v>0</v>
      </c>
      <c r="DB54" s="76">
        <v>13838</v>
      </c>
      <c r="DC54" s="76">
        <v>-13838</v>
      </c>
      <c r="DD54" s="76">
        <v>18078</v>
      </c>
      <c r="DE54" s="76">
        <v>9711</v>
      </c>
      <c r="DF54" s="76">
        <v>15992</v>
      </c>
      <c r="DG54" s="76">
        <v>-7625</v>
      </c>
      <c r="DH54" s="76">
        <v>0</v>
      </c>
      <c r="DI54" s="76">
        <v>0</v>
      </c>
      <c r="DJ54" s="76">
        <v>0</v>
      </c>
      <c r="DK54" s="76">
        <v>0</v>
      </c>
      <c r="DL54" s="76">
        <v>0</v>
      </c>
      <c r="DM54" s="76">
        <v>0</v>
      </c>
      <c r="DN54" s="76">
        <v>0</v>
      </c>
      <c r="DO54" s="76">
        <v>0</v>
      </c>
      <c r="DP54" s="76">
        <v>0</v>
      </c>
      <c r="DQ54" s="76">
        <v>0</v>
      </c>
      <c r="DR54" s="76">
        <v>0</v>
      </c>
      <c r="DS54" s="76">
        <v>0</v>
      </c>
      <c r="DT54" s="76">
        <v>8823</v>
      </c>
      <c r="DU54" s="76">
        <v>0</v>
      </c>
      <c r="DV54" s="76">
        <v>2271</v>
      </c>
      <c r="DW54" s="76">
        <v>6552</v>
      </c>
      <c r="DX54" s="76">
        <v>0</v>
      </c>
      <c r="DY54" s="76">
        <v>0</v>
      </c>
      <c r="DZ54" s="76">
        <v>0</v>
      </c>
      <c r="EA54" s="76">
        <v>0</v>
      </c>
      <c r="EB54" s="76">
        <v>1420</v>
      </c>
      <c r="EC54" s="76">
        <v>0</v>
      </c>
      <c r="ED54" s="76">
        <v>1506</v>
      </c>
      <c r="EE54" s="76">
        <v>-86</v>
      </c>
      <c r="EF54" s="76">
        <v>10243</v>
      </c>
      <c r="EG54" s="76">
        <v>0</v>
      </c>
      <c r="EH54" s="76">
        <v>3777</v>
      </c>
      <c r="EI54" s="76">
        <v>6466</v>
      </c>
      <c r="EJ54" s="76">
        <v>28321</v>
      </c>
      <c r="EK54" s="76">
        <v>9711</v>
      </c>
      <c r="EL54" s="76">
        <v>19769</v>
      </c>
      <c r="EM54" s="76">
        <v>-1159</v>
      </c>
      <c r="EN54" s="76">
        <v>7630</v>
      </c>
      <c r="EO54" s="76">
        <v>6038</v>
      </c>
      <c r="EP54" s="76">
        <v>1405</v>
      </c>
      <c r="EQ54" s="76">
        <v>6038</v>
      </c>
      <c r="ER54" s="76">
        <v>2607137</v>
      </c>
      <c r="ES54" s="76">
        <v>0</v>
      </c>
      <c r="ET54" s="76">
        <v>2607137</v>
      </c>
      <c r="EU54" s="76">
        <v>53390</v>
      </c>
      <c r="EV54" s="76">
        <v>-9887</v>
      </c>
      <c r="EW54" s="76">
        <v>0</v>
      </c>
      <c r="EX54" s="76">
        <v>-55</v>
      </c>
      <c r="EY54" s="76">
        <v>-2262</v>
      </c>
      <c r="EZ54" s="76">
        <v>2648323</v>
      </c>
      <c r="FA54" s="76">
        <v>268461</v>
      </c>
      <c r="FB54" s="76">
        <v>28832</v>
      </c>
      <c r="FC54" s="76">
        <v>0</v>
      </c>
      <c r="FD54" s="76">
        <v>0</v>
      </c>
      <c r="FE54" s="76">
        <v>-811</v>
      </c>
      <c r="FF54" s="76">
        <v>0</v>
      </c>
      <c r="FG54" s="76">
        <v>-1100</v>
      </c>
      <c r="FH54" s="76">
        <v>295382</v>
      </c>
      <c r="FI54" s="76">
        <v>2352941</v>
      </c>
      <c r="FJ54" s="76">
        <v>2338676</v>
      </c>
      <c r="FK54" s="76">
        <v>10854</v>
      </c>
      <c r="FL54" s="76">
        <v>5240</v>
      </c>
      <c r="FM54" s="76">
        <v>5614</v>
      </c>
      <c r="FN54" s="76">
        <v>3823</v>
      </c>
      <c r="FO54" s="76">
        <v>2620</v>
      </c>
      <c r="FP54" s="76">
        <v>1203</v>
      </c>
      <c r="FQ54" s="76">
        <v>1847</v>
      </c>
      <c r="FR54" s="76">
        <v>2003</v>
      </c>
      <c r="FS54" s="76">
        <v>-156</v>
      </c>
      <c r="FT54" s="76">
        <v>1590</v>
      </c>
      <c r="FU54" s="76">
        <v>1337</v>
      </c>
      <c r="FV54" s="76">
        <v>253</v>
      </c>
      <c r="FW54" s="76">
        <v>30678</v>
      </c>
      <c r="FX54" s="76">
        <v>20223</v>
      </c>
      <c r="FY54" s="76">
        <v>10455</v>
      </c>
      <c r="FZ54" s="76">
        <v>1447</v>
      </c>
      <c r="GA54" s="76">
        <v>169</v>
      </c>
      <c r="GB54" s="76">
        <v>1278</v>
      </c>
      <c r="GC54" s="76">
        <v>50239</v>
      </c>
      <c r="GD54" s="76">
        <v>31592</v>
      </c>
      <c r="GE54" s="76">
        <v>18647</v>
      </c>
      <c r="GF54" s="76">
        <v>149066</v>
      </c>
      <c r="GG54" s="76">
        <v>0</v>
      </c>
      <c r="GH54" s="76">
        <v>0</v>
      </c>
      <c r="GI54" s="76">
        <v>3297</v>
      </c>
      <c r="GJ54" s="76">
        <v>0</v>
      </c>
      <c r="GK54" s="76">
        <v>0</v>
      </c>
      <c r="GL54" s="76">
        <v>152363</v>
      </c>
      <c r="GM54" s="76">
        <v>364</v>
      </c>
      <c r="GN54" s="76">
        <v>7299</v>
      </c>
      <c r="GO54" s="76">
        <v>20163</v>
      </c>
      <c r="GP54" s="76">
        <v>3743</v>
      </c>
      <c r="GQ54" s="76">
        <v>1766</v>
      </c>
      <c r="GR54" s="76">
        <v>22422</v>
      </c>
      <c r="GS54" s="76">
        <v>0</v>
      </c>
      <c r="GT54" s="76">
        <v>3297</v>
      </c>
      <c r="GU54" s="76">
        <v>0</v>
      </c>
      <c r="GV54" s="76">
        <v>0</v>
      </c>
      <c r="GW54" s="76">
        <v>4724</v>
      </c>
      <c r="GX54" s="76">
        <v>63778</v>
      </c>
      <c r="GY54" s="76">
        <v>6625</v>
      </c>
      <c r="GZ54" s="76">
        <v>4036</v>
      </c>
      <c r="HA54" s="76">
        <v>0</v>
      </c>
      <c r="HB54" s="76">
        <v>18272</v>
      </c>
      <c r="HC54" s="76">
        <v>28933</v>
      </c>
      <c r="HD54" s="76">
        <v>6023</v>
      </c>
      <c r="HE54" s="76">
        <v>0</v>
      </c>
      <c r="HF54" s="76">
        <v>6023</v>
      </c>
      <c r="HG54" s="76">
        <v>71426</v>
      </c>
      <c r="HH54" s="76">
        <v>450</v>
      </c>
      <c r="HI54" s="76">
        <v>76</v>
      </c>
      <c r="HJ54" s="76">
        <v>49</v>
      </c>
      <c r="HK54" s="76">
        <v>0</v>
      </c>
      <c r="HL54" s="76">
        <v>-1571</v>
      </c>
      <c r="HM54" s="76">
        <v>70430</v>
      </c>
      <c r="HN54" s="76">
        <v>19891</v>
      </c>
      <c r="HO54" s="76">
        <v>30048</v>
      </c>
      <c r="HP54" s="76">
        <v>0</v>
      </c>
      <c r="HQ54" s="76">
        <v>346</v>
      </c>
      <c r="HR54" s="76">
        <v>-121</v>
      </c>
      <c r="HS54" s="76">
        <v>-63</v>
      </c>
      <c r="HT54" s="76">
        <v>36748</v>
      </c>
      <c r="HU54" s="76">
        <v>64</v>
      </c>
      <c r="HV54" s="76">
        <v>0</v>
      </c>
      <c r="HW54" s="76">
        <v>-120</v>
      </c>
      <c r="HX54" s="76">
        <v>816</v>
      </c>
    </row>
    <row r="55" spans="1:232" x14ac:dyDescent="0.2">
      <c r="A55" s="74" t="s">
        <v>295</v>
      </c>
      <c r="B55" s="74" t="s">
        <v>296</v>
      </c>
      <c r="C55" s="75" t="s">
        <v>200</v>
      </c>
      <c r="D55" s="75">
        <v>12</v>
      </c>
      <c r="E55" s="76">
        <v>19564</v>
      </c>
      <c r="F55" s="76">
        <v>0</v>
      </c>
      <c r="G55" s="76">
        <v>-13874</v>
      </c>
      <c r="H55" s="76">
        <v>5690</v>
      </c>
      <c r="I55" s="76">
        <v>691</v>
      </c>
      <c r="J55" s="76">
        <v>0</v>
      </c>
      <c r="K55" s="76">
        <v>0</v>
      </c>
      <c r="L55" s="76">
        <v>0</v>
      </c>
      <c r="M55" s="76">
        <v>51</v>
      </c>
      <c r="N55" s="76">
        <v>-2879</v>
      </c>
      <c r="O55" s="76">
        <v>3640</v>
      </c>
      <c r="P55" s="76">
        <v>0</v>
      </c>
      <c r="Q55" s="76">
        <v>0</v>
      </c>
      <c r="R55" s="76">
        <v>0</v>
      </c>
      <c r="S55" s="76">
        <v>7193</v>
      </c>
      <c r="T55" s="76">
        <v>-3</v>
      </c>
      <c r="U55" s="76">
        <v>7190</v>
      </c>
      <c r="V55" s="76">
        <v>0</v>
      </c>
      <c r="W55" s="76">
        <v>506</v>
      </c>
      <c r="X55" s="76">
        <v>0</v>
      </c>
      <c r="Y55" s="76">
        <v>0</v>
      </c>
      <c r="Z55" s="76">
        <v>7696</v>
      </c>
      <c r="AA55" s="76">
        <v>17446</v>
      </c>
      <c r="AB55" s="76">
        <v>327</v>
      </c>
      <c r="AC55" s="76">
        <v>17773</v>
      </c>
      <c r="AD55" s="76">
        <v>1423</v>
      </c>
      <c r="AE55" s="76">
        <v>0</v>
      </c>
      <c r="AF55" s="76">
        <v>0</v>
      </c>
      <c r="AG55" s="76">
        <v>0</v>
      </c>
      <c r="AH55" s="76">
        <v>19196</v>
      </c>
      <c r="AI55" s="76">
        <v>4647</v>
      </c>
      <c r="AJ55" s="76">
        <v>1259</v>
      </c>
      <c r="AK55" s="76">
        <v>1904</v>
      </c>
      <c r="AL55" s="76">
        <v>767</v>
      </c>
      <c r="AM55" s="76">
        <v>1122</v>
      </c>
      <c r="AN55" s="76">
        <v>194</v>
      </c>
      <c r="AO55" s="76">
        <v>3027</v>
      </c>
      <c r="AP55" s="76">
        <v>0</v>
      </c>
      <c r="AQ55" s="76">
        <v>307</v>
      </c>
      <c r="AR55" s="76">
        <v>13227</v>
      </c>
      <c r="AS55" s="76">
        <v>5969</v>
      </c>
      <c r="AT55" s="76">
        <v>87</v>
      </c>
      <c r="AU55" s="76">
        <v>61458</v>
      </c>
      <c r="AV55" s="76">
        <v>0</v>
      </c>
      <c r="AW55" s="76">
        <v>2</v>
      </c>
      <c r="AX55" s="76">
        <v>0</v>
      </c>
      <c r="AY55" s="76">
        <v>0</v>
      </c>
      <c r="AZ55" s="76">
        <v>20735</v>
      </c>
      <c r="BA55" s="76">
        <v>0</v>
      </c>
      <c r="BB55" s="76">
        <v>0</v>
      </c>
      <c r="BC55" s="76">
        <v>0</v>
      </c>
      <c r="BD55" s="76">
        <v>0</v>
      </c>
      <c r="BE55" s="76">
        <v>82195</v>
      </c>
      <c r="BF55" s="76">
        <v>0</v>
      </c>
      <c r="BG55" s="76">
        <v>1678</v>
      </c>
      <c r="BH55" s="76">
        <v>5682</v>
      </c>
      <c r="BI55" s="76">
        <v>0</v>
      </c>
      <c r="BJ55" s="76">
        <v>0</v>
      </c>
      <c r="BK55" s="76">
        <v>7360</v>
      </c>
      <c r="BL55" s="76">
        <v>1937</v>
      </c>
      <c r="BM55" s="76">
        <v>0</v>
      </c>
      <c r="BN55" s="76">
        <v>1420</v>
      </c>
      <c r="BO55" s="76">
        <v>5059</v>
      </c>
      <c r="BP55" s="76">
        <v>8416</v>
      </c>
      <c r="BQ55" s="76">
        <v>-1056</v>
      </c>
      <c r="BR55" s="76">
        <v>81139</v>
      </c>
      <c r="BS55" s="76">
        <v>44140</v>
      </c>
      <c r="BT55" s="76">
        <v>0</v>
      </c>
      <c r="BU55" s="76">
        <v>0</v>
      </c>
      <c r="BV55" s="76">
        <v>28424</v>
      </c>
      <c r="BW55" s="76">
        <v>0</v>
      </c>
      <c r="BX55" s="76">
        <v>0</v>
      </c>
      <c r="BY55" s="76">
        <v>0</v>
      </c>
      <c r="BZ55" s="76">
        <v>72564</v>
      </c>
      <c r="CA55" s="76">
        <v>3179</v>
      </c>
      <c r="CB55" s="76">
        <v>0</v>
      </c>
      <c r="CC55" s="76">
        <v>5396</v>
      </c>
      <c r="CD55" s="76">
        <v>5396</v>
      </c>
      <c r="CE55" s="76">
        <v>0</v>
      </c>
      <c r="CF55" s="76">
        <v>0</v>
      </c>
      <c r="CG55" s="76">
        <v>0</v>
      </c>
      <c r="CH55" s="76">
        <v>0</v>
      </c>
      <c r="CI55" s="76">
        <v>5396</v>
      </c>
      <c r="CJ55" s="76">
        <v>0</v>
      </c>
      <c r="CK55" s="76">
        <v>0</v>
      </c>
      <c r="CL55" s="76">
        <v>0</v>
      </c>
      <c r="CM55" s="76">
        <v>0</v>
      </c>
      <c r="CN55" s="76">
        <v>9</v>
      </c>
      <c r="CO55" s="76">
        <v>0</v>
      </c>
      <c r="CP55" s="76">
        <v>9</v>
      </c>
      <c r="CQ55" s="76">
        <v>0</v>
      </c>
      <c r="CR55" s="76">
        <v>0</v>
      </c>
      <c r="CS55" s="76">
        <v>0</v>
      </c>
      <c r="CT55" s="76">
        <v>71</v>
      </c>
      <c r="CU55" s="76">
        <v>-71</v>
      </c>
      <c r="CV55" s="76">
        <v>0</v>
      </c>
      <c r="CW55" s="76">
        <v>0</v>
      </c>
      <c r="CX55" s="76">
        <v>0</v>
      </c>
      <c r="CY55" s="76">
        <v>0</v>
      </c>
      <c r="CZ55" s="76">
        <v>0</v>
      </c>
      <c r="DA55" s="76">
        <v>0</v>
      </c>
      <c r="DB55" s="76">
        <v>0</v>
      </c>
      <c r="DC55" s="76">
        <v>0</v>
      </c>
      <c r="DD55" s="76">
        <v>9</v>
      </c>
      <c r="DE55" s="76">
        <v>0</v>
      </c>
      <c r="DF55" s="76">
        <v>80</v>
      </c>
      <c r="DG55" s="76">
        <v>-71</v>
      </c>
      <c r="DH55" s="76">
        <v>0</v>
      </c>
      <c r="DI55" s="76">
        <v>0</v>
      </c>
      <c r="DJ55" s="76">
        <v>0</v>
      </c>
      <c r="DK55" s="76">
        <v>0</v>
      </c>
      <c r="DL55" s="76">
        <v>0</v>
      </c>
      <c r="DM55" s="76">
        <v>0</v>
      </c>
      <c r="DN55" s="76">
        <v>0</v>
      </c>
      <c r="DO55" s="76">
        <v>0</v>
      </c>
      <c r="DP55" s="76">
        <v>0</v>
      </c>
      <c r="DQ55" s="76">
        <v>0</v>
      </c>
      <c r="DR55" s="76">
        <v>0</v>
      </c>
      <c r="DS55" s="76">
        <v>0</v>
      </c>
      <c r="DT55" s="76">
        <v>103</v>
      </c>
      <c r="DU55" s="76">
        <v>0</v>
      </c>
      <c r="DV55" s="76">
        <v>0</v>
      </c>
      <c r="DW55" s="76">
        <v>103</v>
      </c>
      <c r="DX55" s="76">
        <v>0</v>
      </c>
      <c r="DY55" s="76">
        <v>0</v>
      </c>
      <c r="DZ55" s="76">
        <v>0</v>
      </c>
      <c r="EA55" s="76">
        <v>0</v>
      </c>
      <c r="EB55" s="76">
        <v>256</v>
      </c>
      <c r="EC55" s="76">
        <v>0</v>
      </c>
      <c r="ED55" s="76">
        <v>567</v>
      </c>
      <c r="EE55" s="76">
        <v>-311</v>
      </c>
      <c r="EF55" s="76">
        <v>359</v>
      </c>
      <c r="EG55" s="76">
        <v>0</v>
      </c>
      <c r="EH55" s="76">
        <v>567</v>
      </c>
      <c r="EI55" s="76">
        <v>-208</v>
      </c>
      <c r="EJ55" s="76">
        <v>368</v>
      </c>
      <c r="EK55" s="76">
        <v>0</v>
      </c>
      <c r="EL55" s="76">
        <v>647</v>
      </c>
      <c r="EM55" s="76">
        <v>-279</v>
      </c>
      <c r="EN55" s="76">
        <v>1212</v>
      </c>
      <c r="EO55" s="76">
        <v>562</v>
      </c>
      <c r="EP55" s="76">
        <v>302</v>
      </c>
      <c r="EQ55" s="76">
        <v>562</v>
      </c>
      <c r="ER55" s="76">
        <v>80762</v>
      </c>
      <c r="ES55" s="76">
        <v>0</v>
      </c>
      <c r="ET55" s="76">
        <v>80762</v>
      </c>
      <c r="EU55" s="76">
        <v>932</v>
      </c>
      <c r="EV55" s="76">
        <v>-910</v>
      </c>
      <c r="EW55" s="76">
        <v>0</v>
      </c>
      <c r="EX55" s="76">
        <v>0</v>
      </c>
      <c r="EY55" s="76">
        <v>59</v>
      </c>
      <c r="EZ55" s="76">
        <v>80843</v>
      </c>
      <c r="FA55" s="76">
        <v>16663</v>
      </c>
      <c r="FB55" s="76">
        <v>3027</v>
      </c>
      <c r="FC55" s="76">
        <v>0</v>
      </c>
      <c r="FD55" s="76">
        <v>0</v>
      </c>
      <c r="FE55" s="76">
        <v>-305</v>
      </c>
      <c r="FF55" s="76">
        <v>0</v>
      </c>
      <c r="FG55" s="76">
        <v>0</v>
      </c>
      <c r="FH55" s="76">
        <v>19385</v>
      </c>
      <c r="FI55" s="76">
        <v>61458</v>
      </c>
      <c r="FJ55" s="76">
        <v>64099</v>
      </c>
      <c r="FK55" s="76">
        <v>0</v>
      </c>
      <c r="FL55" s="76">
        <v>0</v>
      </c>
      <c r="FM55" s="76">
        <v>0</v>
      </c>
      <c r="FN55" s="76">
        <v>2210</v>
      </c>
      <c r="FO55" s="76">
        <v>1521</v>
      </c>
      <c r="FP55" s="76">
        <v>689</v>
      </c>
      <c r="FQ55" s="76">
        <v>187</v>
      </c>
      <c r="FR55" s="76">
        <v>185</v>
      </c>
      <c r="FS55" s="76">
        <v>2</v>
      </c>
      <c r="FT55" s="76">
        <v>0</v>
      </c>
      <c r="FU55" s="76">
        <v>0</v>
      </c>
      <c r="FV55" s="76">
        <v>0</v>
      </c>
      <c r="FW55" s="76">
        <v>0</v>
      </c>
      <c r="FX55" s="76">
        <v>0</v>
      </c>
      <c r="FY55" s="76">
        <v>0</v>
      </c>
      <c r="FZ55" s="76">
        <v>0</v>
      </c>
      <c r="GA55" s="76">
        <v>0</v>
      </c>
      <c r="GB55" s="76">
        <v>0</v>
      </c>
      <c r="GC55" s="76">
        <v>2397</v>
      </c>
      <c r="GD55" s="76">
        <v>1706</v>
      </c>
      <c r="GE55" s="76">
        <v>691</v>
      </c>
      <c r="GF55" s="76">
        <v>0</v>
      </c>
      <c r="GG55" s="76">
        <v>0</v>
      </c>
      <c r="GH55" s="76">
        <v>0</v>
      </c>
      <c r="GI55" s="76">
        <v>0</v>
      </c>
      <c r="GJ55" s="76">
        <v>0</v>
      </c>
      <c r="GK55" s="76">
        <v>0</v>
      </c>
      <c r="GL55" s="76">
        <v>0</v>
      </c>
      <c r="GM55" s="76">
        <v>741</v>
      </c>
      <c r="GN55" s="76">
        <v>754</v>
      </c>
      <c r="GO55" s="76">
        <v>1429</v>
      </c>
      <c r="GP55" s="76">
        <v>0</v>
      </c>
      <c r="GQ55" s="76">
        <v>154</v>
      </c>
      <c r="GR55" s="76">
        <v>1584</v>
      </c>
      <c r="GS55" s="76">
        <v>0</v>
      </c>
      <c r="GT55" s="76">
        <v>0</v>
      </c>
      <c r="GU55" s="76">
        <v>0</v>
      </c>
      <c r="GV55" s="76">
        <v>0</v>
      </c>
      <c r="GW55" s="76">
        <v>397</v>
      </c>
      <c r="GX55" s="76">
        <v>5059</v>
      </c>
      <c r="GY55" s="76">
        <v>0</v>
      </c>
      <c r="GZ55" s="76">
        <v>0</v>
      </c>
      <c r="HA55" s="76">
        <v>0</v>
      </c>
      <c r="HB55" s="76">
        <v>0</v>
      </c>
      <c r="HC55" s="76">
        <v>0</v>
      </c>
      <c r="HD55" s="76">
        <v>0</v>
      </c>
      <c r="HE55" s="76">
        <v>0</v>
      </c>
      <c r="HF55" s="76">
        <v>0</v>
      </c>
      <c r="HG55" s="76">
        <v>2814</v>
      </c>
      <c r="HH55" s="76">
        <v>53</v>
      </c>
      <c r="HI55" s="76">
        <v>121</v>
      </c>
      <c r="HJ55" s="76">
        <v>0</v>
      </c>
      <c r="HK55" s="76">
        <v>10</v>
      </c>
      <c r="HL55" s="76">
        <v>-119</v>
      </c>
      <c r="HM55" s="76">
        <v>2879</v>
      </c>
      <c r="HN55" s="76">
        <v>905</v>
      </c>
      <c r="HO55" s="76">
        <v>3054</v>
      </c>
      <c r="HP55" s="76">
        <v>0</v>
      </c>
      <c r="HQ55" s="76">
        <v>2</v>
      </c>
      <c r="HR55" s="76">
        <v>-45</v>
      </c>
      <c r="HS55" s="76">
        <v>0</v>
      </c>
      <c r="HT55" s="76">
        <v>4233</v>
      </c>
      <c r="HU55" s="76">
        <v>0</v>
      </c>
      <c r="HV55" s="76">
        <v>0</v>
      </c>
      <c r="HW55" s="76">
        <v>-2</v>
      </c>
      <c r="HX55" s="76">
        <v>19</v>
      </c>
    </row>
    <row r="56" spans="1:232" x14ac:dyDescent="0.2">
      <c r="A56" s="74" t="s">
        <v>297</v>
      </c>
      <c r="B56" s="74" t="s">
        <v>298</v>
      </c>
      <c r="C56" s="75" t="s">
        <v>200</v>
      </c>
      <c r="D56" s="75">
        <v>12</v>
      </c>
      <c r="E56" s="76">
        <v>70334</v>
      </c>
      <c r="F56" s="76">
        <v>-1576</v>
      </c>
      <c r="G56" s="76">
        <v>-46008</v>
      </c>
      <c r="H56" s="76">
        <v>22750</v>
      </c>
      <c r="I56" s="76">
        <v>1278</v>
      </c>
      <c r="J56" s="76">
        <v>780</v>
      </c>
      <c r="K56" s="76">
        <v>0</v>
      </c>
      <c r="L56" s="76">
        <v>0</v>
      </c>
      <c r="M56" s="76">
        <v>355</v>
      </c>
      <c r="N56" s="76">
        <v>-6715</v>
      </c>
      <c r="O56" s="76">
        <v>-2085</v>
      </c>
      <c r="P56" s="76">
        <v>0</v>
      </c>
      <c r="Q56" s="76">
        <v>0</v>
      </c>
      <c r="R56" s="76">
        <v>0</v>
      </c>
      <c r="S56" s="76">
        <v>16363</v>
      </c>
      <c r="T56" s="76">
        <v>-40</v>
      </c>
      <c r="U56" s="76">
        <v>16323</v>
      </c>
      <c r="V56" s="76">
        <v>0</v>
      </c>
      <c r="W56" s="76">
        <v>-1761</v>
      </c>
      <c r="X56" s="76">
        <v>0</v>
      </c>
      <c r="Y56" s="76">
        <v>0</v>
      </c>
      <c r="Z56" s="76">
        <v>14562</v>
      </c>
      <c r="AA56" s="76">
        <v>60394</v>
      </c>
      <c r="AB56" s="76">
        <v>2710</v>
      </c>
      <c r="AC56" s="76">
        <v>63104</v>
      </c>
      <c r="AD56" s="76">
        <v>3358</v>
      </c>
      <c r="AE56" s="76">
        <v>0</v>
      </c>
      <c r="AF56" s="76">
        <v>0</v>
      </c>
      <c r="AG56" s="76">
        <v>216</v>
      </c>
      <c r="AH56" s="76">
        <v>66678</v>
      </c>
      <c r="AI56" s="76">
        <v>14248</v>
      </c>
      <c r="AJ56" s="76">
        <v>3365</v>
      </c>
      <c r="AK56" s="76">
        <v>8354</v>
      </c>
      <c r="AL56" s="76">
        <v>3947</v>
      </c>
      <c r="AM56" s="76">
        <v>1239</v>
      </c>
      <c r="AN56" s="76">
        <v>640</v>
      </c>
      <c r="AO56" s="76">
        <v>9697</v>
      </c>
      <c r="AP56" s="76">
        <v>0</v>
      </c>
      <c r="AQ56" s="76">
        <v>3510</v>
      </c>
      <c r="AR56" s="76">
        <v>45000</v>
      </c>
      <c r="AS56" s="76">
        <v>21678</v>
      </c>
      <c r="AT56" s="76">
        <v>989</v>
      </c>
      <c r="AU56" s="76">
        <v>288721</v>
      </c>
      <c r="AV56" s="76">
        <v>0</v>
      </c>
      <c r="AW56" s="76">
        <v>7632</v>
      </c>
      <c r="AX56" s="76">
        <v>0</v>
      </c>
      <c r="AY56" s="76">
        <v>0</v>
      </c>
      <c r="AZ56" s="76">
        <v>8368</v>
      </c>
      <c r="BA56" s="76">
        <v>0</v>
      </c>
      <c r="BB56" s="76">
        <v>0</v>
      </c>
      <c r="BC56" s="76">
        <v>0</v>
      </c>
      <c r="BD56" s="76">
        <v>11</v>
      </c>
      <c r="BE56" s="76">
        <v>304732</v>
      </c>
      <c r="BF56" s="76">
        <v>413</v>
      </c>
      <c r="BG56" s="76">
        <v>211846</v>
      </c>
      <c r="BH56" s="76">
        <v>5273</v>
      </c>
      <c r="BI56" s="76">
        <v>0</v>
      </c>
      <c r="BJ56" s="76">
        <v>0</v>
      </c>
      <c r="BK56" s="76">
        <v>217532</v>
      </c>
      <c r="BL56" s="76">
        <v>0</v>
      </c>
      <c r="BM56" s="76">
        <v>0</v>
      </c>
      <c r="BN56" s="76">
        <v>3686</v>
      </c>
      <c r="BO56" s="76">
        <v>20981</v>
      </c>
      <c r="BP56" s="76">
        <v>24667</v>
      </c>
      <c r="BQ56" s="76">
        <v>192865</v>
      </c>
      <c r="BR56" s="76">
        <v>497597</v>
      </c>
      <c r="BS56" s="76">
        <v>114668</v>
      </c>
      <c r="BT56" s="76">
        <v>0</v>
      </c>
      <c r="BU56" s="76">
        <v>0</v>
      </c>
      <c r="BV56" s="76">
        <v>105033</v>
      </c>
      <c r="BW56" s="76">
        <v>0</v>
      </c>
      <c r="BX56" s="76">
        <v>0</v>
      </c>
      <c r="BY56" s="76">
        <v>174591</v>
      </c>
      <c r="BZ56" s="76">
        <v>394292</v>
      </c>
      <c r="CA56" s="76">
        <v>4691</v>
      </c>
      <c r="CB56" s="76">
        <v>0</v>
      </c>
      <c r="CC56" s="76">
        <v>98614</v>
      </c>
      <c r="CD56" s="76">
        <v>98614</v>
      </c>
      <c r="CE56" s="76">
        <v>0</v>
      </c>
      <c r="CF56" s="76">
        <v>0</v>
      </c>
      <c r="CG56" s="76">
        <v>0</v>
      </c>
      <c r="CH56" s="76">
        <v>0</v>
      </c>
      <c r="CI56" s="76">
        <v>98614</v>
      </c>
      <c r="CJ56" s="76">
        <v>2037</v>
      </c>
      <c r="CK56" s="76">
        <v>1576</v>
      </c>
      <c r="CL56" s="76">
        <v>0</v>
      </c>
      <c r="CM56" s="76">
        <v>461</v>
      </c>
      <c r="CN56" s="76">
        <v>527</v>
      </c>
      <c r="CO56" s="76">
        <v>0</v>
      </c>
      <c r="CP56" s="76">
        <v>363</v>
      </c>
      <c r="CQ56" s="76">
        <v>164</v>
      </c>
      <c r="CR56" s="76">
        <v>0</v>
      </c>
      <c r="CS56" s="76">
        <v>0</v>
      </c>
      <c r="CT56" s="76">
        <v>0</v>
      </c>
      <c r="CU56" s="76">
        <v>0</v>
      </c>
      <c r="CV56" s="76">
        <v>0</v>
      </c>
      <c r="CW56" s="76">
        <v>0</v>
      </c>
      <c r="CX56" s="76">
        <v>0</v>
      </c>
      <c r="CY56" s="76">
        <v>0</v>
      </c>
      <c r="CZ56" s="76">
        <v>182</v>
      </c>
      <c r="DA56" s="76">
        <v>0</v>
      </c>
      <c r="DB56" s="76">
        <v>85</v>
      </c>
      <c r="DC56" s="76">
        <v>97</v>
      </c>
      <c r="DD56" s="76">
        <v>2746</v>
      </c>
      <c r="DE56" s="76">
        <v>1576</v>
      </c>
      <c r="DF56" s="76">
        <v>448</v>
      </c>
      <c r="DG56" s="76">
        <v>722</v>
      </c>
      <c r="DH56" s="76">
        <v>0</v>
      </c>
      <c r="DI56" s="76">
        <v>0</v>
      </c>
      <c r="DJ56" s="76">
        <v>0</v>
      </c>
      <c r="DK56" s="76">
        <v>0</v>
      </c>
      <c r="DL56" s="76">
        <v>0</v>
      </c>
      <c r="DM56" s="76">
        <v>0</v>
      </c>
      <c r="DN56" s="76">
        <v>0</v>
      </c>
      <c r="DO56" s="76">
        <v>0</v>
      </c>
      <c r="DP56" s="76">
        <v>0</v>
      </c>
      <c r="DQ56" s="76">
        <v>0</v>
      </c>
      <c r="DR56" s="76">
        <v>0</v>
      </c>
      <c r="DS56" s="76">
        <v>0</v>
      </c>
      <c r="DT56" s="76">
        <v>0</v>
      </c>
      <c r="DU56" s="76">
        <v>0</v>
      </c>
      <c r="DV56" s="76">
        <v>0</v>
      </c>
      <c r="DW56" s="76">
        <v>0</v>
      </c>
      <c r="DX56" s="76">
        <v>0</v>
      </c>
      <c r="DY56" s="76">
        <v>0</v>
      </c>
      <c r="DZ56" s="76">
        <v>0</v>
      </c>
      <c r="EA56" s="76">
        <v>0</v>
      </c>
      <c r="EB56" s="76">
        <v>910</v>
      </c>
      <c r="EC56" s="76">
        <v>0</v>
      </c>
      <c r="ED56" s="76">
        <v>560</v>
      </c>
      <c r="EE56" s="76">
        <v>350</v>
      </c>
      <c r="EF56" s="76">
        <v>910</v>
      </c>
      <c r="EG56" s="76">
        <v>0</v>
      </c>
      <c r="EH56" s="76">
        <v>560</v>
      </c>
      <c r="EI56" s="76">
        <v>350</v>
      </c>
      <c r="EJ56" s="76">
        <v>3656</v>
      </c>
      <c r="EK56" s="76">
        <v>1576</v>
      </c>
      <c r="EL56" s="76">
        <v>1008</v>
      </c>
      <c r="EM56" s="76">
        <v>1072</v>
      </c>
      <c r="EN56" s="76">
        <v>3907</v>
      </c>
      <c r="EO56" s="76">
        <v>820</v>
      </c>
      <c r="EP56" s="76">
        <v>2096</v>
      </c>
      <c r="EQ56" s="76">
        <v>820</v>
      </c>
      <c r="ER56" s="76">
        <v>311012</v>
      </c>
      <c r="ES56" s="76">
        <v>0</v>
      </c>
      <c r="ET56" s="76">
        <v>311012</v>
      </c>
      <c r="EU56" s="76">
        <v>30446</v>
      </c>
      <c r="EV56" s="76">
        <v>-2561</v>
      </c>
      <c r="EW56" s="76">
        <v>0</v>
      </c>
      <c r="EX56" s="76">
        <v>0</v>
      </c>
      <c r="EY56" s="76">
        <v>-7974</v>
      </c>
      <c r="EZ56" s="76">
        <v>330923</v>
      </c>
      <c r="FA56" s="76">
        <v>32605</v>
      </c>
      <c r="FB56" s="76">
        <v>10106</v>
      </c>
      <c r="FC56" s="76">
        <v>0</v>
      </c>
      <c r="FD56" s="76">
        <v>0</v>
      </c>
      <c r="FE56" s="76">
        <v>-312</v>
      </c>
      <c r="FF56" s="76">
        <v>0</v>
      </c>
      <c r="FG56" s="76">
        <v>-197</v>
      </c>
      <c r="FH56" s="76">
        <v>42202</v>
      </c>
      <c r="FI56" s="76">
        <v>288721</v>
      </c>
      <c r="FJ56" s="76">
        <v>278407</v>
      </c>
      <c r="FK56" s="76">
        <v>0</v>
      </c>
      <c r="FL56" s="76">
        <v>0</v>
      </c>
      <c r="FM56" s="76">
        <v>0</v>
      </c>
      <c r="FN56" s="76">
        <v>3915</v>
      </c>
      <c r="FO56" s="76">
        <v>2660</v>
      </c>
      <c r="FP56" s="76">
        <v>1255</v>
      </c>
      <c r="FQ56" s="76">
        <v>65</v>
      </c>
      <c r="FR56" s="76">
        <v>0</v>
      </c>
      <c r="FS56" s="76">
        <v>65</v>
      </c>
      <c r="FT56" s="76">
        <v>0</v>
      </c>
      <c r="FU56" s="76">
        <v>0</v>
      </c>
      <c r="FV56" s="76">
        <v>0</v>
      </c>
      <c r="FW56" s="76">
        <v>0</v>
      </c>
      <c r="FX56" s="76">
        <v>0</v>
      </c>
      <c r="FY56" s="76">
        <v>0</v>
      </c>
      <c r="FZ56" s="76">
        <v>45</v>
      </c>
      <c r="GA56" s="76">
        <v>87</v>
      </c>
      <c r="GB56" s="76">
        <v>-42</v>
      </c>
      <c r="GC56" s="76">
        <v>4025</v>
      </c>
      <c r="GD56" s="76">
        <v>2747</v>
      </c>
      <c r="GE56" s="76">
        <v>1278</v>
      </c>
      <c r="GF56" s="76">
        <v>0</v>
      </c>
      <c r="GG56" s="76">
        <v>0</v>
      </c>
      <c r="GH56" s="76">
        <v>0</v>
      </c>
      <c r="GI56" s="76">
        <v>0</v>
      </c>
      <c r="GJ56" s="76">
        <v>0</v>
      </c>
      <c r="GK56" s="76">
        <v>0</v>
      </c>
      <c r="GL56" s="76">
        <v>0</v>
      </c>
      <c r="GM56" s="76">
        <v>1166</v>
      </c>
      <c r="GN56" s="76">
        <v>1666</v>
      </c>
      <c r="GO56" s="76">
        <v>2558</v>
      </c>
      <c r="GP56" s="76">
        <v>0</v>
      </c>
      <c r="GQ56" s="76">
        <v>594</v>
      </c>
      <c r="GR56" s="76">
        <v>3802</v>
      </c>
      <c r="GS56" s="76">
        <v>0</v>
      </c>
      <c r="GT56" s="76">
        <v>0</v>
      </c>
      <c r="GU56" s="76">
        <v>0</v>
      </c>
      <c r="GV56" s="76">
        <v>0</v>
      </c>
      <c r="GW56" s="76">
        <v>11195</v>
      </c>
      <c r="GX56" s="76">
        <v>20981</v>
      </c>
      <c r="GY56" s="76">
        <v>0</v>
      </c>
      <c r="GZ56" s="76">
        <v>0</v>
      </c>
      <c r="HA56" s="76">
        <v>426</v>
      </c>
      <c r="HB56" s="76">
        <v>174165</v>
      </c>
      <c r="HC56" s="76">
        <v>174591</v>
      </c>
      <c r="HD56" s="76">
        <v>0</v>
      </c>
      <c r="HE56" s="76">
        <v>0</v>
      </c>
      <c r="HF56" s="76">
        <v>0</v>
      </c>
      <c r="HG56" s="76">
        <v>6005</v>
      </c>
      <c r="HH56" s="76">
        <v>145</v>
      </c>
      <c r="HI56" s="76">
        <v>85</v>
      </c>
      <c r="HJ56" s="76">
        <v>0</v>
      </c>
      <c r="HK56" s="76">
        <v>480</v>
      </c>
      <c r="HL56" s="76">
        <v>0</v>
      </c>
      <c r="HM56" s="76">
        <v>6715</v>
      </c>
      <c r="HN56" s="76">
        <v>8365</v>
      </c>
      <c r="HO56" s="76">
        <v>10106</v>
      </c>
      <c r="HP56" s="76">
        <v>0</v>
      </c>
      <c r="HQ56" s="76">
        <v>237</v>
      </c>
      <c r="HR56" s="76">
        <v>-108</v>
      </c>
      <c r="HS56" s="76">
        <v>-5</v>
      </c>
      <c r="HT56" s="76">
        <v>14948</v>
      </c>
      <c r="HU56" s="76">
        <v>0</v>
      </c>
      <c r="HV56" s="76">
        <v>0</v>
      </c>
      <c r="HW56" s="76">
        <v>0</v>
      </c>
      <c r="HX56" s="76">
        <v>3</v>
      </c>
    </row>
    <row r="57" spans="1:232" x14ac:dyDescent="0.2">
      <c r="A57" s="74" t="s">
        <v>46</v>
      </c>
      <c r="B57" s="74" t="s">
        <v>45</v>
      </c>
      <c r="C57" s="75" t="s">
        <v>200</v>
      </c>
      <c r="D57" s="75">
        <v>12</v>
      </c>
      <c r="E57" s="76">
        <v>57595</v>
      </c>
      <c r="F57" s="76">
        <v>-2810</v>
      </c>
      <c r="G57" s="76">
        <v>-34397</v>
      </c>
      <c r="H57" s="76">
        <v>20388</v>
      </c>
      <c r="I57" s="76">
        <v>378</v>
      </c>
      <c r="J57" s="76">
        <v>0</v>
      </c>
      <c r="K57" s="76">
        <v>0</v>
      </c>
      <c r="L57" s="76">
        <v>0</v>
      </c>
      <c r="M57" s="76">
        <v>75</v>
      </c>
      <c r="N57" s="76">
        <v>-8778</v>
      </c>
      <c r="O57" s="76">
        <v>0</v>
      </c>
      <c r="P57" s="76">
        <v>0</v>
      </c>
      <c r="Q57" s="76">
        <v>0</v>
      </c>
      <c r="R57" s="76">
        <v>0</v>
      </c>
      <c r="S57" s="76">
        <v>12063</v>
      </c>
      <c r="T57" s="76">
        <v>-36</v>
      </c>
      <c r="U57" s="76">
        <v>12027</v>
      </c>
      <c r="V57" s="76">
        <v>18090</v>
      </c>
      <c r="W57" s="76">
        <v>-4133</v>
      </c>
      <c r="X57" s="76">
        <v>0</v>
      </c>
      <c r="Y57" s="76">
        <v>-1645</v>
      </c>
      <c r="Z57" s="76">
        <v>24339</v>
      </c>
      <c r="AA57" s="76">
        <v>47687</v>
      </c>
      <c r="AB57" s="76">
        <v>1402</v>
      </c>
      <c r="AC57" s="76">
        <v>49089</v>
      </c>
      <c r="AD57" s="76">
        <v>0</v>
      </c>
      <c r="AE57" s="76">
        <v>79</v>
      </c>
      <c r="AF57" s="76">
        <v>0</v>
      </c>
      <c r="AG57" s="76">
        <v>0</v>
      </c>
      <c r="AH57" s="76">
        <v>49168</v>
      </c>
      <c r="AI57" s="76">
        <v>9765</v>
      </c>
      <c r="AJ57" s="76">
        <v>1322</v>
      </c>
      <c r="AK57" s="76">
        <v>7252</v>
      </c>
      <c r="AL57" s="76">
        <v>1957</v>
      </c>
      <c r="AM57" s="76">
        <v>3720</v>
      </c>
      <c r="AN57" s="76">
        <v>376</v>
      </c>
      <c r="AO57" s="76">
        <v>6140</v>
      </c>
      <c r="AP57" s="76">
        <v>0</v>
      </c>
      <c r="AQ57" s="76">
        <v>0</v>
      </c>
      <c r="AR57" s="76">
        <v>30532</v>
      </c>
      <c r="AS57" s="76">
        <v>18636</v>
      </c>
      <c r="AT57" s="76">
        <v>665</v>
      </c>
      <c r="AU57" s="76">
        <v>23026</v>
      </c>
      <c r="AV57" s="76">
        <v>278177</v>
      </c>
      <c r="AW57" s="76">
        <v>475</v>
      </c>
      <c r="AX57" s="76">
        <v>0</v>
      </c>
      <c r="AY57" s="76">
        <v>279</v>
      </c>
      <c r="AZ57" s="76">
        <v>0</v>
      </c>
      <c r="BA57" s="76">
        <v>0</v>
      </c>
      <c r="BB57" s="76">
        <v>0</v>
      </c>
      <c r="BC57" s="76">
        <v>0</v>
      </c>
      <c r="BD57" s="76">
        <v>0</v>
      </c>
      <c r="BE57" s="76">
        <v>301957</v>
      </c>
      <c r="BF57" s="76">
        <v>4465</v>
      </c>
      <c r="BG57" s="76">
        <v>2357</v>
      </c>
      <c r="BH57" s="76">
        <v>23576</v>
      </c>
      <c r="BI57" s="76">
        <v>0</v>
      </c>
      <c r="BJ57" s="76">
        <v>2342</v>
      </c>
      <c r="BK57" s="76">
        <v>32740</v>
      </c>
      <c r="BL57" s="76">
        <v>0</v>
      </c>
      <c r="BM57" s="76">
        <v>0</v>
      </c>
      <c r="BN57" s="76">
        <v>0</v>
      </c>
      <c r="BO57" s="76">
        <v>8780</v>
      </c>
      <c r="BP57" s="76">
        <v>8780</v>
      </c>
      <c r="BQ57" s="76">
        <v>23960</v>
      </c>
      <c r="BR57" s="76">
        <v>325917</v>
      </c>
      <c r="BS57" s="76">
        <v>190000</v>
      </c>
      <c r="BT57" s="76">
        <v>0</v>
      </c>
      <c r="BU57" s="76">
        <v>0</v>
      </c>
      <c r="BV57" s="76">
        <v>2579</v>
      </c>
      <c r="BW57" s="76">
        <v>0</v>
      </c>
      <c r="BX57" s="76">
        <v>0</v>
      </c>
      <c r="BY57" s="76">
        <v>2319</v>
      </c>
      <c r="BZ57" s="76">
        <v>194898</v>
      </c>
      <c r="CA57" s="76">
        <v>20006</v>
      </c>
      <c r="CB57" s="76">
        <v>0</v>
      </c>
      <c r="CC57" s="76">
        <v>111013</v>
      </c>
      <c r="CD57" s="76">
        <v>59964</v>
      </c>
      <c r="CE57" s="76">
        <v>49768</v>
      </c>
      <c r="CF57" s="76">
        <v>1281</v>
      </c>
      <c r="CG57" s="76">
        <v>0</v>
      </c>
      <c r="CH57" s="76">
        <v>0</v>
      </c>
      <c r="CI57" s="76">
        <v>111013</v>
      </c>
      <c r="CJ57" s="76">
        <v>1224</v>
      </c>
      <c r="CK57" s="76">
        <v>1239</v>
      </c>
      <c r="CL57" s="76">
        <v>0</v>
      </c>
      <c r="CM57" s="76">
        <v>-15</v>
      </c>
      <c r="CN57" s="76">
        <v>0</v>
      </c>
      <c r="CO57" s="76">
        <v>0</v>
      </c>
      <c r="CP57" s="76">
        <v>0</v>
      </c>
      <c r="CQ57" s="76">
        <v>0</v>
      </c>
      <c r="CR57" s="76">
        <v>0</v>
      </c>
      <c r="CS57" s="76">
        <v>0</v>
      </c>
      <c r="CT57" s="76">
        <v>0</v>
      </c>
      <c r="CU57" s="76">
        <v>0</v>
      </c>
      <c r="CV57" s="76">
        <v>0</v>
      </c>
      <c r="CW57" s="76">
        <v>0</v>
      </c>
      <c r="CX57" s="76">
        <v>0</v>
      </c>
      <c r="CY57" s="76">
        <v>0</v>
      </c>
      <c r="CZ57" s="76">
        <v>4370</v>
      </c>
      <c r="DA57" s="76">
        <v>0</v>
      </c>
      <c r="DB57" s="76">
        <v>2176</v>
      </c>
      <c r="DC57" s="76">
        <v>2194</v>
      </c>
      <c r="DD57" s="76">
        <v>5594</v>
      </c>
      <c r="DE57" s="76">
        <v>1239</v>
      </c>
      <c r="DF57" s="76">
        <v>2176</v>
      </c>
      <c r="DG57" s="76">
        <v>2179</v>
      </c>
      <c r="DH57" s="76">
        <v>1390</v>
      </c>
      <c r="DI57" s="76">
        <v>1571</v>
      </c>
      <c r="DJ57" s="76">
        <v>0</v>
      </c>
      <c r="DK57" s="76">
        <v>-181</v>
      </c>
      <c r="DL57" s="76">
        <v>0</v>
      </c>
      <c r="DM57" s="76">
        <v>0</v>
      </c>
      <c r="DN57" s="76">
        <v>0</v>
      </c>
      <c r="DO57" s="76">
        <v>0</v>
      </c>
      <c r="DP57" s="76">
        <v>0</v>
      </c>
      <c r="DQ57" s="76">
        <v>0</v>
      </c>
      <c r="DR57" s="76">
        <v>0</v>
      </c>
      <c r="DS57" s="76">
        <v>0</v>
      </c>
      <c r="DT57" s="76">
        <v>0</v>
      </c>
      <c r="DU57" s="76">
        <v>0</v>
      </c>
      <c r="DV57" s="76">
        <v>0</v>
      </c>
      <c r="DW57" s="76">
        <v>0</v>
      </c>
      <c r="DX57" s="76">
        <v>0</v>
      </c>
      <c r="DY57" s="76">
        <v>0</v>
      </c>
      <c r="DZ57" s="76">
        <v>0</v>
      </c>
      <c r="EA57" s="76">
        <v>0</v>
      </c>
      <c r="EB57" s="76">
        <v>1443</v>
      </c>
      <c r="EC57" s="76">
        <v>0</v>
      </c>
      <c r="ED57" s="76">
        <v>1689</v>
      </c>
      <c r="EE57" s="76">
        <v>-246</v>
      </c>
      <c r="EF57" s="76">
        <v>2833</v>
      </c>
      <c r="EG57" s="76">
        <v>1571</v>
      </c>
      <c r="EH57" s="76">
        <v>1689</v>
      </c>
      <c r="EI57" s="76">
        <v>-427</v>
      </c>
      <c r="EJ57" s="76">
        <v>8427</v>
      </c>
      <c r="EK57" s="76">
        <v>2810</v>
      </c>
      <c r="EL57" s="76">
        <v>3865</v>
      </c>
      <c r="EM57" s="76">
        <v>1752</v>
      </c>
      <c r="EN57" s="76">
        <v>2563</v>
      </c>
      <c r="EO57" s="76">
        <v>494</v>
      </c>
      <c r="EP57" s="76">
        <v>652</v>
      </c>
      <c r="EQ57" s="76">
        <v>372</v>
      </c>
      <c r="ER57" s="76">
        <v>26536</v>
      </c>
      <c r="ES57" s="76">
        <v>255847</v>
      </c>
      <c r="ET57" s="76">
        <v>282383</v>
      </c>
      <c r="EU57" s="76">
        <v>11764</v>
      </c>
      <c r="EV57" s="76">
        <v>-3916</v>
      </c>
      <c r="EW57" s="76">
        <v>0</v>
      </c>
      <c r="EX57" s="76">
        <v>0</v>
      </c>
      <c r="EY57" s="76">
        <v>13152</v>
      </c>
      <c r="EZ57" s="76">
        <v>303383</v>
      </c>
      <c r="FA57" s="76">
        <v>1127</v>
      </c>
      <c r="FB57" s="76">
        <v>6072</v>
      </c>
      <c r="FC57" s="76">
        <v>702</v>
      </c>
      <c r="FD57" s="76">
        <v>-5721</v>
      </c>
      <c r="FE57" s="76">
        <v>0</v>
      </c>
      <c r="FF57" s="76">
        <v>0</v>
      </c>
      <c r="FG57" s="76">
        <v>0</v>
      </c>
      <c r="FH57" s="76">
        <v>2180</v>
      </c>
      <c r="FI57" s="76">
        <v>301203</v>
      </c>
      <c r="FJ57" s="76">
        <v>281256</v>
      </c>
      <c r="FK57" s="76">
        <v>24</v>
      </c>
      <c r="FL57" s="76">
        <v>36</v>
      </c>
      <c r="FM57" s="76">
        <v>-12</v>
      </c>
      <c r="FN57" s="76">
        <v>974</v>
      </c>
      <c r="FO57" s="76">
        <v>873</v>
      </c>
      <c r="FP57" s="76">
        <v>101</v>
      </c>
      <c r="FQ57" s="76">
        <v>395</v>
      </c>
      <c r="FR57" s="76">
        <v>109</v>
      </c>
      <c r="FS57" s="76">
        <v>286</v>
      </c>
      <c r="FT57" s="76">
        <v>15</v>
      </c>
      <c r="FU57" s="76">
        <v>12</v>
      </c>
      <c r="FV57" s="76">
        <v>3</v>
      </c>
      <c r="FW57" s="76">
        <v>0</v>
      </c>
      <c r="FX57" s="76">
        <v>0</v>
      </c>
      <c r="FY57" s="76">
        <v>0</v>
      </c>
      <c r="FZ57" s="76">
        <v>0</v>
      </c>
      <c r="GA57" s="76">
        <v>0</v>
      </c>
      <c r="GB57" s="76">
        <v>0</v>
      </c>
      <c r="GC57" s="76">
        <v>1408</v>
      </c>
      <c r="GD57" s="76">
        <v>1030</v>
      </c>
      <c r="GE57" s="76">
        <v>378</v>
      </c>
      <c r="GF57" s="76">
        <v>238</v>
      </c>
      <c r="GG57" s="76">
        <v>0</v>
      </c>
      <c r="GH57" s="76">
        <v>1256</v>
      </c>
      <c r="GI57" s="76">
        <v>0</v>
      </c>
      <c r="GJ57" s="76">
        <v>0</v>
      </c>
      <c r="GK57" s="76">
        <v>848</v>
      </c>
      <c r="GL57" s="76">
        <v>2342</v>
      </c>
      <c r="GM57" s="76">
        <v>696</v>
      </c>
      <c r="GN57" s="76">
        <v>773</v>
      </c>
      <c r="GO57" s="76">
        <v>419</v>
      </c>
      <c r="GP57" s="76">
        <v>0</v>
      </c>
      <c r="GQ57" s="76">
        <v>0</v>
      </c>
      <c r="GR57" s="76">
        <v>3537</v>
      </c>
      <c r="GS57" s="76">
        <v>0</v>
      </c>
      <c r="GT57" s="76">
        <v>0</v>
      </c>
      <c r="GU57" s="76">
        <v>0</v>
      </c>
      <c r="GV57" s="76">
        <v>0</v>
      </c>
      <c r="GW57" s="76">
        <v>3355</v>
      </c>
      <c r="GX57" s="76">
        <v>8780</v>
      </c>
      <c r="GY57" s="76">
        <v>304</v>
      </c>
      <c r="GZ57" s="76">
        <v>2015</v>
      </c>
      <c r="HA57" s="76">
        <v>0</v>
      </c>
      <c r="HB57" s="76">
        <v>0</v>
      </c>
      <c r="HC57" s="76">
        <v>2319</v>
      </c>
      <c r="HD57" s="76">
        <v>0</v>
      </c>
      <c r="HE57" s="76">
        <v>0</v>
      </c>
      <c r="HF57" s="76">
        <v>0</v>
      </c>
      <c r="HG57" s="76">
        <v>8082</v>
      </c>
      <c r="HH57" s="76">
        <v>0</v>
      </c>
      <c r="HI57" s="76">
        <v>494</v>
      </c>
      <c r="HJ57" s="76">
        <v>0</v>
      </c>
      <c r="HK57" s="76">
        <v>202</v>
      </c>
      <c r="HL57" s="76">
        <v>0</v>
      </c>
      <c r="HM57" s="76">
        <v>8778</v>
      </c>
      <c r="HN57" s="76">
        <v>2146</v>
      </c>
      <c r="HO57" s="76">
        <v>6140</v>
      </c>
      <c r="HP57" s="76">
        <v>702</v>
      </c>
      <c r="HQ57" s="76">
        <v>107</v>
      </c>
      <c r="HR57" s="76">
        <v>-76</v>
      </c>
      <c r="HS57" s="76">
        <v>9</v>
      </c>
      <c r="HT57" s="76">
        <v>10652</v>
      </c>
      <c r="HU57" s="76">
        <v>0</v>
      </c>
      <c r="HV57" s="76">
        <v>0</v>
      </c>
      <c r="HW57" s="76">
        <v>-2</v>
      </c>
      <c r="HX57" s="76">
        <v>5</v>
      </c>
    </row>
    <row r="58" spans="1:232" x14ac:dyDescent="0.2">
      <c r="A58" s="71" t="s">
        <v>303</v>
      </c>
      <c r="B58" s="71" t="s">
        <v>302</v>
      </c>
      <c r="C58" s="72" t="s">
        <v>200</v>
      </c>
      <c r="D58" s="72">
        <v>12</v>
      </c>
      <c r="E58" s="73">
        <v>25020</v>
      </c>
      <c r="F58" s="73">
        <v>-1742</v>
      </c>
      <c r="G58" s="73">
        <v>-15077</v>
      </c>
      <c r="H58" s="73">
        <v>8201</v>
      </c>
      <c r="I58" s="73">
        <v>522</v>
      </c>
      <c r="J58" s="73">
        <v>659</v>
      </c>
      <c r="K58" s="73">
        <v>0</v>
      </c>
      <c r="L58" s="73">
        <v>0</v>
      </c>
      <c r="M58" s="73">
        <v>104</v>
      </c>
      <c r="N58" s="73">
        <v>-5406</v>
      </c>
      <c r="O58" s="73">
        <v>0</v>
      </c>
      <c r="P58" s="73">
        <v>0</v>
      </c>
      <c r="Q58" s="73">
        <v>0</v>
      </c>
      <c r="R58" s="73">
        <v>0</v>
      </c>
      <c r="S58" s="73">
        <v>4080</v>
      </c>
      <c r="T58" s="73">
        <v>0</v>
      </c>
      <c r="U58" s="73">
        <v>4080</v>
      </c>
      <c r="V58" s="73">
        <v>0</v>
      </c>
      <c r="W58" s="73">
        <v>-798</v>
      </c>
      <c r="X58" s="73">
        <v>0</v>
      </c>
      <c r="Y58" s="73">
        <v>0</v>
      </c>
      <c r="Z58" s="73">
        <v>3282</v>
      </c>
      <c r="AA58" s="73">
        <v>19075</v>
      </c>
      <c r="AB58" s="73">
        <v>1318</v>
      </c>
      <c r="AC58" s="73">
        <v>20393</v>
      </c>
      <c r="AD58" s="73">
        <v>539</v>
      </c>
      <c r="AE58" s="73">
        <v>0</v>
      </c>
      <c r="AF58" s="73">
        <v>0</v>
      </c>
      <c r="AG58" s="73">
        <v>0</v>
      </c>
      <c r="AH58" s="73">
        <v>20932</v>
      </c>
      <c r="AI58" s="73">
        <v>2536</v>
      </c>
      <c r="AJ58" s="73">
        <v>1394</v>
      </c>
      <c r="AK58" s="73">
        <v>3866</v>
      </c>
      <c r="AL58" s="73">
        <v>1843</v>
      </c>
      <c r="AM58" s="73">
        <v>1042</v>
      </c>
      <c r="AN58" s="73">
        <v>88</v>
      </c>
      <c r="AO58" s="73">
        <v>2620</v>
      </c>
      <c r="AP58" s="73">
        <v>197</v>
      </c>
      <c r="AQ58" s="73">
        <v>1</v>
      </c>
      <c r="AR58" s="73">
        <v>13587</v>
      </c>
      <c r="AS58" s="73">
        <v>7345</v>
      </c>
      <c r="AT58" s="73">
        <v>165</v>
      </c>
      <c r="AU58" s="73">
        <v>157977</v>
      </c>
      <c r="AV58" s="73">
        <v>0</v>
      </c>
      <c r="AW58" s="73">
        <v>3991</v>
      </c>
      <c r="AX58" s="73">
        <v>131</v>
      </c>
      <c r="AY58" s="73">
        <v>0</v>
      </c>
      <c r="AZ58" s="73">
        <v>0</v>
      </c>
      <c r="BA58" s="73">
        <v>0</v>
      </c>
      <c r="BB58" s="73">
        <v>0</v>
      </c>
      <c r="BC58" s="73">
        <v>0</v>
      </c>
      <c r="BD58" s="73">
        <v>75</v>
      </c>
      <c r="BE58" s="73">
        <v>162174</v>
      </c>
      <c r="BF58" s="73">
        <v>1697</v>
      </c>
      <c r="BG58" s="73">
        <v>2470</v>
      </c>
      <c r="BH58" s="73">
        <v>15101</v>
      </c>
      <c r="BI58" s="73">
        <v>0</v>
      </c>
      <c r="BJ58" s="73">
        <v>0</v>
      </c>
      <c r="BK58" s="73">
        <v>19268</v>
      </c>
      <c r="BL58" s="73">
        <v>0</v>
      </c>
      <c r="BM58" s="73">
        <v>0</v>
      </c>
      <c r="BN58" s="73">
        <v>0</v>
      </c>
      <c r="BO58" s="73">
        <v>5045</v>
      </c>
      <c r="BP58" s="73">
        <v>5045</v>
      </c>
      <c r="BQ58" s="73">
        <v>14223</v>
      </c>
      <c r="BR58" s="73">
        <v>176397</v>
      </c>
      <c r="BS58" s="73">
        <v>104710</v>
      </c>
      <c r="BT58" s="73">
        <v>0</v>
      </c>
      <c r="BU58" s="73">
        <v>0</v>
      </c>
      <c r="BV58" s="73">
        <v>39198</v>
      </c>
      <c r="BW58" s="73">
        <v>0</v>
      </c>
      <c r="BX58" s="73">
        <v>0</v>
      </c>
      <c r="BY58" s="73">
        <v>241</v>
      </c>
      <c r="BZ58" s="73">
        <v>144149</v>
      </c>
      <c r="CA58" s="73">
        <v>6154</v>
      </c>
      <c r="CB58" s="73">
        <v>0</v>
      </c>
      <c r="CC58" s="73">
        <v>26094</v>
      </c>
      <c r="CD58" s="73">
        <v>25966</v>
      </c>
      <c r="CE58" s="73">
        <v>0</v>
      </c>
      <c r="CF58" s="73">
        <v>32</v>
      </c>
      <c r="CG58" s="73">
        <v>0</v>
      </c>
      <c r="CH58" s="73">
        <v>96</v>
      </c>
      <c r="CI58" s="73">
        <v>26094</v>
      </c>
      <c r="CJ58" s="73">
        <v>2426</v>
      </c>
      <c r="CK58" s="73">
        <v>1742</v>
      </c>
      <c r="CL58" s="73">
        <v>64</v>
      </c>
      <c r="CM58" s="73">
        <v>620</v>
      </c>
      <c r="CN58" s="73">
        <v>0</v>
      </c>
      <c r="CO58" s="73">
        <v>0</v>
      </c>
      <c r="CP58" s="73">
        <v>0</v>
      </c>
      <c r="CQ58" s="73">
        <v>0</v>
      </c>
      <c r="CR58" s="73">
        <v>0</v>
      </c>
      <c r="CS58" s="73">
        <v>0</v>
      </c>
      <c r="CT58" s="73">
        <v>0</v>
      </c>
      <c r="CU58" s="73">
        <v>0</v>
      </c>
      <c r="CV58" s="73">
        <v>0</v>
      </c>
      <c r="CW58" s="73">
        <v>0</v>
      </c>
      <c r="CX58" s="73">
        <v>0</v>
      </c>
      <c r="CY58" s="73">
        <v>0</v>
      </c>
      <c r="CZ58" s="73">
        <v>0</v>
      </c>
      <c r="DA58" s="73">
        <v>0</v>
      </c>
      <c r="DB58" s="73">
        <v>0</v>
      </c>
      <c r="DC58" s="73">
        <v>0</v>
      </c>
      <c r="DD58" s="73">
        <v>2426</v>
      </c>
      <c r="DE58" s="73">
        <v>1742</v>
      </c>
      <c r="DF58" s="73">
        <v>64</v>
      </c>
      <c r="DG58" s="73">
        <v>620</v>
      </c>
      <c r="DH58" s="73">
        <v>0</v>
      </c>
      <c r="DI58" s="73">
        <v>0</v>
      </c>
      <c r="DJ58" s="73">
        <v>0</v>
      </c>
      <c r="DK58" s="73">
        <v>0</v>
      </c>
      <c r="DL58" s="73">
        <v>0</v>
      </c>
      <c r="DM58" s="73">
        <v>0</v>
      </c>
      <c r="DN58" s="73">
        <v>0</v>
      </c>
      <c r="DO58" s="73">
        <v>0</v>
      </c>
      <c r="DP58" s="73">
        <v>0</v>
      </c>
      <c r="DQ58" s="73">
        <v>0</v>
      </c>
      <c r="DR58" s="73">
        <v>0</v>
      </c>
      <c r="DS58" s="73">
        <v>0</v>
      </c>
      <c r="DT58" s="73">
        <v>0</v>
      </c>
      <c r="DU58" s="73">
        <v>0</v>
      </c>
      <c r="DV58" s="73">
        <v>0</v>
      </c>
      <c r="DW58" s="73">
        <v>0</v>
      </c>
      <c r="DX58" s="73">
        <v>0</v>
      </c>
      <c r="DY58" s="73">
        <v>0</v>
      </c>
      <c r="DZ58" s="73">
        <v>0</v>
      </c>
      <c r="EA58" s="73">
        <v>0</v>
      </c>
      <c r="EB58" s="73">
        <v>1662</v>
      </c>
      <c r="EC58" s="73">
        <v>0</v>
      </c>
      <c r="ED58" s="73">
        <v>1426</v>
      </c>
      <c r="EE58" s="73">
        <v>236</v>
      </c>
      <c r="EF58" s="73">
        <v>1662</v>
      </c>
      <c r="EG58" s="73">
        <v>0</v>
      </c>
      <c r="EH58" s="73">
        <v>1426</v>
      </c>
      <c r="EI58" s="73">
        <v>236</v>
      </c>
      <c r="EJ58" s="73">
        <v>4088</v>
      </c>
      <c r="EK58" s="73">
        <v>1742</v>
      </c>
      <c r="EL58" s="73">
        <v>1490</v>
      </c>
      <c r="EM58" s="73">
        <v>856</v>
      </c>
      <c r="EN58" s="73">
        <v>167</v>
      </c>
      <c r="EO58" s="73">
        <v>121</v>
      </c>
      <c r="EP58" s="73">
        <v>44</v>
      </c>
      <c r="EQ58" s="73">
        <v>121</v>
      </c>
      <c r="ER58" s="73">
        <v>146925</v>
      </c>
      <c r="ES58" s="73">
        <v>0</v>
      </c>
      <c r="ET58" s="73">
        <v>146925</v>
      </c>
      <c r="EU58" s="73">
        <v>31706</v>
      </c>
      <c r="EV58" s="73">
        <v>-734</v>
      </c>
      <c r="EW58" s="73">
        <v>0</v>
      </c>
      <c r="EX58" s="73">
        <v>0</v>
      </c>
      <c r="EY58" s="73">
        <v>-197</v>
      </c>
      <c r="EZ58" s="73">
        <v>177700</v>
      </c>
      <c r="FA58" s="73">
        <v>17329</v>
      </c>
      <c r="FB58" s="73">
        <v>2620</v>
      </c>
      <c r="FC58" s="73">
        <v>0</v>
      </c>
      <c r="FD58" s="73">
        <v>0</v>
      </c>
      <c r="FE58" s="73">
        <v>-226</v>
      </c>
      <c r="FF58" s="73">
        <v>0</v>
      </c>
      <c r="FG58" s="73">
        <v>0</v>
      </c>
      <c r="FH58" s="73">
        <v>19723</v>
      </c>
      <c r="FI58" s="73">
        <v>157977</v>
      </c>
      <c r="FJ58" s="73">
        <v>129596</v>
      </c>
      <c r="FK58" s="73">
        <v>0</v>
      </c>
      <c r="FL58" s="73">
        <v>0</v>
      </c>
      <c r="FM58" s="73">
        <v>0</v>
      </c>
      <c r="FN58" s="73">
        <v>511</v>
      </c>
      <c r="FO58" s="73">
        <v>474</v>
      </c>
      <c r="FP58" s="73">
        <v>37</v>
      </c>
      <c r="FQ58" s="73">
        <v>0</v>
      </c>
      <c r="FR58" s="73">
        <v>0</v>
      </c>
      <c r="FS58" s="73">
        <v>0</v>
      </c>
      <c r="FT58" s="73">
        <v>872</v>
      </c>
      <c r="FU58" s="73">
        <v>387</v>
      </c>
      <c r="FV58" s="73">
        <v>485</v>
      </c>
      <c r="FW58" s="73">
        <v>0</v>
      </c>
      <c r="FX58" s="73">
        <v>0</v>
      </c>
      <c r="FY58" s="73">
        <v>0</v>
      </c>
      <c r="FZ58" s="73">
        <v>0</v>
      </c>
      <c r="GA58" s="73">
        <v>0</v>
      </c>
      <c r="GB58" s="73">
        <v>0</v>
      </c>
      <c r="GC58" s="73">
        <v>1383</v>
      </c>
      <c r="GD58" s="73">
        <v>861</v>
      </c>
      <c r="GE58" s="73">
        <v>522</v>
      </c>
      <c r="GF58" s="73">
        <v>0</v>
      </c>
      <c r="GG58" s="73">
        <v>0</v>
      </c>
      <c r="GH58" s="73">
        <v>0</v>
      </c>
      <c r="GI58" s="73">
        <v>0</v>
      </c>
      <c r="GJ58" s="73">
        <v>0</v>
      </c>
      <c r="GK58" s="73">
        <v>0</v>
      </c>
      <c r="GL58" s="73">
        <v>0</v>
      </c>
      <c r="GM58" s="73">
        <v>732</v>
      </c>
      <c r="GN58" s="73">
        <v>421</v>
      </c>
      <c r="GO58" s="73">
        <v>1860</v>
      </c>
      <c r="GP58" s="73">
        <v>0</v>
      </c>
      <c r="GQ58" s="73">
        <v>0</v>
      </c>
      <c r="GR58" s="73">
        <v>1837</v>
      </c>
      <c r="GS58" s="73">
        <v>0</v>
      </c>
      <c r="GT58" s="73">
        <v>0</v>
      </c>
      <c r="GU58" s="73">
        <v>0</v>
      </c>
      <c r="GV58" s="73">
        <v>0</v>
      </c>
      <c r="GW58" s="73">
        <v>195</v>
      </c>
      <c r="GX58" s="73">
        <v>5045</v>
      </c>
      <c r="GY58" s="73">
        <v>237</v>
      </c>
      <c r="GZ58" s="73">
        <v>4</v>
      </c>
      <c r="HA58" s="73">
        <v>0</v>
      </c>
      <c r="HB58" s="73">
        <v>0</v>
      </c>
      <c r="HC58" s="73">
        <v>241</v>
      </c>
      <c r="HD58" s="73">
        <v>0</v>
      </c>
      <c r="HE58" s="73">
        <v>0</v>
      </c>
      <c r="HF58" s="73">
        <v>0</v>
      </c>
      <c r="HG58" s="73">
        <v>4635</v>
      </c>
      <c r="HH58" s="73">
        <v>111</v>
      </c>
      <c r="HI58" s="73">
        <v>149</v>
      </c>
      <c r="HJ58" s="73">
        <v>0</v>
      </c>
      <c r="HK58" s="73">
        <v>1117</v>
      </c>
      <c r="HL58" s="73">
        <v>-606</v>
      </c>
      <c r="HM58" s="73">
        <v>5406</v>
      </c>
      <c r="HN58" s="73">
        <v>2770</v>
      </c>
      <c r="HO58" s="73">
        <v>2877</v>
      </c>
      <c r="HP58" s="73">
        <v>197</v>
      </c>
      <c r="HQ58" s="73">
        <v>144</v>
      </c>
      <c r="HR58" s="73">
        <v>-14</v>
      </c>
      <c r="HS58" s="73">
        <v>-2</v>
      </c>
      <c r="HT58" s="73">
        <v>4256</v>
      </c>
      <c r="HU58" s="73">
        <v>0</v>
      </c>
      <c r="HV58" s="73">
        <v>0</v>
      </c>
      <c r="HW58" s="73">
        <v>0</v>
      </c>
      <c r="HX58" s="73">
        <v>9</v>
      </c>
    </row>
    <row r="59" spans="1:232" x14ac:dyDescent="0.2">
      <c r="A59" s="74" t="s">
        <v>304</v>
      </c>
      <c r="B59" s="74" t="s">
        <v>305</v>
      </c>
      <c r="C59" s="75" t="s">
        <v>200</v>
      </c>
      <c r="D59" s="75">
        <v>12</v>
      </c>
      <c r="E59" s="76">
        <v>28076</v>
      </c>
      <c r="F59" s="76">
        <v>0</v>
      </c>
      <c r="G59" s="76">
        <v>-16991</v>
      </c>
      <c r="H59" s="76">
        <v>11085</v>
      </c>
      <c r="I59" s="76">
        <v>373</v>
      </c>
      <c r="J59" s="76">
        <v>0</v>
      </c>
      <c r="K59" s="76">
        <v>0</v>
      </c>
      <c r="L59" s="76">
        <v>0</v>
      </c>
      <c r="M59" s="76">
        <v>44</v>
      </c>
      <c r="N59" s="76">
        <v>-1734</v>
      </c>
      <c r="O59" s="76">
        <v>0</v>
      </c>
      <c r="P59" s="76">
        <v>0</v>
      </c>
      <c r="Q59" s="76">
        <v>0</v>
      </c>
      <c r="R59" s="76">
        <v>0</v>
      </c>
      <c r="S59" s="76">
        <v>9768</v>
      </c>
      <c r="T59" s="76">
        <v>0</v>
      </c>
      <c r="U59" s="76">
        <v>9768</v>
      </c>
      <c r="V59" s="76">
        <v>0</v>
      </c>
      <c r="W59" s="76">
        <v>-574</v>
      </c>
      <c r="X59" s="76">
        <v>0</v>
      </c>
      <c r="Y59" s="76">
        <v>0</v>
      </c>
      <c r="Z59" s="76">
        <v>9194</v>
      </c>
      <c r="AA59" s="76">
        <v>27231</v>
      </c>
      <c r="AB59" s="76">
        <v>112</v>
      </c>
      <c r="AC59" s="76">
        <v>27343</v>
      </c>
      <c r="AD59" s="76">
        <v>455</v>
      </c>
      <c r="AE59" s="76">
        <v>0</v>
      </c>
      <c r="AF59" s="76">
        <v>28</v>
      </c>
      <c r="AG59" s="76">
        <v>16</v>
      </c>
      <c r="AH59" s="76">
        <v>27842</v>
      </c>
      <c r="AI59" s="76">
        <v>2637</v>
      </c>
      <c r="AJ59" s="76">
        <v>127</v>
      </c>
      <c r="AK59" s="76">
        <v>4368</v>
      </c>
      <c r="AL59" s="76">
        <v>649</v>
      </c>
      <c r="AM59" s="76">
        <v>1420</v>
      </c>
      <c r="AN59" s="76">
        <v>281</v>
      </c>
      <c r="AO59" s="76">
        <v>6264</v>
      </c>
      <c r="AP59" s="76">
        <v>37</v>
      </c>
      <c r="AQ59" s="76">
        <v>350</v>
      </c>
      <c r="AR59" s="76">
        <v>16133</v>
      </c>
      <c r="AS59" s="76">
        <v>11709</v>
      </c>
      <c r="AT59" s="76">
        <v>275</v>
      </c>
      <c r="AU59" s="76">
        <v>155088</v>
      </c>
      <c r="AV59" s="76">
        <v>0</v>
      </c>
      <c r="AW59" s="76">
        <v>2671</v>
      </c>
      <c r="AX59" s="76">
        <v>138</v>
      </c>
      <c r="AY59" s="76">
        <v>0</v>
      </c>
      <c r="AZ59" s="76">
        <v>760</v>
      </c>
      <c r="BA59" s="76">
        <v>0</v>
      </c>
      <c r="BB59" s="76">
        <v>0</v>
      </c>
      <c r="BC59" s="76">
        <v>0</v>
      </c>
      <c r="BD59" s="76">
        <v>414</v>
      </c>
      <c r="BE59" s="76">
        <v>159071</v>
      </c>
      <c r="BF59" s="76">
        <v>0</v>
      </c>
      <c r="BG59" s="76">
        <v>1614</v>
      </c>
      <c r="BH59" s="76">
        <v>16397</v>
      </c>
      <c r="BI59" s="76">
        <v>0</v>
      </c>
      <c r="BJ59" s="76">
        <v>1455</v>
      </c>
      <c r="BK59" s="76">
        <v>19466</v>
      </c>
      <c r="BL59" s="76">
        <v>1881</v>
      </c>
      <c r="BM59" s="76">
        <v>0</v>
      </c>
      <c r="BN59" s="76">
        <v>465</v>
      </c>
      <c r="BO59" s="76">
        <v>4960</v>
      </c>
      <c r="BP59" s="76">
        <v>7306</v>
      </c>
      <c r="BQ59" s="76">
        <v>12160</v>
      </c>
      <c r="BR59" s="76">
        <v>171231</v>
      </c>
      <c r="BS59" s="76">
        <v>40559</v>
      </c>
      <c r="BT59" s="76">
        <v>922</v>
      </c>
      <c r="BU59" s="76">
        <v>0</v>
      </c>
      <c r="BV59" s="76">
        <v>39102</v>
      </c>
      <c r="BW59" s="76">
        <v>0</v>
      </c>
      <c r="BX59" s="76">
        <v>0</v>
      </c>
      <c r="BY59" s="76">
        <v>903</v>
      </c>
      <c r="BZ59" s="76">
        <v>81486</v>
      </c>
      <c r="CA59" s="76">
        <v>67</v>
      </c>
      <c r="CB59" s="76">
        <v>68</v>
      </c>
      <c r="CC59" s="76">
        <v>89610</v>
      </c>
      <c r="CD59" s="76">
        <v>89610</v>
      </c>
      <c r="CE59" s="76">
        <v>0</v>
      </c>
      <c r="CF59" s="76">
        <v>0</v>
      </c>
      <c r="CG59" s="76">
        <v>0</v>
      </c>
      <c r="CH59" s="76">
        <v>0</v>
      </c>
      <c r="CI59" s="76">
        <v>89610</v>
      </c>
      <c r="CJ59" s="76">
        <v>0</v>
      </c>
      <c r="CK59" s="76">
        <v>0</v>
      </c>
      <c r="CL59" s="76">
        <v>0</v>
      </c>
      <c r="CM59" s="76">
        <v>0</v>
      </c>
      <c r="CN59" s="76">
        <v>0</v>
      </c>
      <c r="CO59" s="76">
        <v>0</v>
      </c>
      <c r="CP59" s="76">
        <v>0</v>
      </c>
      <c r="CQ59" s="76">
        <v>0</v>
      </c>
      <c r="CR59" s="76">
        <v>0</v>
      </c>
      <c r="CS59" s="76">
        <v>0</v>
      </c>
      <c r="CT59" s="76">
        <v>121</v>
      </c>
      <c r="CU59" s="76">
        <v>-121</v>
      </c>
      <c r="CV59" s="76">
        <v>117</v>
      </c>
      <c r="CW59" s="76">
        <v>0</v>
      </c>
      <c r="CX59" s="76">
        <v>452</v>
      </c>
      <c r="CY59" s="76">
        <v>-335</v>
      </c>
      <c r="CZ59" s="76">
        <v>56</v>
      </c>
      <c r="DA59" s="76">
        <v>0</v>
      </c>
      <c r="DB59" s="76">
        <v>270</v>
      </c>
      <c r="DC59" s="76">
        <v>-214</v>
      </c>
      <c r="DD59" s="76">
        <v>173</v>
      </c>
      <c r="DE59" s="76">
        <v>0</v>
      </c>
      <c r="DF59" s="76">
        <v>843</v>
      </c>
      <c r="DG59" s="76">
        <v>-670</v>
      </c>
      <c r="DH59" s="76">
        <v>0</v>
      </c>
      <c r="DI59" s="76">
        <v>0</v>
      </c>
      <c r="DJ59" s="76">
        <v>0</v>
      </c>
      <c r="DK59" s="76">
        <v>0</v>
      </c>
      <c r="DL59" s="76">
        <v>0</v>
      </c>
      <c r="DM59" s="76">
        <v>0</v>
      </c>
      <c r="DN59" s="76">
        <v>0</v>
      </c>
      <c r="DO59" s="76">
        <v>0</v>
      </c>
      <c r="DP59" s="76">
        <v>0</v>
      </c>
      <c r="DQ59" s="76">
        <v>0</v>
      </c>
      <c r="DR59" s="76">
        <v>0</v>
      </c>
      <c r="DS59" s="76">
        <v>0</v>
      </c>
      <c r="DT59" s="76">
        <v>58</v>
      </c>
      <c r="DU59" s="76">
        <v>0</v>
      </c>
      <c r="DV59" s="76">
        <v>14</v>
      </c>
      <c r="DW59" s="76">
        <v>44</v>
      </c>
      <c r="DX59" s="76">
        <v>0</v>
      </c>
      <c r="DY59" s="76">
        <v>0</v>
      </c>
      <c r="DZ59" s="76">
        <v>0</v>
      </c>
      <c r="EA59" s="76">
        <v>0</v>
      </c>
      <c r="EB59" s="76">
        <v>3</v>
      </c>
      <c r="EC59" s="76">
        <v>0</v>
      </c>
      <c r="ED59" s="76">
        <v>1</v>
      </c>
      <c r="EE59" s="76">
        <v>2</v>
      </c>
      <c r="EF59" s="76">
        <v>61</v>
      </c>
      <c r="EG59" s="76">
        <v>0</v>
      </c>
      <c r="EH59" s="76">
        <v>15</v>
      </c>
      <c r="EI59" s="76">
        <v>46</v>
      </c>
      <c r="EJ59" s="76">
        <v>234</v>
      </c>
      <c r="EK59" s="76">
        <v>0</v>
      </c>
      <c r="EL59" s="76">
        <v>858</v>
      </c>
      <c r="EM59" s="76">
        <v>-624</v>
      </c>
      <c r="EN59" s="76">
        <v>2349</v>
      </c>
      <c r="EO59" s="76">
        <v>548</v>
      </c>
      <c r="EP59" s="76">
        <v>735</v>
      </c>
      <c r="EQ59" s="76">
        <v>548</v>
      </c>
      <c r="ER59" s="76">
        <v>197765</v>
      </c>
      <c r="ES59" s="76">
        <v>0</v>
      </c>
      <c r="ET59" s="76">
        <v>197765</v>
      </c>
      <c r="EU59" s="76">
        <v>6080</v>
      </c>
      <c r="EV59" s="76">
        <v>-1414</v>
      </c>
      <c r="EW59" s="76">
        <v>0</v>
      </c>
      <c r="EX59" s="76">
        <v>0</v>
      </c>
      <c r="EY59" s="76">
        <v>0</v>
      </c>
      <c r="EZ59" s="76">
        <v>202431</v>
      </c>
      <c r="FA59" s="76">
        <v>41770</v>
      </c>
      <c r="FB59" s="76">
        <v>6264</v>
      </c>
      <c r="FC59" s="76">
        <v>37</v>
      </c>
      <c r="FD59" s="76">
        <v>0</v>
      </c>
      <c r="FE59" s="76">
        <v>-728</v>
      </c>
      <c r="FF59" s="76">
        <v>0</v>
      </c>
      <c r="FG59" s="76">
        <v>0</v>
      </c>
      <c r="FH59" s="76">
        <v>47343</v>
      </c>
      <c r="FI59" s="76">
        <v>155088</v>
      </c>
      <c r="FJ59" s="76">
        <v>155995</v>
      </c>
      <c r="FK59" s="76">
        <v>0</v>
      </c>
      <c r="FL59" s="76">
        <v>0</v>
      </c>
      <c r="FM59" s="76">
        <v>0</v>
      </c>
      <c r="FN59" s="76">
        <v>816</v>
      </c>
      <c r="FO59" s="76">
        <v>438</v>
      </c>
      <c r="FP59" s="76">
        <v>378</v>
      </c>
      <c r="FQ59" s="76">
        <v>535</v>
      </c>
      <c r="FR59" s="76">
        <v>529</v>
      </c>
      <c r="FS59" s="76">
        <v>6</v>
      </c>
      <c r="FT59" s="76">
        <v>0</v>
      </c>
      <c r="FU59" s="76">
        <v>0</v>
      </c>
      <c r="FV59" s="76">
        <v>0</v>
      </c>
      <c r="FW59" s="76">
        <v>0</v>
      </c>
      <c r="FX59" s="76">
        <v>0</v>
      </c>
      <c r="FY59" s="76">
        <v>0</v>
      </c>
      <c r="FZ59" s="76">
        <v>1</v>
      </c>
      <c r="GA59" s="76">
        <v>12</v>
      </c>
      <c r="GB59" s="76">
        <v>-11</v>
      </c>
      <c r="GC59" s="76">
        <v>1352</v>
      </c>
      <c r="GD59" s="76">
        <v>979</v>
      </c>
      <c r="GE59" s="76">
        <v>373</v>
      </c>
      <c r="GF59" s="76">
        <v>0</v>
      </c>
      <c r="GG59" s="76">
        <v>0</v>
      </c>
      <c r="GH59" s="76">
        <v>0</v>
      </c>
      <c r="GI59" s="76">
        <v>1284</v>
      </c>
      <c r="GJ59" s="76">
        <v>0</v>
      </c>
      <c r="GK59" s="76">
        <v>171</v>
      </c>
      <c r="GL59" s="76">
        <v>1455</v>
      </c>
      <c r="GM59" s="76">
        <v>2132</v>
      </c>
      <c r="GN59" s="76">
        <v>696</v>
      </c>
      <c r="GO59" s="76">
        <v>423</v>
      </c>
      <c r="GP59" s="76">
        <v>0</v>
      </c>
      <c r="GQ59" s="76">
        <v>180</v>
      </c>
      <c r="GR59" s="76">
        <v>982</v>
      </c>
      <c r="GS59" s="76">
        <v>0</v>
      </c>
      <c r="GT59" s="76">
        <v>0</v>
      </c>
      <c r="GU59" s="76">
        <v>0</v>
      </c>
      <c r="GV59" s="76">
        <v>0</v>
      </c>
      <c r="GW59" s="76">
        <v>547</v>
      </c>
      <c r="GX59" s="76">
        <v>4960</v>
      </c>
      <c r="GY59" s="76">
        <v>44</v>
      </c>
      <c r="GZ59" s="76">
        <v>801</v>
      </c>
      <c r="HA59" s="76">
        <v>0</v>
      </c>
      <c r="HB59" s="76">
        <v>58</v>
      </c>
      <c r="HC59" s="76">
        <v>903</v>
      </c>
      <c r="HD59" s="76">
        <v>0</v>
      </c>
      <c r="HE59" s="76">
        <v>68</v>
      </c>
      <c r="HF59" s="76">
        <v>68</v>
      </c>
      <c r="HG59" s="76">
        <v>1778</v>
      </c>
      <c r="HH59" s="76">
        <v>14</v>
      </c>
      <c r="HI59" s="76">
        <v>-19</v>
      </c>
      <c r="HJ59" s="76">
        <v>0</v>
      </c>
      <c r="HK59" s="76">
        <v>7</v>
      </c>
      <c r="HL59" s="76">
        <v>-46</v>
      </c>
      <c r="HM59" s="76">
        <v>1734</v>
      </c>
      <c r="HN59" s="76">
        <v>4013</v>
      </c>
      <c r="HO59" s="76">
        <v>6362</v>
      </c>
      <c r="HP59" s="76">
        <v>37</v>
      </c>
      <c r="HQ59" s="76">
        <v>55</v>
      </c>
      <c r="HR59" s="76">
        <v>-38</v>
      </c>
      <c r="HS59" s="76">
        <v>0</v>
      </c>
      <c r="HT59" s="76">
        <v>6011</v>
      </c>
      <c r="HU59" s="76">
        <v>0</v>
      </c>
      <c r="HV59" s="76">
        <v>0</v>
      </c>
      <c r="HW59" s="76">
        <v>0</v>
      </c>
      <c r="HX59" s="76">
        <v>8</v>
      </c>
    </row>
    <row r="60" spans="1:232" x14ac:dyDescent="0.2">
      <c r="A60" s="71" t="s">
        <v>306</v>
      </c>
      <c r="B60" s="71" t="s">
        <v>307</v>
      </c>
      <c r="C60" s="72" t="s">
        <v>200</v>
      </c>
      <c r="D60" s="72">
        <v>12</v>
      </c>
      <c r="E60" s="73">
        <v>20588</v>
      </c>
      <c r="F60" s="73">
        <v>-1982</v>
      </c>
      <c r="G60" s="73">
        <v>-11447</v>
      </c>
      <c r="H60" s="73">
        <v>7159</v>
      </c>
      <c r="I60" s="73">
        <v>-138</v>
      </c>
      <c r="J60" s="73">
        <v>344</v>
      </c>
      <c r="K60" s="73">
        <v>0</v>
      </c>
      <c r="L60" s="73">
        <v>0</v>
      </c>
      <c r="M60" s="73">
        <v>2</v>
      </c>
      <c r="N60" s="73">
        <v>-4929</v>
      </c>
      <c r="O60" s="73">
        <v>0</v>
      </c>
      <c r="P60" s="73">
        <v>-119</v>
      </c>
      <c r="Q60" s="73">
        <v>0</v>
      </c>
      <c r="R60" s="73">
        <v>0</v>
      </c>
      <c r="S60" s="73">
        <v>2319</v>
      </c>
      <c r="T60" s="73">
        <v>0</v>
      </c>
      <c r="U60" s="73">
        <v>2319</v>
      </c>
      <c r="V60" s="73">
        <v>0</v>
      </c>
      <c r="W60" s="73">
        <v>0</v>
      </c>
      <c r="X60" s="73">
        <v>-19</v>
      </c>
      <c r="Y60" s="73">
        <v>0</v>
      </c>
      <c r="Z60" s="73">
        <v>2300</v>
      </c>
      <c r="AA60" s="73">
        <v>15457</v>
      </c>
      <c r="AB60" s="73">
        <v>930</v>
      </c>
      <c r="AC60" s="73">
        <v>16387</v>
      </c>
      <c r="AD60" s="73">
        <v>756</v>
      </c>
      <c r="AE60" s="73">
        <v>0</v>
      </c>
      <c r="AF60" s="73">
        <v>150</v>
      </c>
      <c r="AG60" s="73">
        <v>28</v>
      </c>
      <c r="AH60" s="73">
        <v>17321</v>
      </c>
      <c r="AI60" s="73">
        <v>4012</v>
      </c>
      <c r="AJ60" s="73">
        <v>774</v>
      </c>
      <c r="AK60" s="73">
        <v>2101</v>
      </c>
      <c r="AL60" s="73">
        <v>267</v>
      </c>
      <c r="AM60" s="73">
        <v>622</v>
      </c>
      <c r="AN60" s="73">
        <v>61</v>
      </c>
      <c r="AO60" s="73">
        <v>2792</v>
      </c>
      <c r="AP60" s="73">
        <v>0</v>
      </c>
      <c r="AQ60" s="73">
        <v>633</v>
      </c>
      <c r="AR60" s="73">
        <v>11262</v>
      </c>
      <c r="AS60" s="73">
        <v>6059</v>
      </c>
      <c r="AT60" s="73">
        <v>116</v>
      </c>
      <c r="AU60" s="73">
        <v>201072</v>
      </c>
      <c r="AV60" s="73">
        <v>0</v>
      </c>
      <c r="AW60" s="73">
        <v>473</v>
      </c>
      <c r="AX60" s="73">
        <v>0</v>
      </c>
      <c r="AY60" s="73">
        <v>0</v>
      </c>
      <c r="AZ60" s="73">
        <v>0</v>
      </c>
      <c r="BA60" s="73">
        <v>0</v>
      </c>
      <c r="BB60" s="73">
        <v>0</v>
      </c>
      <c r="BC60" s="73">
        <v>0</v>
      </c>
      <c r="BD60" s="73">
        <v>1349</v>
      </c>
      <c r="BE60" s="73">
        <v>202894</v>
      </c>
      <c r="BF60" s="73">
        <v>731</v>
      </c>
      <c r="BG60" s="73">
        <v>374</v>
      </c>
      <c r="BH60" s="73">
        <v>1383</v>
      </c>
      <c r="BI60" s="73">
        <v>0</v>
      </c>
      <c r="BJ60" s="73">
        <v>706</v>
      </c>
      <c r="BK60" s="73">
        <v>3194</v>
      </c>
      <c r="BL60" s="73">
        <v>1903</v>
      </c>
      <c r="BM60" s="73">
        <v>0</v>
      </c>
      <c r="BN60" s="73">
        <v>755</v>
      </c>
      <c r="BO60" s="73">
        <v>3609</v>
      </c>
      <c r="BP60" s="73">
        <v>6267</v>
      </c>
      <c r="BQ60" s="73">
        <v>-3073</v>
      </c>
      <c r="BR60" s="73">
        <v>199821</v>
      </c>
      <c r="BS60" s="73">
        <v>98194</v>
      </c>
      <c r="BT60" s="73">
        <v>0</v>
      </c>
      <c r="BU60" s="73">
        <v>0</v>
      </c>
      <c r="BV60" s="73">
        <v>53936</v>
      </c>
      <c r="BW60" s="73">
        <v>0</v>
      </c>
      <c r="BX60" s="73">
        <v>3466</v>
      </c>
      <c r="BY60" s="73">
        <v>874</v>
      </c>
      <c r="BZ60" s="73">
        <v>156470</v>
      </c>
      <c r="CA60" s="73">
        <v>1252</v>
      </c>
      <c r="CB60" s="73">
        <v>215</v>
      </c>
      <c r="CC60" s="73">
        <v>41884</v>
      </c>
      <c r="CD60" s="73">
        <v>43002</v>
      </c>
      <c r="CE60" s="73">
        <v>0</v>
      </c>
      <c r="CF60" s="73">
        <v>0</v>
      </c>
      <c r="CG60" s="73">
        <v>-1118</v>
      </c>
      <c r="CH60" s="73">
        <v>0</v>
      </c>
      <c r="CI60" s="73">
        <v>41884</v>
      </c>
      <c r="CJ60" s="73">
        <v>2991</v>
      </c>
      <c r="CK60" s="73">
        <v>1982</v>
      </c>
      <c r="CL60" s="73">
        <v>0</v>
      </c>
      <c r="CM60" s="73">
        <v>1009</v>
      </c>
      <c r="CN60" s="73">
        <v>0</v>
      </c>
      <c r="CO60" s="73">
        <v>0</v>
      </c>
      <c r="CP60" s="73">
        <v>0</v>
      </c>
      <c r="CQ60" s="73">
        <v>0</v>
      </c>
      <c r="CR60" s="73">
        <v>0</v>
      </c>
      <c r="CS60" s="73">
        <v>0</v>
      </c>
      <c r="CT60" s="73">
        <v>0</v>
      </c>
      <c r="CU60" s="73">
        <v>0</v>
      </c>
      <c r="CV60" s="73">
        <v>0</v>
      </c>
      <c r="CW60" s="73">
        <v>0</v>
      </c>
      <c r="CX60" s="73">
        <v>0</v>
      </c>
      <c r="CY60" s="73">
        <v>0</v>
      </c>
      <c r="CZ60" s="73">
        <v>276</v>
      </c>
      <c r="DA60" s="73">
        <v>0</v>
      </c>
      <c r="DB60" s="73">
        <v>185</v>
      </c>
      <c r="DC60" s="73">
        <v>91</v>
      </c>
      <c r="DD60" s="73">
        <v>3267</v>
      </c>
      <c r="DE60" s="73">
        <v>1982</v>
      </c>
      <c r="DF60" s="73">
        <v>185</v>
      </c>
      <c r="DG60" s="73">
        <v>1100</v>
      </c>
      <c r="DH60" s="73">
        <v>0</v>
      </c>
      <c r="DI60" s="73">
        <v>0</v>
      </c>
      <c r="DJ60" s="73">
        <v>0</v>
      </c>
      <c r="DK60" s="73">
        <v>0</v>
      </c>
      <c r="DL60" s="73">
        <v>0</v>
      </c>
      <c r="DM60" s="73">
        <v>0</v>
      </c>
      <c r="DN60" s="73">
        <v>0</v>
      </c>
      <c r="DO60" s="73">
        <v>0</v>
      </c>
      <c r="DP60" s="73">
        <v>0</v>
      </c>
      <c r="DQ60" s="73">
        <v>0</v>
      </c>
      <c r="DR60" s="73">
        <v>0</v>
      </c>
      <c r="DS60" s="73">
        <v>0</v>
      </c>
      <c r="DT60" s="73">
        <v>0</v>
      </c>
      <c r="DU60" s="73">
        <v>0</v>
      </c>
      <c r="DV60" s="73">
        <v>0</v>
      </c>
      <c r="DW60" s="73">
        <v>0</v>
      </c>
      <c r="DX60" s="73">
        <v>0</v>
      </c>
      <c r="DY60" s="73">
        <v>0</v>
      </c>
      <c r="DZ60" s="73">
        <v>0</v>
      </c>
      <c r="EA60" s="73">
        <v>0</v>
      </c>
      <c r="EB60" s="73">
        <v>0</v>
      </c>
      <c r="EC60" s="73">
        <v>0</v>
      </c>
      <c r="ED60" s="73">
        <v>0</v>
      </c>
      <c r="EE60" s="73">
        <v>0</v>
      </c>
      <c r="EF60" s="73">
        <v>0</v>
      </c>
      <c r="EG60" s="73">
        <v>0</v>
      </c>
      <c r="EH60" s="73">
        <v>0</v>
      </c>
      <c r="EI60" s="73">
        <v>0</v>
      </c>
      <c r="EJ60" s="73">
        <v>3267</v>
      </c>
      <c r="EK60" s="73">
        <v>1982</v>
      </c>
      <c r="EL60" s="73">
        <v>185</v>
      </c>
      <c r="EM60" s="73">
        <v>1100</v>
      </c>
      <c r="EN60" s="73">
        <v>433</v>
      </c>
      <c r="EO60" s="73">
        <v>85</v>
      </c>
      <c r="EP60" s="73">
        <v>59</v>
      </c>
      <c r="EQ60" s="73">
        <v>85</v>
      </c>
      <c r="ER60" s="73">
        <v>206409</v>
      </c>
      <c r="ES60" s="73">
        <v>0</v>
      </c>
      <c r="ET60" s="73">
        <v>206409</v>
      </c>
      <c r="EU60" s="73">
        <v>19727</v>
      </c>
      <c r="EV60" s="73">
        <v>-548</v>
      </c>
      <c r="EW60" s="73">
        <v>0</v>
      </c>
      <c r="EX60" s="73">
        <v>0</v>
      </c>
      <c r="EY60" s="73">
        <v>0</v>
      </c>
      <c r="EZ60" s="73">
        <v>225588</v>
      </c>
      <c r="FA60" s="73">
        <v>21764</v>
      </c>
      <c r="FB60" s="73">
        <v>2792</v>
      </c>
      <c r="FC60" s="73">
        <v>0</v>
      </c>
      <c r="FD60" s="73">
        <v>0</v>
      </c>
      <c r="FE60" s="73">
        <v>-40</v>
      </c>
      <c r="FF60" s="73">
        <v>0</v>
      </c>
      <c r="FG60" s="73">
        <v>0</v>
      </c>
      <c r="FH60" s="73">
        <v>24516</v>
      </c>
      <c r="FI60" s="73">
        <v>201072</v>
      </c>
      <c r="FJ60" s="73">
        <v>184645</v>
      </c>
      <c r="FK60" s="73">
        <v>0</v>
      </c>
      <c r="FL60" s="73">
        <v>0</v>
      </c>
      <c r="FM60" s="73">
        <v>0</v>
      </c>
      <c r="FN60" s="73">
        <v>0</v>
      </c>
      <c r="FO60" s="73">
        <v>0</v>
      </c>
      <c r="FP60" s="73">
        <v>0</v>
      </c>
      <c r="FQ60" s="73">
        <v>0</v>
      </c>
      <c r="FR60" s="73">
        <v>0</v>
      </c>
      <c r="FS60" s="73">
        <v>0</v>
      </c>
      <c r="FT60" s="73">
        <v>547</v>
      </c>
      <c r="FU60" s="73">
        <v>685</v>
      </c>
      <c r="FV60" s="73">
        <v>-138</v>
      </c>
      <c r="FW60" s="73">
        <v>0</v>
      </c>
      <c r="FX60" s="73">
        <v>0</v>
      </c>
      <c r="FY60" s="73">
        <v>0</v>
      </c>
      <c r="FZ60" s="73">
        <v>0</v>
      </c>
      <c r="GA60" s="73">
        <v>0</v>
      </c>
      <c r="GB60" s="73">
        <v>0</v>
      </c>
      <c r="GC60" s="73">
        <v>547</v>
      </c>
      <c r="GD60" s="73">
        <v>685</v>
      </c>
      <c r="GE60" s="73">
        <v>-138</v>
      </c>
      <c r="GF60" s="73">
        <v>0</v>
      </c>
      <c r="GG60" s="73">
        <v>0</v>
      </c>
      <c r="GH60" s="73">
        <v>0</v>
      </c>
      <c r="GI60" s="73">
        <v>0</v>
      </c>
      <c r="GJ60" s="73">
        <v>0</v>
      </c>
      <c r="GK60" s="73">
        <v>706</v>
      </c>
      <c r="GL60" s="73">
        <v>706</v>
      </c>
      <c r="GM60" s="73">
        <v>115</v>
      </c>
      <c r="GN60" s="73">
        <v>414</v>
      </c>
      <c r="GO60" s="73">
        <v>0</v>
      </c>
      <c r="GP60" s="73">
        <v>97</v>
      </c>
      <c r="GQ60" s="73">
        <v>55</v>
      </c>
      <c r="GR60" s="73">
        <v>2899</v>
      </c>
      <c r="GS60" s="73">
        <v>0</v>
      </c>
      <c r="GT60" s="73">
        <v>0</v>
      </c>
      <c r="GU60" s="73">
        <v>0</v>
      </c>
      <c r="GV60" s="73">
        <v>0</v>
      </c>
      <c r="GW60" s="73">
        <v>29</v>
      </c>
      <c r="GX60" s="73">
        <v>3609</v>
      </c>
      <c r="GY60" s="73">
        <v>75</v>
      </c>
      <c r="GZ60" s="73">
        <v>0</v>
      </c>
      <c r="HA60" s="73">
        <v>0</v>
      </c>
      <c r="HB60" s="73">
        <v>799</v>
      </c>
      <c r="HC60" s="73">
        <v>874</v>
      </c>
      <c r="HD60" s="73">
        <v>215</v>
      </c>
      <c r="HE60" s="73">
        <v>0</v>
      </c>
      <c r="HF60" s="73">
        <v>215</v>
      </c>
      <c r="HG60" s="73">
        <v>6150</v>
      </c>
      <c r="HH60" s="73">
        <v>181</v>
      </c>
      <c r="HI60" s="73">
        <v>26</v>
      </c>
      <c r="HJ60" s="73">
        <v>0</v>
      </c>
      <c r="HK60" s="73">
        <v>0</v>
      </c>
      <c r="HL60" s="73">
        <v>-1428</v>
      </c>
      <c r="HM60" s="73">
        <v>4929</v>
      </c>
      <c r="HN60" s="73">
        <v>1228</v>
      </c>
      <c r="HO60" s="73">
        <v>2792</v>
      </c>
      <c r="HP60" s="73">
        <v>0</v>
      </c>
      <c r="HQ60" s="73">
        <v>0</v>
      </c>
      <c r="HR60" s="73">
        <v>0</v>
      </c>
      <c r="HS60" s="73">
        <v>166</v>
      </c>
      <c r="HT60" s="73">
        <v>3232</v>
      </c>
      <c r="HU60" s="73">
        <v>0</v>
      </c>
      <c r="HV60" s="73">
        <v>0</v>
      </c>
      <c r="HW60" s="73">
        <v>0</v>
      </c>
      <c r="HX60" s="73">
        <v>0</v>
      </c>
    </row>
    <row r="61" spans="1:232" x14ac:dyDescent="0.2">
      <c r="A61" s="74" t="s">
        <v>49</v>
      </c>
      <c r="B61" s="74" t="s">
        <v>48</v>
      </c>
      <c r="C61" s="75" t="s">
        <v>200</v>
      </c>
      <c r="D61" s="75">
        <v>12</v>
      </c>
      <c r="E61" s="76">
        <v>29155</v>
      </c>
      <c r="F61" s="76">
        <v>0</v>
      </c>
      <c r="G61" s="76">
        <v>-18676</v>
      </c>
      <c r="H61" s="76">
        <v>10479</v>
      </c>
      <c r="I61" s="76">
        <v>-408</v>
      </c>
      <c r="J61" s="76">
        <v>0</v>
      </c>
      <c r="K61" s="76">
        <v>0</v>
      </c>
      <c r="L61" s="76">
        <v>0</v>
      </c>
      <c r="M61" s="76">
        <v>30</v>
      </c>
      <c r="N61" s="76">
        <v>-3469</v>
      </c>
      <c r="O61" s="76">
        <v>0</v>
      </c>
      <c r="P61" s="76">
        <v>0</v>
      </c>
      <c r="Q61" s="76">
        <v>0</v>
      </c>
      <c r="R61" s="76">
        <v>0</v>
      </c>
      <c r="S61" s="76">
        <v>6632</v>
      </c>
      <c r="T61" s="76">
        <v>0</v>
      </c>
      <c r="U61" s="76">
        <v>6632</v>
      </c>
      <c r="V61" s="76">
        <v>0</v>
      </c>
      <c r="W61" s="76">
        <v>-1834</v>
      </c>
      <c r="X61" s="76">
        <v>0</v>
      </c>
      <c r="Y61" s="76">
        <v>0</v>
      </c>
      <c r="Z61" s="76">
        <v>4798</v>
      </c>
      <c r="AA61" s="76">
        <v>25233</v>
      </c>
      <c r="AB61" s="76">
        <v>538</v>
      </c>
      <c r="AC61" s="76">
        <v>25771</v>
      </c>
      <c r="AD61" s="76">
        <v>2777</v>
      </c>
      <c r="AE61" s="76">
        <v>0</v>
      </c>
      <c r="AF61" s="76">
        <v>0</v>
      </c>
      <c r="AG61" s="76">
        <v>24</v>
      </c>
      <c r="AH61" s="76">
        <v>28572</v>
      </c>
      <c r="AI61" s="76">
        <v>5493</v>
      </c>
      <c r="AJ61" s="76">
        <v>1350</v>
      </c>
      <c r="AK61" s="76">
        <v>4536</v>
      </c>
      <c r="AL61" s="76">
        <v>0</v>
      </c>
      <c r="AM61" s="76">
        <v>0</v>
      </c>
      <c r="AN61" s="76">
        <v>121</v>
      </c>
      <c r="AO61" s="76">
        <v>5788</v>
      </c>
      <c r="AP61" s="76">
        <v>0</v>
      </c>
      <c r="AQ61" s="76">
        <v>0</v>
      </c>
      <c r="AR61" s="76">
        <v>17288</v>
      </c>
      <c r="AS61" s="76">
        <v>11284</v>
      </c>
      <c r="AT61" s="76">
        <v>204</v>
      </c>
      <c r="AU61" s="76">
        <v>131988</v>
      </c>
      <c r="AV61" s="76">
        <v>0</v>
      </c>
      <c r="AW61" s="76">
        <v>8175</v>
      </c>
      <c r="AX61" s="76">
        <v>0</v>
      </c>
      <c r="AY61" s="76">
        <v>0</v>
      </c>
      <c r="AZ61" s="76">
        <v>2095</v>
      </c>
      <c r="BA61" s="76">
        <v>0</v>
      </c>
      <c r="BB61" s="76">
        <v>0</v>
      </c>
      <c r="BC61" s="76">
        <v>0</v>
      </c>
      <c r="BD61" s="76">
        <v>0</v>
      </c>
      <c r="BE61" s="76">
        <v>142258</v>
      </c>
      <c r="BF61" s="76">
        <v>0</v>
      </c>
      <c r="BG61" s="76">
        <v>497</v>
      </c>
      <c r="BH61" s="76">
        <v>3630</v>
      </c>
      <c r="BI61" s="76">
        <v>0</v>
      </c>
      <c r="BJ61" s="76">
        <v>2416</v>
      </c>
      <c r="BK61" s="76">
        <v>6543</v>
      </c>
      <c r="BL61" s="76">
        <v>0</v>
      </c>
      <c r="BM61" s="76">
        <v>0</v>
      </c>
      <c r="BN61" s="76">
        <v>2200</v>
      </c>
      <c r="BO61" s="76">
        <v>1998</v>
      </c>
      <c r="BP61" s="76">
        <v>4198</v>
      </c>
      <c r="BQ61" s="76">
        <v>2345</v>
      </c>
      <c r="BR61" s="76">
        <v>144603</v>
      </c>
      <c r="BS61" s="76">
        <v>53000</v>
      </c>
      <c r="BT61" s="76">
        <v>0</v>
      </c>
      <c r="BU61" s="76">
        <v>118</v>
      </c>
      <c r="BV61" s="76">
        <v>51627</v>
      </c>
      <c r="BW61" s="76">
        <v>0</v>
      </c>
      <c r="BX61" s="76">
        <v>0</v>
      </c>
      <c r="BY61" s="76">
        <v>1058</v>
      </c>
      <c r="BZ61" s="76">
        <v>105803</v>
      </c>
      <c r="CA61" s="76">
        <v>5538</v>
      </c>
      <c r="CB61" s="76">
        <v>0</v>
      </c>
      <c r="CC61" s="76">
        <v>33262</v>
      </c>
      <c r="CD61" s="76">
        <v>36565</v>
      </c>
      <c r="CE61" s="76">
        <v>2095</v>
      </c>
      <c r="CF61" s="76">
        <v>-5398</v>
      </c>
      <c r="CG61" s="76">
        <v>0</v>
      </c>
      <c r="CH61" s="76">
        <v>0</v>
      </c>
      <c r="CI61" s="76">
        <v>33262</v>
      </c>
      <c r="CJ61" s="76">
        <v>0</v>
      </c>
      <c r="CK61" s="76">
        <v>0</v>
      </c>
      <c r="CL61" s="76">
        <v>0</v>
      </c>
      <c r="CM61" s="76">
        <v>0</v>
      </c>
      <c r="CN61" s="76">
        <v>144</v>
      </c>
      <c r="CO61" s="76">
        <v>0</v>
      </c>
      <c r="CP61" s="76">
        <v>237</v>
      </c>
      <c r="CQ61" s="76">
        <v>-93</v>
      </c>
      <c r="CR61" s="76">
        <v>0</v>
      </c>
      <c r="CS61" s="76">
        <v>0</v>
      </c>
      <c r="CT61" s="76">
        <v>206</v>
      </c>
      <c r="CU61" s="76">
        <v>-206</v>
      </c>
      <c r="CV61" s="76">
        <v>0</v>
      </c>
      <c r="CW61" s="76">
        <v>0</v>
      </c>
      <c r="CX61" s="76">
        <v>591</v>
      </c>
      <c r="CY61" s="76">
        <v>-591</v>
      </c>
      <c r="CZ61" s="76">
        <v>0</v>
      </c>
      <c r="DA61" s="76">
        <v>0</v>
      </c>
      <c r="DB61" s="76">
        <v>0</v>
      </c>
      <c r="DC61" s="76">
        <v>0</v>
      </c>
      <c r="DD61" s="76">
        <v>144</v>
      </c>
      <c r="DE61" s="76">
        <v>0</v>
      </c>
      <c r="DF61" s="76">
        <v>1034</v>
      </c>
      <c r="DG61" s="76">
        <v>-890</v>
      </c>
      <c r="DH61" s="76">
        <v>0</v>
      </c>
      <c r="DI61" s="76">
        <v>0</v>
      </c>
      <c r="DJ61" s="76">
        <v>0</v>
      </c>
      <c r="DK61" s="76">
        <v>0</v>
      </c>
      <c r="DL61" s="76">
        <v>0</v>
      </c>
      <c r="DM61" s="76">
        <v>0</v>
      </c>
      <c r="DN61" s="76">
        <v>0</v>
      </c>
      <c r="DO61" s="76">
        <v>0</v>
      </c>
      <c r="DP61" s="76">
        <v>0</v>
      </c>
      <c r="DQ61" s="76">
        <v>0</v>
      </c>
      <c r="DR61" s="76">
        <v>0</v>
      </c>
      <c r="DS61" s="76">
        <v>0</v>
      </c>
      <c r="DT61" s="76">
        <v>0</v>
      </c>
      <c r="DU61" s="76">
        <v>0</v>
      </c>
      <c r="DV61" s="76">
        <v>0</v>
      </c>
      <c r="DW61" s="76">
        <v>0</v>
      </c>
      <c r="DX61" s="76">
        <v>0</v>
      </c>
      <c r="DY61" s="76">
        <v>0</v>
      </c>
      <c r="DZ61" s="76">
        <v>0</v>
      </c>
      <c r="EA61" s="76">
        <v>0</v>
      </c>
      <c r="EB61" s="76">
        <v>438</v>
      </c>
      <c r="EC61" s="76">
        <v>0</v>
      </c>
      <c r="ED61" s="76">
        <v>353</v>
      </c>
      <c r="EE61" s="76">
        <v>85</v>
      </c>
      <c r="EF61" s="76">
        <v>438</v>
      </c>
      <c r="EG61" s="76">
        <v>0</v>
      </c>
      <c r="EH61" s="76">
        <v>353</v>
      </c>
      <c r="EI61" s="76">
        <v>85</v>
      </c>
      <c r="EJ61" s="76">
        <v>582</v>
      </c>
      <c r="EK61" s="76">
        <v>0</v>
      </c>
      <c r="EL61" s="76">
        <v>1387</v>
      </c>
      <c r="EM61" s="76">
        <v>-805</v>
      </c>
      <c r="EN61" s="76">
        <v>206</v>
      </c>
      <c r="EO61" s="76">
        <v>213</v>
      </c>
      <c r="EP61" s="76">
        <v>187</v>
      </c>
      <c r="EQ61" s="76">
        <v>213</v>
      </c>
      <c r="ER61" s="76">
        <v>153354</v>
      </c>
      <c r="ES61" s="76">
        <v>0</v>
      </c>
      <c r="ET61" s="76">
        <v>153354</v>
      </c>
      <c r="EU61" s="76">
        <v>7439</v>
      </c>
      <c r="EV61" s="76">
        <v>-1790</v>
      </c>
      <c r="EW61" s="76">
        <v>0</v>
      </c>
      <c r="EX61" s="76">
        <v>0</v>
      </c>
      <c r="EY61" s="76">
        <v>0</v>
      </c>
      <c r="EZ61" s="76">
        <v>159003</v>
      </c>
      <c r="FA61" s="76">
        <v>22162</v>
      </c>
      <c r="FB61" s="76">
        <v>5163</v>
      </c>
      <c r="FC61" s="76">
        <v>0</v>
      </c>
      <c r="FD61" s="76">
        <v>0</v>
      </c>
      <c r="FE61" s="76">
        <v>-309</v>
      </c>
      <c r="FF61" s="76">
        <v>0</v>
      </c>
      <c r="FG61" s="76">
        <v>0</v>
      </c>
      <c r="FH61" s="76">
        <v>27016</v>
      </c>
      <c r="FI61" s="76">
        <v>131987</v>
      </c>
      <c r="FJ61" s="76">
        <v>131192</v>
      </c>
      <c r="FK61" s="76">
        <v>0</v>
      </c>
      <c r="FL61" s="76">
        <v>0</v>
      </c>
      <c r="FM61" s="76">
        <v>0</v>
      </c>
      <c r="FN61" s="76">
        <v>1138</v>
      </c>
      <c r="FO61" s="76">
        <v>1312</v>
      </c>
      <c r="FP61" s="76">
        <v>-174</v>
      </c>
      <c r="FQ61" s="76">
        <v>785</v>
      </c>
      <c r="FR61" s="76">
        <v>929</v>
      </c>
      <c r="FS61" s="76">
        <v>-144</v>
      </c>
      <c r="FT61" s="76">
        <v>25</v>
      </c>
      <c r="FU61" s="76">
        <v>115</v>
      </c>
      <c r="FV61" s="76">
        <v>-90</v>
      </c>
      <c r="FW61" s="76">
        <v>0</v>
      </c>
      <c r="FX61" s="76">
        <v>0</v>
      </c>
      <c r="FY61" s="76">
        <v>0</v>
      </c>
      <c r="FZ61" s="76">
        <v>0</v>
      </c>
      <c r="GA61" s="76">
        <v>0</v>
      </c>
      <c r="GB61" s="76">
        <v>0</v>
      </c>
      <c r="GC61" s="76">
        <v>1948</v>
      </c>
      <c r="GD61" s="76">
        <v>2356</v>
      </c>
      <c r="GE61" s="76">
        <v>-408</v>
      </c>
      <c r="GF61" s="76">
        <v>0</v>
      </c>
      <c r="GG61" s="76">
        <v>3</v>
      </c>
      <c r="GH61" s="76">
        <v>34</v>
      </c>
      <c r="GI61" s="76">
        <v>0</v>
      </c>
      <c r="GJ61" s="76">
        <v>0</v>
      </c>
      <c r="GK61" s="76">
        <v>2379</v>
      </c>
      <c r="GL61" s="76">
        <v>2416</v>
      </c>
      <c r="GM61" s="76">
        <v>193</v>
      </c>
      <c r="GN61" s="76">
        <v>556</v>
      </c>
      <c r="GO61" s="76">
        <v>0</v>
      </c>
      <c r="GP61" s="76">
        <v>0</v>
      </c>
      <c r="GQ61" s="76">
        <v>242</v>
      </c>
      <c r="GR61" s="76">
        <v>348</v>
      </c>
      <c r="GS61" s="76">
        <v>49</v>
      </c>
      <c r="GT61" s="76">
        <v>0</v>
      </c>
      <c r="GU61" s="76">
        <v>0</v>
      </c>
      <c r="GV61" s="76">
        <v>0</v>
      </c>
      <c r="GW61" s="76">
        <v>610</v>
      </c>
      <c r="GX61" s="76">
        <v>1998</v>
      </c>
      <c r="GY61" s="76">
        <v>0</v>
      </c>
      <c r="GZ61" s="76">
        <v>1058</v>
      </c>
      <c r="HA61" s="76">
        <v>0</v>
      </c>
      <c r="HB61" s="76">
        <v>0</v>
      </c>
      <c r="HC61" s="76">
        <v>1058</v>
      </c>
      <c r="HD61" s="76">
        <v>0</v>
      </c>
      <c r="HE61" s="76">
        <v>0</v>
      </c>
      <c r="HF61" s="76">
        <v>0</v>
      </c>
      <c r="HG61" s="76">
        <v>3361</v>
      </c>
      <c r="HH61" s="76">
        <v>0</v>
      </c>
      <c r="HI61" s="76">
        <v>108</v>
      </c>
      <c r="HJ61" s="76">
        <v>0</v>
      </c>
      <c r="HK61" s="76">
        <v>0</v>
      </c>
      <c r="HL61" s="76">
        <v>0</v>
      </c>
      <c r="HM61" s="76">
        <v>3469</v>
      </c>
      <c r="HN61" s="76">
        <v>3504</v>
      </c>
      <c r="HO61" s="76">
        <v>6196</v>
      </c>
      <c r="HP61" s="76">
        <v>0</v>
      </c>
      <c r="HQ61" s="76">
        <v>30</v>
      </c>
      <c r="HR61" s="76">
        <v>-41</v>
      </c>
      <c r="HS61" s="76">
        <v>1</v>
      </c>
      <c r="HT61" s="76">
        <v>6173</v>
      </c>
      <c r="HU61" s="76">
        <v>0</v>
      </c>
      <c r="HV61" s="76">
        <v>0</v>
      </c>
      <c r="HW61" s="76">
        <v>0</v>
      </c>
      <c r="HX61" s="76">
        <v>0</v>
      </c>
    </row>
    <row r="62" spans="1:232" x14ac:dyDescent="0.2">
      <c r="A62" s="74" t="s">
        <v>51</v>
      </c>
      <c r="B62" s="74" t="s">
        <v>50</v>
      </c>
      <c r="C62" s="75" t="s">
        <v>200</v>
      </c>
      <c r="D62" s="75">
        <v>12</v>
      </c>
      <c r="E62" s="76">
        <v>17048</v>
      </c>
      <c r="F62" s="76">
        <v>-225</v>
      </c>
      <c r="G62" s="76">
        <v>-12980</v>
      </c>
      <c r="H62" s="76">
        <v>3843</v>
      </c>
      <c r="I62" s="76">
        <v>231</v>
      </c>
      <c r="J62" s="76">
        <v>0</v>
      </c>
      <c r="K62" s="76">
        <v>0</v>
      </c>
      <c r="L62" s="76">
        <v>0</v>
      </c>
      <c r="M62" s="76">
        <v>68</v>
      </c>
      <c r="N62" s="76">
        <v>-1994</v>
      </c>
      <c r="O62" s="76">
        <v>0</v>
      </c>
      <c r="P62" s="76">
        <v>0</v>
      </c>
      <c r="Q62" s="76">
        <v>0</v>
      </c>
      <c r="R62" s="76">
        <v>0</v>
      </c>
      <c r="S62" s="76">
        <v>2148</v>
      </c>
      <c r="T62" s="76">
        <v>0</v>
      </c>
      <c r="U62" s="76">
        <v>2148</v>
      </c>
      <c r="V62" s="76">
        <v>0</v>
      </c>
      <c r="W62" s="76">
        <v>-76</v>
      </c>
      <c r="X62" s="76">
        <v>0</v>
      </c>
      <c r="Y62" s="76">
        <v>0</v>
      </c>
      <c r="Z62" s="76">
        <v>2072</v>
      </c>
      <c r="AA62" s="76">
        <v>12661</v>
      </c>
      <c r="AB62" s="76">
        <v>774</v>
      </c>
      <c r="AC62" s="76">
        <v>13435</v>
      </c>
      <c r="AD62" s="76">
        <v>1311</v>
      </c>
      <c r="AE62" s="76">
        <v>30</v>
      </c>
      <c r="AF62" s="76">
        <v>0</v>
      </c>
      <c r="AG62" s="76">
        <v>0</v>
      </c>
      <c r="AH62" s="76">
        <v>14776</v>
      </c>
      <c r="AI62" s="76">
        <v>2860</v>
      </c>
      <c r="AJ62" s="76">
        <v>636</v>
      </c>
      <c r="AK62" s="76">
        <v>1983</v>
      </c>
      <c r="AL62" s="76">
        <v>1872</v>
      </c>
      <c r="AM62" s="76">
        <v>349</v>
      </c>
      <c r="AN62" s="76">
        <v>65</v>
      </c>
      <c r="AO62" s="76">
        <v>3113</v>
      </c>
      <c r="AP62" s="76">
        <v>0</v>
      </c>
      <c r="AQ62" s="76">
        <v>118</v>
      </c>
      <c r="AR62" s="76">
        <v>10996</v>
      </c>
      <c r="AS62" s="76">
        <v>3780</v>
      </c>
      <c r="AT62" s="76">
        <v>156</v>
      </c>
      <c r="AU62" s="76">
        <v>116407</v>
      </c>
      <c r="AV62" s="76">
        <v>0</v>
      </c>
      <c r="AW62" s="76">
        <v>2534</v>
      </c>
      <c r="AX62" s="76">
        <v>0</v>
      </c>
      <c r="AY62" s="76">
        <v>0</v>
      </c>
      <c r="AZ62" s="76">
        <v>4943</v>
      </c>
      <c r="BA62" s="76">
        <v>0</v>
      </c>
      <c r="BB62" s="76">
        <v>0</v>
      </c>
      <c r="BC62" s="76">
        <v>0</v>
      </c>
      <c r="BD62" s="76">
        <v>0</v>
      </c>
      <c r="BE62" s="76">
        <v>123884</v>
      </c>
      <c r="BF62" s="76">
        <v>0</v>
      </c>
      <c r="BG62" s="76">
        <v>493</v>
      </c>
      <c r="BH62" s="76">
        <v>2356</v>
      </c>
      <c r="BI62" s="76">
        <v>0</v>
      </c>
      <c r="BJ62" s="76">
        <v>919</v>
      </c>
      <c r="BK62" s="76">
        <v>3768</v>
      </c>
      <c r="BL62" s="76">
        <v>406</v>
      </c>
      <c r="BM62" s="76">
        <v>0</v>
      </c>
      <c r="BN62" s="76">
        <v>1341</v>
      </c>
      <c r="BO62" s="76">
        <v>2086</v>
      </c>
      <c r="BP62" s="76">
        <v>3833</v>
      </c>
      <c r="BQ62" s="76">
        <v>-65</v>
      </c>
      <c r="BR62" s="76">
        <v>123819</v>
      </c>
      <c r="BS62" s="76">
        <v>43256</v>
      </c>
      <c r="BT62" s="76">
        <v>0</v>
      </c>
      <c r="BU62" s="76">
        <v>0</v>
      </c>
      <c r="BV62" s="76">
        <v>57467</v>
      </c>
      <c r="BW62" s="76">
        <v>0</v>
      </c>
      <c r="BX62" s="76">
        <v>0</v>
      </c>
      <c r="BY62" s="76">
        <v>426</v>
      </c>
      <c r="BZ62" s="76">
        <v>101149</v>
      </c>
      <c r="CA62" s="76">
        <v>2737</v>
      </c>
      <c r="CB62" s="76">
        <v>607</v>
      </c>
      <c r="CC62" s="76">
        <v>19326</v>
      </c>
      <c r="CD62" s="76">
        <v>13566</v>
      </c>
      <c r="CE62" s="76">
        <v>1150</v>
      </c>
      <c r="CF62" s="76">
        <v>4610</v>
      </c>
      <c r="CG62" s="76">
        <v>0</v>
      </c>
      <c r="CH62" s="76">
        <v>0</v>
      </c>
      <c r="CI62" s="76">
        <v>19326</v>
      </c>
      <c r="CJ62" s="76">
        <v>367</v>
      </c>
      <c r="CK62" s="76">
        <v>225</v>
      </c>
      <c r="CL62" s="76">
        <v>0</v>
      </c>
      <c r="CM62" s="76">
        <v>142</v>
      </c>
      <c r="CN62" s="76">
        <v>116</v>
      </c>
      <c r="CO62" s="76">
        <v>0</v>
      </c>
      <c r="CP62" s="76">
        <v>116</v>
      </c>
      <c r="CQ62" s="76">
        <v>0</v>
      </c>
      <c r="CR62" s="76">
        <v>0</v>
      </c>
      <c r="CS62" s="76">
        <v>0</v>
      </c>
      <c r="CT62" s="76">
        <v>192</v>
      </c>
      <c r="CU62" s="76">
        <v>-192</v>
      </c>
      <c r="CV62" s="76">
        <v>0</v>
      </c>
      <c r="CW62" s="76">
        <v>0</v>
      </c>
      <c r="CX62" s="76">
        <v>0</v>
      </c>
      <c r="CY62" s="76">
        <v>0</v>
      </c>
      <c r="CZ62" s="76">
        <v>1335</v>
      </c>
      <c r="DA62" s="76">
        <v>0</v>
      </c>
      <c r="DB62" s="76">
        <v>1335</v>
      </c>
      <c r="DC62" s="76">
        <v>0</v>
      </c>
      <c r="DD62" s="76">
        <v>1818</v>
      </c>
      <c r="DE62" s="76">
        <v>225</v>
      </c>
      <c r="DF62" s="76">
        <v>1643</v>
      </c>
      <c r="DG62" s="76">
        <v>-50</v>
      </c>
      <c r="DH62" s="76">
        <v>0</v>
      </c>
      <c r="DI62" s="76">
        <v>0</v>
      </c>
      <c r="DJ62" s="76">
        <v>0</v>
      </c>
      <c r="DK62" s="76">
        <v>0</v>
      </c>
      <c r="DL62" s="76">
        <v>434</v>
      </c>
      <c r="DM62" s="76">
        <v>0</v>
      </c>
      <c r="DN62" s="76">
        <v>322</v>
      </c>
      <c r="DO62" s="76">
        <v>112</v>
      </c>
      <c r="DP62" s="76">
        <v>0</v>
      </c>
      <c r="DQ62" s="76">
        <v>0</v>
      </c>
      <c r="DR62" s="76">
        <v>0</v>
      </c>
      <c r="DS62" s="76">
        <v>0</v>
      </c>
      <c r="DT62" s="76">
        <v>0</v>
      </c>
      <c r="DU62" s="76">
        <v>0</v>
      </c>
      <c r="DV62" s="76">
        <v>0</v>
      </c>
      <c r="DW62" s="76">
        <v>0</v>
      </c>
      <c r="DX62" s="76">
        <v>0</v>
      </c>
      <c r="DY62" s="76">
        <v>0</v>
      </c>
      <c r="DZ62" s="76">
        <v>0</v>
      </c>
      <c r="EA62" s="76">
        <v>0</v>
      </c>
      <c r="EB62" s="76">
        <v>20</v>
      </c>
      <c r="EC62" s="76">
        <v>0</v>
      </c>
      <c r="ED62" s="76">
        <v>19</v>
      </c>
      <c r="EE62" s="76">
        <v>1</v>
      </c>
      <c r="EF62" s="76">
        <v>454</v>
      </c>
      <c r="EG62" s="76">
        <v>0</v>
      </c>
      <c r="EH62" s="76">
        <v>341</v>
      </c>
      <c r="EI62" s="76">
        <v>113</v>
      </c>
      <c r="EJ62" s="76">
        <v>2272</v>
      </c>
      <c r="EK62" s="76">
        <v>225</v>
      </c>
      <c r="EL62" s="76">
        <v>1984</v>
      </c>
      <c r="EM62" s="76">
        <v>63</v>
      </c>
      <c r="EN62" s="76">
        <v>255</v>
      </c>
      <c r="EO62" s="76">
        <v>30</v>
      </c>
      <c r="EP62" s="76">
        <v>133</v>
      </c>
      <c r="EQ62" s="76">
        <v>30</v>
      </c>
      <c r="ER62" s="76">
        <v>157862</v>
      </c>
      <c r="ES62" s="76">
        <v>0</v>
      </c>
      <c r="ET62" s="76">
        <v>157862</v>
      </c>
      <c r="EU62" s="76">
        <v>4973</v>
      </c>
      <c r="EV62" s="76">
        <v>-587</v>
      </c>
      <c r="EW62" s="76">
        <v>0</v>
      </c>
      <c r="EX62" s="76">
        <v>0</v>
      </c>
      <c r="EY62" s="76">
        <v>-619</v>
      </c>
      <c r="EZ62" s="76">
        <v>161629</v>
      </c>
      <c r="FA62" s="76">
        <v>42843</v>
      </c>
      <c r="FB62" s="76">
        <v>2994</v>
      </c>
      <c r="FC62" s="76">
        <v>0</v>
      </c>
      <c r="FD62" s="76">
        <v>0</v>
      </c>
      <c r="FE62" s="76">
        <v>-142</v>
      </c>
      <c r="FF62" s="76">
        <v>0</v>
      </c>
      <c r="FG62" s="76">
        <v>-473</v>
      </c>
      <c r="FH62" s="76">
        <v>45222</v>
      </c>
      <c r="FI62" s="76">
        <v>116407</v>
      </c>
      <c r="FJ62" s="76">
        <v>115019</v>
      </c>
      <c r="FK62" s="76">
        <v>199</v>
      </c>
      <c r="FL62" s="76">
        <v>111</v>
      </c>
      <c r="FM62" s="76">
        <v>88</v>
      </c>
      <c r="FN62" s="76">
        <v>0</v>
      </c>
      <c r="FO62" s="76">
        <v>0</v>
      </c>
      <c r="FP62" s="76">
        <v>0</v>
      </c>
      <c r="FQ62" s="76">
        <v>0</v>
      </c>
      <c r="FR62" s="76">
        <v>0</v>
      </c>
      <c r="FS62" s="76">
        <v>0</v>
      </c>
      <c r="FT62" s="76">
        <v>448</v>
      </c>
      <c r="FU62" s="76">
        <v>305</v>
      </c>
      <c r="FV62" s="76">
        <v>143</v>
      </c>
      <c r="FW62" s="76">
        <v>0</v>
      </c>
      <c r="FX62" s="76">
        <v>0</v>
      </c>
      <c r="FY62" s="76">
        <v>0</v>
      </c>
      <c r="FZ62" s="76">
        <v>0</v>
      </c>
      <c r="GA62" s="76">
        <v>0</v>
      </c>
      <c r="GB62" s="76">
        <v>0</v>
      </c>
      <c r="GC62" s="76">
        <v>647</v>
      </c>
      <c r="GD62" s="76">
        <v>416</v>
      </c>
      <c r="GE62" s="76">
        <v>231</v>
      </c>
      <c r="GF62" s="76">
        <v>0</v>
      </c>
      <c r="GG62" s="76">
        <v>60</v>
      </c>
      <c r="GH62" s="76">
        <v>0</v>
      </c>
      <c r="GI62" s="76">
        <v>0</v>
      </c>
      <c r="GJ62" s="76">
        <v>0</v>
      </c>
      <c r="GK62" s="76">
        <v>859</v>
      </c>
      <c r="GL62" s="76">
        <v>919</v>
      </c>
      <c r="GM62" s="76">
        <v>767</v>
      </c>
      <c r="GN62" s="76">
        <v>437</v>
      </c>
      <c r="GO62" s="76">
        <v>0</v>
      </c>
      <c r="GP62" s="76">
        <v>164</v>
      </c>
      <c r="GQ62" s="76">
        <v>0</v>
      </c>
      <c r="GR62" s="76">
        <v>207</v>
      </c>
      <c r="GS62" s="76">
        <v>0</v>
      </c>
      <c r="GT62" s="76">
        <v>0</v>
      </c>
      <c r="GU62" s="76">
        <v>0</v>
      </c>
      <c r="GV62" s="76">
        <v>0</v>
      </c>
      <c r="GW62" s="76">
        <v>511</v>
      </c>
      <c r="GX62" s="76">
        <v>2086</v>
      </c>
      <c r="GY62" s="76">
        <v>388</v>
      </c>
      <c r="GZ62" s="76">
        <v>0</v>
      </c>
      <c r="HA62" s="76">
        <v>0</v>
      </c>
      <c r="HB62" s="76">
        <v>38</v>
      </c>
      <c r="HC62" s="76">
        <v>426</v>
      </c>
      <c r="HD62" s="76">
        <v>0</v>
      </c>
      <c r="HE62" s="76">
        <v>607</v>
      </c>
      <c r="HF62" s="76">
        <v>607</v>
      </c>
      <c r="HG62" s="76">
        <v>1850</v>
      </c>
      <c r="HH62" s="76">
        <v>87</v>
      </c>
      <c r="HI62" s="76">
        <v>57</v>
      </c>
      <c r="HJ62" s="76">
        <v>0</v>
      </c>
      <c r="HK62" s="76">
        <v>0</v>
      </c>
      <c r="HL62" s="76">
        <v>0</v>
      </c>
      <c r="HM62" s="76">
        <v>1994</v>
      </c>
      <c r="HN62" s="76">
        <v>1377</v>
      </c>
      <c r="HO62" s="76">
        <v>3223</v>
      </c>
      <c r="HP62" s="76">
        <v>0</v>
      </c>
      <c r="HQ62" s="76">
        <v>15</v>
      </c>
      <c r="HR62" s="76">
        <v>-9</v>
      </c>
      <c r="HS62" s="76">
        <v>11</v>
      </c>
      <c r="HT62" s="76">
        <v>2887</v>
      </c>
      <c r="HU62" s="76">
        <v>0</v>
      </c>
      <c r="HV62" s="76">
        <v>0</v>
      </c>
      <c r="HW62" s="76">
        <v>0</v>
      </c>
      <c r="HX62" s="76">
        <v>6</v>
      </c>
    </row>
    <row r="63" spans="1:232" x14ac:dyDescent="0.2">
      <c r="A63" s="74" t="s">
        <v>309</v>
      </c>
      <c r="B63" s="74" t="s">
        <v>310</v>
      </c>
      <c r="C63" s="75" t="s">
        <v>200</v>
      </c>
      <c r="D63" s="75">
        <v>12</v>
      </c>
      <c r="E63" s="76">
        <v>63635</v>
      </c>
      <c r="F63" s="76">
        <v>-173</v>
      </c>
      <c r="G63" s="76">
        <v>-45081</v>
      </c>
      <c r="H63" s="76">
        <v>18381</v>
      </c>
      <c r="I63" s="76">
        <v>507</v>
      </c>
      <c r="J63" s="76">
        <v>0</v>
      </c>
      <c r="K63" s="76">
        <v>0</v>
      </c>
      <c r="L63" s="76">
        <v>0</v>
      </c>
      <c r="M63" s="76">
        <v>621</v>
      </c>
      <c r="N63" s="76">
        <v>-8379</v>
      </c>
      <c r="O63" s="76">
        <v>0</v>
      </c>
      <c r="P63" s="76">
        <v>0</v>
      </c>
      <c r="Q63" s="76">
        <v>0</v>
      </c>
      <c r="R63" s="76">
        <v>0</v>
      </c>
      <c r="S63" s="76">
        <v>11130</v>
      </c>
      <c r="T63" s="76">
        <v>0</v>
      </c>
      <c r="U63" s="76">
        <v>11130</v>
      </c>
      <c r="V63" s="76">
        <v>0</v>
      </c>
      <c r="W63" s="76">
        <v>0</v>
      </c>
      <c r="X63" s="76">
        <v>0</v>
      </c>
      <c r="Y63" s="76">
        <v>0</v>
      </c>
      <c r="Z63" s="76">
        <v>11130</v>
      </c>
      <c r="AA63" s="76">
        <v>49167</v>
      </c>
      <c r="AB63" s="76">
        <v>5899</v>
      </c>
      <c r="AC63" s="76">
        <v>55066</v>
      </c>
      <c r="AD63" s="76">
        <v>4303</v>
      </c>
      <c r="AE63" s="76">
        <v>0</v>
      </c>
      <c r="AF63" s="76">
        <v>181</v>
      </c>
      <c r="AG63" s="76">
        <v>7</v>
      </c>
      <c r="AH63" s="76">
        <v>59557</v>
      </c>
      <c r="AI63" s="76">
        <v>7541</v>
      </c>
      <c r="AJ63" s="76">
        <v>5059</v>
      </c>
      <c r="AK63" s="76">
        <v>10547</v>
      </c>
      <c r="AL63" s="76">
        <v>4655</v>
      </c>
      <c r="AM63" s="76">
        <v>21</v>
      </c>
      <c r="AN63" s="76">
        <v>649</v>
      </c>
      <c r="AO63" s="76">
        <v>12786</v>
      </c>
      <c r="AP63" s="76">
        <v>0</v>
      </c>
      <c r="AQ63" s="76">
        <v>538</v>
      </c>
      <c r="AR63" s="76">
        <v>41796</v>
      </c>
      <c r="AS63" s="76">
        <v>17761</v>
      </c>
      <c r="AT63" s="76">
        <v>761</v>
      </c>
      <c r="AU63" s="76">
        <v>477898</v>
      </c>
      <c r="AV63" s="76">
        <v>0</v>
      </c>
      <c r="AW63" s="76">
        <v>10533</v>
      </c>
      <c r="AX63" s="76">
        <v>0</v>
      </c>
      <c r="AY63" s="76">
        <v>0</v>
      </c>
      <c r="AZ63" s="76">
        <v>6540</v>
      </c>
      <c r="BA63" s="76">
        <v>0</v>
      </c>
      <c r="BB63" s="76">
        <v>0</v>
      </c>
      <c r="BC63" s="76">
        <v>0</v>
      </c>
      <c r="BD63" s="76">
        <v>0</v>
      </c>
      <c r="BE63" s="76">
        <v>494971</v>
      </c>
      <c r="BF63" s="76">
        <v>25</v>
      </c>
      <c r="BG63" s="76">
        <v>0</v>
      </c>
      <c r="BH63" s="76">
        <v>13153</v>
      </c>
      <c r="BI63" s="76">
        <v>65815</v>
      </c>
      <c r="BJ63" s="76">
        <v>5327</v>
      </c>
      <c r="BK63" s="76">
        <v>84320</v>
      </c>
      <c r="BL63" s="76">
        <v>5588</v>
      </c>
      <c r="BM63" s="76">
        <v>0</v>
      </c>
      <c r="BN63" s="76">
        <v>5016</v>
      </c>
      <c r="BO63" s="76">
        <v>9258</v>
      </c>
      <c r="BP63" s="76">
        <v>19862</v>
      </c>
      <c r="BQ63" s="76">
        <v>64458</v>
      </c>
      <c r="BR63" s="76">
        <v>559429</v>
      </c>
      <c r="BS63" s="76">
        <v>193659</v>
      </c>
      <c r="BT63" s="76">
        <v>0</v>
      </c>
      <c r="BU63" s="76">
        <v>0</v>
      </c>
      <c r="BV63" s="76">
        <v>208095</v>
      </c>
      <c r="BW63" s="76">
        <v>0</v>
      </c>
      <c r="BX63" s="76">
        <v>0</v>
      </c>
      <c r="BY63" s="76">
        <v>6401</v>
      </c>
      <c r="BZ63" s="76">
        <v>408155</v>
      </c>
      <c r="CA63" s="76">
        <v>0</v>
      </c>
      <c r="CB63" s="76">
        <v>358</v>
      </c>
      <c r="CC63" s="76">
        <v>150916</v>
      </c>
      <c r="CD63" s="76">
        <v>150916</v>
      </c>
      <c r="CE63" s="76">
        <v>0</v>
      </c>
      <c r="CF63" s="76">
        <v>0</v>
      </c>
      <c r="CG63" s="76">
        <v>0</v>
      </c>
      <c r="CH63" s="76">
        <v>0</v>
      </c>
      <c r="CI63" s="76">
        <v>150916</v>
      </c>
      <c r="CJ63" s="76">
        <v>197</v>
      </c>
      <c r="CK63" s="76">
        <v>173</v>
      </c>
      <c r="CL63" s="76">
        <v>0</v>
      </c>
      <c r="CM63" s="76">
        <v>24</v>
      </c>
      <c r="CN63" s="76">
        <v>0</v>
      </c>
      <c r="CO63" s="76">
        <v>0</v>
      </c>
      <c r="CP63" s="76">
        <v>0</v>
      </c>
      <c r="CQ63" s="76">
        <v>0</v>
      </c>
      <c r="CR63" s="76">
        <v>72</v>
      </c>
      <c r="CS63" s="76">
        <v>0</v>
      </c>
      <c r="CT63" s="76">
        <v>65</v>
      </c>
      <c r="CU63" s="76">
        <v>7</v>
      </c>
      <c r="CV63" s="76">
        <v>0</v>
      </c>
      <c r="CW63" s="76">
        <v>0</v>
      </c>
      <c r="CX63" s="76">
        <v>0</v>
      </c>
      <c r="CY63" s="76">
        <v>0</v>
      </c>
      <c r="CZ63" s="76">
        <v>30</v>
      </c>
      <c r="DA63" s="76">
        <v>0</v>
      </c>
      <c r="DB63" s="76">
        <v>38</v>
      </c>
      <c r="DC63" s="76">
        <v>-8</v>
      </c>
      <c r="DD63" s="76">
        <v>299</v>
      </c>
      <c r="DE63" s="76">
        <v>173</v>
      </c>
      <c r="DF63" s="76">
        <v>103</v>
      </c>
      <c r="DG63" s="76">
        <v>23</v>
      </c>
      <c r="DH63" s="76">
        <v>0</v>
      </c>
      <c r="DI63" s="76">
        <v>0</v>
      </c>
      <c r="DJ63" s="76">
        <v>0</v>
      </c>
      <c r="DK63" s="76">
        <v>0</v>
      </c>
      <c r="DL63" s="76">
        <v>0</v>
      </c>
      <c r="DM63" s="76">
        <v>0</v>
      </c>
      <c r="DN63" s="76">
        <v>0</v>
      </c>
      <c r="DO63" s="76">
        <v>0</v>
      </c>
      <c r="DP63" s="76">
        <v>0</v>
      </c>
      <c r="DQ63" s="76">
        <v>0</v>
      </c>
      <c r="DR63" s="76">
        <v>0</v>
      </c>
      <c r="DS63" s="76">
        <v>0</v>
      </c>
      <c r="DT63" s="76">
        <v>0</v>
      </c>
      <c r="DU63" s="76">
        <v>0</v>
      </c>
      <c r="DV63" s="76">
        <v>0</v>
      </c>
      <c r="DW63" s="76">
        <v>0</v>
      </c>
      <c r="DX63" s="76">
        <v>0</v>
      </c>
      <c r="DY63" s="76">
        <v>0</v>
      </c>
      <c r="DZ63" s="76">
        <v>0</v>
      </c>
      <c r="EA63" s="76">
        <v>0</v>
      </c>
      <c r="EB63" s="76">
        <v>3779</v>
      </c>
      <c r="EC63" s="76">
        <v>0</v>
      </c>
      <c r="ED63" s="76">
        <v>3182</v>
      </c>
      <c r="EE63" s="76">
        <v>597</v>
      </c>
      <c r="EF63" s="76">
        <v>3779</v>
      </c>
      <c r="EG63" s="76">
        <v>0</v>
      </c>
      <c r="EH63" s="76">
        <v>3182</v>
      </c>
      <c r="EI63" s="76">
        <v>597</v>
      </c>
      <c r="EJ63" s="76">
        <v>4078</v>
      </c>
      <c r="EK63" s="76">
        <v>173</v>
      </c>
      <c r="EL63" s="76">
        <v>3285</v>
      </c>
      <c r="EM63" s="76">
        <v>620</v>
      </c>
      <c r="EN63" s="76">
        <v>2274</v>
      </c>
      <c r="EO63" s="76">
        <v>676</v>
      </c>
      <c r="EP63" s="76">
        <v>563</v>
      </c>
      <c r="EQ63" s="76">
        <v>676</v>
      </c>
      <c r="ER63" s="76">
        <v>570078</v>
      </c>
      <c r="ES63" s="76">
        <v>0</v>
      </c>
      <c r="ET63" s="76">
        <v>570078</v>
      </c>
      <c r="EU63" s="76">
        <v>8726</v>
      </c>
      <c r="EV63" s="76">
        <v>-5033</v>
      </c>
      <c r="EW63" s="76">
        <v>0</v>
      </c>
      <c r="EX63" s="76">
        <v>0</v>
      </c>
      <c r="EY63" s="76">
        <v>-131</v>
      </c>
      <c r="EZ63" s="76">
        <v>573640</v>
      </c>
      <c r="FA63" s="76">
        <v>86682</v>
      </c>
      <c r="FB63" s="76">
        <v>12296</v>
      </c>
      <c r="FC63" s="76">
        <v>0</v>
      </c>
      <c r="FD63" s="76">
        <v>0</v>
      </c>
      <c r="FE63" s="76">
        <v>-3236</v>
      </c>
      <c r="FF63" s="76">
        <v>0</v>
      </c>
      <c r="FG63" s="76">
        <v>0</v>
      </c>
      <c r="FH63" s="76">
        <v>95742</v>
      </c>
      <c r="FI63" s="76">
        <v>477898</v>
      </c>
      <c r="FJ63" s="76">
        <v>483396</v>
      </c>
      <c r="FK63" s="76">
        <v>846</v>
      </c>
      <c r="FL63" s="76">
        <v>636</v>
      </c>
      <c r="FM63" s="76">
        <v>210</v>
      </c>
      <c r="FN63" s="76">
        <v>127</v>
      </c>
      <c r="FO63" s="76">
        <v>108</v>
      </c>
      <c r="FP63" s="76">
        <v>19</v>
      </c>
      <c r="FQ63" s="76">
        <v>601</v>
      </c>
      <c r="FR63" s="76">
        <v>459</v>
      </c>
      <c r="FS63" s="76">
        <v>142</v>
      </c>
      <c r="FT63" s="76">
        <v>125</v>
      </c>
      <c r="FU63" s="76">
        <v>0</v>
      </c>
      <c r="FV63" s="76">
        <v>125</v>
      </c>
      <c r="FW63" s="76">
        <v>0</v>
      </c>
      <c r="FX63" s="76">
        <v>0</v>
      </c>
      <c r="FY63" s="76">
        <v>0</v>
      </c>
      <c r="FZ63" s="76">
        <v>11</v>
      </c>
      <c r="GA63" s="76">
        <v>0</v>
      </c>
      <c r="GB63" s="76">
        <v>11</v>
      </c>
      <c r="GC63" s="76">
        <v>1710</v>
      </c>
      <c r="GD63" s="76">
        <v>1203</v>
      </c>
      <c r="GE63" s="76">
        <v>507</v>
      </c>
      <c r="GF63" s="76">
        <v>2098</v>
      </c>
      <c r="GG63" s="76">
        <v>0</v>
      </c>
      <c r="GH63" s="76">
        <v>0</v>
      </c>
      <c r="GI63" s="76">
        <v>0</v>
      </c>
      <c r="GJ63" s="76">
        <v>0</v>
      </c>
      <c r="GK63" s="76">
        <v>3229</v>
      </c>
      <c r="GL63" s="76">
        <v>5327</v>
      </c>
      <c r="GM63" s="76">
        <v>0</v>
      </c>
      <c r="GN63" s="76">
        <v>1135</v>
      </c>
      <c r="GO63" s="76">
        <v>545</v>
      </c>
      <c r="GP63" s="76">
        <v>502</v>
      </c>
      <c r="GQ63" s="76">
        <v>91</v>
      </c>
      <c r="GR63" s="76">
        <v>5786</v>
      </c>
      <c r="GS63" s="76">
        <v>0</v>
      </c>
      <c r="GT63" s="76">
        <v>0</v>
      </c>
      <c r="GU63" s="76">
        <v>696</v>
      </c>
      <c r="GV63" s="76">
        <v>0</v>
      </c>
      <c r="GW63" s="76">
        <v>503</v>
      </c>
      <c r="GX63" s="76">
        <v>9258</v>
      </c>
      <c r="GY63" s="76">
        <v>290</v>
      </c>
      <c r="GZ63" s="76">
        <v>484</v>
      </c>
      <c r="HA63" s="76">
        <v>4928</v>
      </c>
      <c r="HB63" s="76">
        <v>699</v>
      </c>
      <c r="HC63" s="76">
        <v>6401</v>
      </c>
      <c r="HD63" s="76">
        <v>0</v>
      </c>
      <c r="HE63" s="76">
        <v>358</v>
      </c>
      <c r="HF63" s="76">
        <v>358</v>
      </c>
      <c r="HG63" s="76">
        <v>8385</v>
      </c>
      <c r="HH63" s="76">
        <v>22</v>
      </c>
      <c r="HI63" s="76">
        <v>0</v>
      </c>
      <c r="HJ63" s="76">
        <v>4</v>
      </c>
      <c r="HK63" s="76">
        <v>0</v>
      </c>
      <c r="HL63" s="76">
        <v>-32</v>
      </c>
      <c r="HM63" s="76">
        <v>8379</v>
      </c>
      <c r="HN63" s="76">
        <v>7043</v>
      </c>
      <c r="HO63" s="76">
        <v>12998</v>
      </c>
      <c r="HP63" s="76">
        <v>0</v>
      </c>
      <c r="HQ63" s="76">
        <v>48</v>
      </c>
      <c r="HR63" s="76">
        <v>-59</v>
      </c>
      <c r="HS63" s="76">
        <v>-171</v>
      </c>
      <c r="HT63" s="76">
        <v>12915</v>
      </c>
      <c r="HU63" s="76">
        <v>0</v>
      </c>
      <c r="HV63" s="76">
        <v>0</v>
      </c>
      <c r="HW63" s="76">
        <v>0</v>
      </c>
      <c r="HX63" s="76">
        <v>64</v>
      </c>
    </row>
    <row r="64" spans="1:232" x14ac:dyDescent="0.2">
      <c r="A64" s="74" t="s">
        <v>311</v>
      </c>
      <c r="B64" s="74" t="s">
        <v>312</v>
      </c>
      <c r="C64" s="75" t="s">
        <v>200</v>
      </c>
      <c r="D64" s="75">
        <v>12</v>
      </c>
      <c r="E64" s="76">
        <v>16956</v>
      </c>
      <c r="F64" s="76">
        <v>0</v>
      </c>
      <c r="G64" s="76">
        <v>-11219</v>
      </c>
      <c r="H64" s="76">
        <v>5737</v>
      </c>
      <c r="I64" s="76">
        <v>25</v>
      </c>
      <c r="J64" s="76">
        <v>0</v>
      </c>
      <c r="K64" s="76">
        <v>0</v>
      </c>
      <c r="L64" s="76">
        <v>0</v>
      </c>
      <c r="M64" s="76">
        <v>1</v>
      </c>
      <c r="N64" s="76">
        <v>-1026</v>
      </c>
      <c r="O64" s="76">
        <v>-4</v>
      </c>
      <c r="P64" s="76">
        <v>0</v>
      </c>
      <c r="Q64" s="76">
        <v>0</v>
      </c>
      <c r="R64" s="76">
        <v>0</v>
      </c>
      <c r="S64" s="76">
        <v>4733</v>
      </c>
      <c r="T64" s="76">
        <v>0</v>
      </c>
      <c r="U64" s="76">
        <v>4733</v>
      </c>
      <c r="V64" s="76">
        <v>0</v>
      </c>
      <c r="W64" s="76">
        <v>0</v>
      </c>
      <c r="X64" s="76">
        <v>0</v>
      </c>
      <c r="Y64" s="76">
        <v>0</v>
      </c>
      <c r="Z64" s="76">
        <v>4733</v>
      </c>
      <c r="AA64" s="76">
        <v>14742</v>
      </c>
      <c r="AB64" s="76">
        <v>1144</v>
      </c>
      <c r="AC64" s="76">
        <v>15886</v>
      </c>
      <c r="AD64" s="76">
        <v>494</v>
      </c>
      <c r="AE64" s="76">
        <v>0</v>
      </c>
      <c r="AF64" s="76">
        <v>0</v>
      </c>
      <c r="AG64" s="76">
        <v>117</v>
      </c>
      <c r="AH64" s="76">
        <v>16497</v>
      </c>
      <c r="AI64" s="76">
        <v>1774</v>
      </c>
      <c r="AJ64" s="76">
        <v>1182</v>
      </c>
      <c r="AK64" s="76">
        <v>1772</v>
      </c>
      <c r="AL64" s="76">
        <v>621</v>
      </c>
      <c r="AM64" s="76">
        <v>536</v>
      </c>
      <c r="AN64" s="76">
        <v>73</v>
      </c>
      <c r="AO64" s="76">
        <v>1302</v>
      </c>
      <c r="AP64" s="76">
        <v>0</v>
      </c>
      <c r="AQ64" s="76">
        <v>3503</v>
      </c>
      <c r="AR64" s="76">
        <v>10763</v>
      </c>
      <c r="AS64" s="76">
        <v>5734</v>
      </c>
      <c r="AT64" s="76">
        <v>98</v>
      </c>
      <c r="AU64" s="76">
        <v>85371</v>
      </c>
      <c r="AV64" s="76">
        <v>0</v>
      </c>
      <c r="AW64" s="76">
        <v>660</v>
      </c>
      <c r="AX64" s="76">
        <v>0</v>
      </c>
      <c r="AY64" s="76">
        <v>0</v>
      </c>
      <c r="AZ64" s="76">
        <v>264</v>
      </c>
      <c r="BA64" s="76">
        <v>0</v>
      </c>
      <c r="BB64" s="76">
        <v>0</v>
      </c>
      <c r="BC64" s="76">
        <v>0</v>
      </c>
      <c r="BD64" s="76">
        <v>0</v>
      </c>
      <c r="BE64" s="76">
        <v>86295</v>
      </c>
      <c r="BF64" s="76">
        <v>727</v>
      </c>
      <c r="BG64" s="76">
        <v>586</v>
      </c>
      <c r="BH64" s="76">
        <v>4575</v>
      </c>
      <c r="BI64" s="76">
        <v>80</v>
      </c>
      <c r="BJ64" s="76">
        <v>621</v>
      </c>
      <c r="BK64" s="76">
        <v>6589</v>
      </c>
      <c r="BL64" s="76">
        <v>3714</v>
      </c>
      <c r="BM64" s="76">
        <v>0</v>
      </c>
      <c r="BN64" s="76">
        <v>494</v>
      </c>
      <c r="BO64" s="76">
        <v>2824</v>
      </c>
      <c r="BP64" s="76">
        <v>7032</v>
      </c>
      <c r="BQ64" s="76">
        <v>-443</v>
      </c>
      <c r="BR64" s="76">
        <v>85852</v>
      </c>
      <c r="BS64" s="76">
        <v>17903</v>
      </c>
      <c r="BT64" s="76">
        <v>0</v>
      </c>
      <c r="BU64" s="76">
        <v>0</v>
      </c>
      <c r="BV64" s="76">
        <v>36896</v>
      </c>
      <c r="BW64" s="76">
        <v>0</v>
      </c>
      <c r="BX64" s="76">
        <v>0</v>
      </c>
      <c r="BY64" s="76">
        <v>845</v>
      </c>
      <c r="BZ64" s="76">
        <v>55644</v>
      </c>
      <c r="CA64" s="76">
        <v>0</v>
      </c>
      <c r="CB64" s="76">
        <v>0</v>
      </c>
      <c r="CC64" s="76">
        <v>30208</v>
      </c>
      <c r="CD64" s="76">
        <v>30208</v>
      </c>
      <c r="CE64" s="76">
        <v>0</v>
      </c>
      <c r="CF64" s="76">
        <v>0</v>
      </c>
      <c r="CG64" s="76">
        <v>0</v>
      </c>
      <c r="CH64" s="76">
        <v>0</v>
      </c>
      <c r="CI64" s="76">
        <v>30208</v>
      </c>
      <c r="CJ64" s="76">
        <v>0</v>
      </c>
      <c r="CK64" s="76">
        <v>0</v>
      </c>
      <c r="CL64" s="76">
        <v>19</v>
      </c>
      <c r="CM64" s="76">
        <v>-19</v>
      </c>
      <c r="CN64" s="76">
        <v>88</v>
      </c>
      <c r="CO64" s="76">
        <v>0</v>
      </c>
      <c r="CP64" s="76">
        <v>74</v>
      </c>
      <c r="CQ64" s="76">
        <v>14</v>
      </c>
      <c r="CR64" s="76">
        <v>0</v>
      </c>
      <c r="CS64" s="76">
        <v>0</v>
      </c>
      <c r="CT64" s="76">
        <v>0</v>
      </c>
      <c r="CU64" s="76">
        <v>0</v>
      </c>
      <c r="CV64" s="76">
        <v>0</v>
      </c>
      <c r="CW64" s="76">
        <v>0</v>
      </c>
      <c r="CX64" s="76">
        <v>0</v>
      </c>
      <c r="CY64" s="76">
        <v>0</v>
      </c>
      <c r="CZ64" s="76">
        <v>0</v>
      </c>
      <c r="DA64" s="76">
        <v>0</v>
      </c>
      <c r="DB64" s="76">
        <v>0</v>
      </c>
      <c r="DC64" s="76">
        <v>0</v>
      </c>
      <c r="DD64" s="76">
        <v>88</v>
      </c>
      <c r="DE64" s="76">
        <v>0</v>
      </c>
      <c r="DF64" s="76">
        <v>93</v>
      </c>
      <c r="DG64" s="76">
        <v>-5</v>
      </c>
      <c r="DH64" s="76">
        <v>0</v>
      </c>
      <c r="DI64" s="76">
        <v>0</v>
      </c>
      <c r="DJ64" s="76">
        <v>0</v>
      </c>
      <c r="DK64" s="76">
        <v>0</v>
      </c>
      <c r="DL64" s="76">
        <v>0</v>
      </c>
      <c r="DM64" s="76">
        <v>0</v>
      </c>
      <c r="DN64" s="76">
        <v>0</v>
      </c>
      <c r="DO64" s="76">
        <v>0</v>
      </c>
      <c r="DP64" s="76">
        <v>0</v>
      </c>
      <c r="DQ64" s="76">
        <v>0</v>
      </c>
      <c r="DR64" s="76">
        <v>0</v>
      </c>
      <c r="DS64" s="76">
        <v>0</v>
      </c>
      <c r="DT64" s="76">
        <v>0</v>
      </c>
      <c r="DU64" s="76">
        <v>0</v>
      </c>
      <c r="DV64" s="76">
        <v>0</v>
      </c>
      <c r="DW64" s="76">
        <v>0</v>
      </c>
      <c r="DX64" s="76">
        <v>162</v>
      </c>
      <c r="DY64" s="76">
        <v>0</v>
      </c>
      <c r="DZ64" s="76">
        <v>162</v>
      </c>
      <c r="EA64" s="76">
        <v>0</v>
      </c>
      <c r="EB64" s="76">
        <v>209</v>
      </c>
      <c r="EC64" s="76">
        <v>0</v>
      </c>
      <c r="ED64" s="76">
        <v>201</v>
      </c>
      <c r="EE64" s="76">
        <v>8</v>
      </c>
      <c r="EF64" s="76">
        <v>371</v>
      </c>
      <c r="EG64" s="76">
        <v>0</v>
      </c>
      <c r="EH64" s="76">
        <v>363</v>
      </c>
      <c r="EI64" s="76">
        <v>8</v>
      </c>
      <c r="EJ64" s="76">
        <v>459</v>
      </c>
      <c r="EK64" s="76">
        <v>0</v>
      </c>
      <c r="EL64" s="76">
        <v>456</v>
      </c>
      <c r="EM64" s="76">
        <v>3</v>
      </c>
      <c r="EN64" s="76">
        <v>546</v>
      </c>
      <c r="EO64" s="76">
        <v>65</v>
      </c>
      <c r="EP64" s="76">
        <v>117</v>
      </c>
      <c r="EQ64" s="76">
        <v>65</v>
      </c>
      <c r="ER64" s="76">
        <v>92907</v>
      </c>
      <c r="ES64" s="76">
        <v>0</v>
      </c>
      <c r="ET64" s="76">
        <v>92907</v>
      </c>
      <c r="EU64" s="76">
        <v>6065</v>
      </c>
      <c r="EV64" s="76">
        <v>-53</v>
      </c>
      <c r="EW64" s="76">
        <v>0</v>
      </c>
      <c r="EX64" s="76">
        <v>0</v>
      </c>
      <c r="EY64" s="76">
        <v>51</v>
      </c>
      <c r="EZ64" s="76">
        <v>98970</v>
      </c>
      <c r="FA64" s="76">
        <v>12292</v>
      </c>
      <c r="FB64" s="76">
        <v>1302</v>
      </c>
      <c r="FC64" s="76">
        <v>0</v>
      </c>
      <c r="FD64" s="76">
        <v>0</v>
      </c>
      <c r="FE64" s="76">
        <v>-1</v>
      </c>
      <c r="FF64" s="76">
        <v>0</v>
      </c>
      <c r="FG64" s="76">
        <v>6</v>
      </c>
      <c r="FH64" s="76">
        <v>13599</v>
      </c>
      <c r="FI64" s="76">
        <v>85371</v>
      </c>
      <c r="FJ64" s="76">
        <v>80615</v>
      </c>
      <c r="FK64" s="76">
        <v>81</v>
      </c>
      <c r="FL64" s="76">
        <v>105</v>
      </c>
      <c r="FM64" s="76">
        <v>-24</v>
      </c>
      <c r="FN64" s="76">
        <v>0</v>
      </c>
      <c r="FO64" s="76">
        <v>0</v>
      </c>
      <c r="FP64" s="76">
        <v>0</v>
      </c>
      <c r="FQ64" s="76">
        <v>0</v>
      </c>
      <c r="FR64" s="76">
        <v>0</v>
      </c>
      <c r="FS64" s="76">
        <v>0</v>
      </c>
      <c r="FT64" s="76">
        <v>49</v>
      </c>
      <c r="FU64" s="76">
        <v>0</v>
      </c>
      <c r="FV64" s="76">
        <v>49</v>
      </c>
      <c r="FW64" s="76">
        <v>0</v>
      </c>
      <c r="FX64" s="76">
        <v>0</v>
      </c>
      <c r="FY64" s="76">
        <v>0</v>
      </c>
      <c r="FZ64" s="76">
        <v>0</v>
      </c>
      <c r="GA64" s="76">
        <v>0</v>
      </c>
      <c r="GB64" s="76">
        <v>0</v>
      </c>
      <c r="GC64" s="76">
        <v>130</v>
      </c>
      <c r="GD64" s="76">
        <v>105</v>
      </c>
      <c r="GE64" s="76">
        <v>25</v>
      </c>
      <c r="GF64" s="76">
        <v>549</v>
      </c>
      <c r="GG64" s="76">
        <v>0</v>
      </c>
      <c r="GH64" s="76">
        <v>0</v>
      </c>
      <c r="GI64" s="76">
        <v>0</v>
      </c>
      <c r="GJ64" s="76">
        <v>0</v>
      </c>
      <c r="GK64" s="76">
        <v>72</v>
      </c>
      <c r="GL64" s="76">
        <v>621</v>
      </c>
      <c r="GM64" s="76">
        <v>199</v>
      </c>
      <c r="GN64" s="76">
        <v>105</v>
      </c>
      <c r="GO64" s="76">
        <v>0</v>
      </c>
      <c r="GP64" s="76">
        <v>0</v>
      </c>
      <c r="GQ64" s="76">
        <v>0</v>
      </c>
      <c r="GR64" s="76">
        <v>1599</v>
      </c>
      <c r="GS64" s="76">
        <v>0</v>
      </c>
      <c r="GT64" s="76">
        <v>0</v>
      </c>
      <c r="GU64" s="76">
        <v>127</v>
      </c>
      <c r="GV64" s="76">
        <v>0</v>
      </c>
      <c r="GW64" s="76">
        <v>794</v>
      </c>
      <c r="GX64" s="76">
        <v>2824</v>
      </c>
      <c r="GY64" s="76">
        <v>0</v>
      </c>
      <c r="GZ64" s="76">
        <v>0</v>
      </c>
      <c r="HA64" s="76">
        <v>845</v>
      </c>
      <c r="HB64" s="76">
        <v>0</v>
      </c>
      <c r="HC64" s="76">
        <v>845</v>
      </c>
      <c r="HD64" s="76">
        <v>0</v>
      </c>
      <c r="HE64" s="76">
        <v>0</v>
      </c>
      <c r="HF64" s="76">
        <v>0</v>
      </c>
      <c r="HG64" s="76">
        <v>1101</v>
      </c>
      <c r="HH64" s="76">
        <v>0</v>
      </c>
      <c r="HI64" s="76">
        <v>21</v>
      </c>
      <c r="HJ64" s="76">
        <v>0</v>
      </c>
      <c r="HK64" s="76">
        <v>0</v>
      </c>
      <c r="HL64" s="76">
        <v>-96</v>
      </c>
      <c r="HM64" s="76">
        <v>1026</v>
      </c>
      <c r="HN64" s="76">
        <v>647</v>
      </c>
      <c r="HO64" s="76">
        <v>1309</v>
      </c>
      <c r="HP64" s="76">
        <v>0</v>
      </c>
      <c r="HQ64" s="76">
        <v>1</v>
      </c>
      <c r="HR64" s="76">
        <v>-6</v>
      </c>
      <c r="HS64" s="76">
        <v>11</v>
      </c>
      <c r="HT64" s="76">
        <v>3194</v>
      </c>
      <c r="HU64" s="76">
        <v>0</v>
      </c>
      <c r="HV64" s="76">
        <v>0</v>
      </c>
      <c r="HW64" s="76">
        <v>2</v>
      </c>
      <c r="HX64" s="76">
        <v>31</v>
      </c>
    </row>
    <row r="65" spans="1:232" x14ac:dyDescent="0.2">
      <c r="A65" s="74" t="s">
        <v>313</v>
      </c>
      <c r="B65" s="74" t="s">
        <v>314</v>
      </c>
      <c r="C65" s="75" t="s">
        <v>200</v>
      </c>
      <c r="D65" s="75">
        <v>12</v>
      </c>
      <c r="E65" s="76">
        <v>29765</v>
      </c>
      <c r="F65" s="76">
        <v>-1764</v>
      </c>
      <c r="G65" s="76">
        <v>-15156</v>
      </c>
      <c r="H65" s="76">
        <v>12845</v>
      </c>
      <c r="I65" s="76">
        <v>1509</v>
      </c>
      <c r="J65" s="76">
        <v>0</v>
      </c>
      <c r="K65" s="76">
        <v>0</v>
      </c>
      <c r="L65" s="76">
        <v>0</v>
      </c>
      <c r="M65" s="76">
        <v>67</v>
      </c>
      <c r="N65" s="76">
        <v>-8639</v>
      </c>
      <c r="O65" s="76">
        <v>0</v>
      </c>
      <c r="P65" s="76">
        <v>0</v>
      </c>
      <c r="Q65" s="76">
        <v>0</v>
      </c>
      <c r="R65" s="76">
        <v>0</v>
      </c>
      <c r="S65" s="76">
        <v>5782</v>
      </c>
      <c r="T65" s="76">
        <v>0</v>
      </c>
      <c r="U65" s="76">
        <v>5782</v>
      </c>
      <c r="V65" s="76">
        <v>0</v>
      </c>
      <c r="W65" s="76">
        <v>-1156</v>
      </c>
      <c r="X65" s="76">
        <v>0</v>
      </c>
      <c r="Y65" s="76">
        <v>0</v>
      </c>
      <c r="Z65" s="76">
        <v>4626</v>
      </c>
      <c r="AA65" s="76">
        <v>25434</v>
      </c>
      <c r="AB65" s="76">
        <v>615</v>
      </c>
      <c r="AC65" s="76">
        <v>26049</v>
      </c>
      <c r="AD65" s="76">
        <v>0</v>
      </c>
      <c r="AE65" s="76">
        <v>0</v>
      </c>
      <c r="AF65" s="76">
        <v>0</v>
      </c>
      <c r="AG65" s="76">
        <v>0</v>
      </c>
      <c r="AH65" s="76">
        <v>26049</v>
      </c>
      <c r="AI65" s="76">
        <v>4579</v>
      </c>
      <c r="AJ65" s="76">
        <v>833</v>
      </c>
      <c r="AK65" s="76">
        <v>1394</v>
      </c>
      <c r="AL65" s="76">
        <v>1950</v>
      </c>
      <c r="AM65" s="76">
        <v>718</v>
      </c>
      <c r="AN65" s="76">
        <v>167</v>
      </c>
      <c r="AO65" s="76">
        <v>4825</v>
      </c>
      <c r="AP65" s="76">
        <v>0</v>
      </c>
      <c r="AQ65" s="76">
        <v>0</v>
      </c>
      <c r="AR65" s="76">
        <v>14466</v>
      </c>
      <c r="AS65" s="76">
        <v>11583</v>
      </c>
      <c r="AT65" s="76">
        <v>147</v>
      </c>
      <c r="AU65" s="76">
        <v>278261</v>
      </c>
      <c r="AV65" s="76">
        <v>0</v>
      </c>
      <c r="AW65" s="76">
        <v>3397</v>
      </c>
      <c r="AX65" s="76">
        <v>0</v>
      </c>
      <c r="AY65" s="76">
        <v>0</v>
      </c>
      <c r="AZ65" s="76">
        <v>0</v>
      </c>
      <c r="BA65" s="76">
        <v>0</v>
      </c>
      <c r="BB65" s="76">
        <v>0</v>
      </c>
      <c r="BC65" s="76">
        <v>0</v>
      </c>
      <c r="BD65" s="76">
        <v>0</v>
      </c>
      <c r="BE65" s="76">
        <v>281658</v>
      </c>
      <c r="BF65" s="76">
        <v>1047</v>
      </c>
      <c r="BG65" s="76">
        <v>1454</v>
      </c>
      <c r="BH65" s="76">
        <v>19497</v>
      </c>
      <c r="BI65" s="76">
        <v>0</v>
      </c>
      <c r="BJ65" s="76">
        <v>183</v>
      </c>
      <c r="BK65" s="76">
        <v>22181</v>
      </c>
      <c r="BL65" s="76">
        <v>0</v>
      </c>
      <c r="BM65" s="76">
        <v>0</v>
      </c>
      <c r="BN65" s="76">
        <v>0</v>
      </c>
      <c r="BO65" s="76">
        <v>5572</v>
      </c>
      <c r="BP65" s="76">
        <v>5572</v>
      </c>
      <c r="BQ65" s="76">
        <v>16609</v>
      </c>
      <c r="BR65" s="76">
        <v>298267</v>
      </c>
      <c r="BS65" s="76">
        <v>179425</v>
      </c>
      <c r="BT65" s="76">
        <v>0</v>
      </c>
      <c r="BU65" s="76">
        <v>0</v>
      </c>
      <c r="BV65" s="76">
        <v>917</v>
      </c>
      <c r="BW65" s="76">
        <v>0</v>
      </c>
      <c r="BX65" s="76">
        <v>0</v>
      </c>
      <c r="BY65" s="76">
        <v>243</v>
      </c>
      <c r="BZ65" s="76">
        <v>180585</v>
      </c>
      <c r="CA65" s="76">
        <v>4737</v>
      </c>
      <c r="CB65" s="76">
        <v>271</v>
      </c>
      <c r="CC65" s="76">
        <v>112674</v>
      </c>
      <c r="CD65" s="76">
        <v>41765</v>
      </c>
      <c r="CE65" s="76">
        <v>68726</v>
      </c>
      <c r="CF65" s="76">
        <v>2183</v>
      </c>
      <c r="CG65" s="76">
        <v>0</v>
      </c>
      <c r="CH65" s="76">
        <v>0</v>
      </c>
      <c r="CI65" s="76">
        <v>112674</v>
      </c>
      <c r="CJ65" s="76">
        <v>2464</v>
      </c>
      <c r="CK65" s="76">
        <v>1764</v>
      </c>
      <c r="CL65" s="76">
        <v>0</v>
      </c>
      <c r="CM65" s="76">
        <v>700</v>
      </c>
      <c r="CN65" s="76">
        <v>0</v>
      </c>
      <c r="CO65" s="76">
        <v>0</v>
      </c>
      <c r="CP65" s="76">
        <v>0</v>
      </c>
      <c r="CQ65" s="76">
        <v>0</v>
      </c>
      <c r="CR65" s="76">
        <v>0</v>
      </c>
      <c r="CS65" s="76">
        <v>0</v>
      </c>
      <c r="CT65" s="76">
        <v>0</v>
      </c>
      <c r="CU65" s="76">
        <v>0</v>
      </c>
      <c r="CV65" s="76">
        <v>0</v>
      </c>
      <c r="CW65" s="76">
        <v>0</v>
      </c>
      <c r="CX65" s="76">
        <v>0</v>
      </c>
      <c r="CY65" s="76">
        <v>0</v>
      </c>
      <c r="CZ65" s="76">
        <v>1252</v>
      </c>
      <c r="DA65" s="76">
        <v>0</v>
      </c>
      <c r="DB65" s="76">
        <v>690</v>
      </c>
      <c r="DC65" s="76">
        <v>562</v>
      </c>
      <c r="DD65" s="76">
        <v>3716</v>
      </c>
      <c r="DE65" s="76">
        <v>1764</v>
      </c>
      <c r="DF65" s="76">
        <v>690</v>
      </c>
      <c r="DG65" s="76">
        <v>1262</v>
      </c>
      <c r="DH65" s="76">
        <v>0</v>
      </c>
      <c r="DI65" s="76">
        <v>0</v>
      </c>
      <c r="DJ65" s="76">
        <v>0</v>
      </c>
      <c r="DK65" s="76">
        <v>0</v>
      </c>
      <c r="DL65" s="76">
        <v>0</v>
      </c>
      <c r="DM65" s="76">
        <v>0</v>
      </c>
      <c r="DN65" s="76">
        <v>0</v>
      </c>
      <c r="DO65" s="76">
        <v>0</v>
      </c>
      <c r="DP65" s="76">
        <v>0</v>
      </c>
      <c r="DQ65" s="76">
        <v>0</v>
      </c>
      <c r="DR65" s="76">
        <v>0</v>
      </c>
      <c r="DS65" s="76">
        <v>0</v>
      </c>
      <c r="DT65" s="76">
        <v>0</v>
      </c>
      <c r="DU65" s="76">
        <v>0</v>
      </c>
      <c r="DV65" s="76">
        <v>0</v>
      </c>
      <c r="DW65" s="76">
        <v>0</v>
      </c>
      <c r="DX65" s="76">
        <v>0</v>
      </c>
      <c r="DY65" s="76">
        <v>0</v>
      </c>
      <c r="DZ65" s="76">
        <v>0</v>
      </c>
      <c r="EA65" s="76">
        <v>0</v>
      </c>
      <c r="EB65" s="76">
        <v>0</v>
      </c>
      <c r="EC65" s="76">
        <v>0</v>
      </c>
      <c r="ED65" s="76">
        <v>0</v>
      </c>
      <c r="EE65" s="76">
        <v>0</v>
      </c>
      <c r="EF65" s="76">
        <v>0</v>
      </c>
      <c r="EG65" s="76">
        <v>0</v>
      </c>
      <c r="EH65" s="76">
        <v>0</v>
      </c>
      <c r="EI65" s="76">
        <v>0</v>
      </c>
      <c r="EJ65" s="76">
        <v>3716</v>
      </c>
      <c r="EK65" s="76">
        <v>1764</v>
      </c>
      <c r="EL65" s="76">
        <v>690</v>
      </c>
      <c r="EM65" s="76">
        <v>1262</v>
      </c>
      <c r="EN65" s="76">
        <v>886</v>
      </c>
      <c r="EO65" s="76">
        <v>559</v>
      </c>
      <c r="EP65" s="76">
        <v>245</v>
      </c>
      <c r="EQ65" s="76">
        <v>559</v>
      </c>
      <c r="ER65" s="76">
        <v>278042</v>
      </c>
      <c r="ES65" s="76">
        <v>0</v>
      </c>
      <c r="ET65" s="76">
        <v>278042</v>
      </c>
      <c r="EU65" s="76">
        <v>16318</v>
      </c>
      <c r="EV65" s="76">
        <v>-2212</v>
      </c>
      <c r="EW65" s="76">
        <v>0</v>
      </c>
      <c r="EX65" s="76">
        <v>0</v>
      </c>
      <c r="EY65" s="76">
        <v>0</v>
      </c>
      <c r="EZ65" s="76">
        <v>292148</v>
      </c>
      <c r="FA65" s="76">
        <v>9128</v>
      </c>
      <c r="FB65" s="76">
        <v>4825</v>
      </c>
      <c r="FC65" s="76">
        <v>0</v>
      </c>
      <c r="FD65" s="76">
        <v>0</v>
      </c>
      <c r="FE65" s="76">
        <v>-66</v>
      </c>
      <c r="FF65" s="76">
        <v>0</v>
      </c>
      <c r="FG65" s="76">
        <v>0</v>
      </c>
      <c r="FH65" s="76">
        <v>13887</v>
      </c>
      <c r="FI65" s="76">
        <v>278261</v>
      </c>
      <c r="FJ65" s="76">
        <v>268914</v>
      </c>
      <c r="FK65" s="76">
        <v>609</v>
      </c>
      <c r="FL65" s="76">
        <v>263</v>
      </c>
      <c r="FM65" s="76">
        <v>346</v>
      </c>
      <c r="FN65" s="76">
        <v>346</v>
      </c>
      <c r="FO65" s="76">
        <v>506</v>
      </c>
      <c r="FP65" s="76">
        <v>-160</v>
      </c>
      <c r="FQ65" s="76">
        <v>0</v>
      </c>
      <c r="FR65" s="76">
        <v>0</v>
      </c>
      <c r="FS65" s="76">
        <v>0</v>
      </c>
      <c r="FT65" s="76">
        <v>1058</v>
      </c>
      <c r="FU65" s="76">
        <v>226</v>
      </c>
      <c r="FV65" s="76">
        <v>832</v>
      </c>
      <c r="FW65" s="76">
        <v>2017</v>
      </c>
      <c r="FX65" s="76">
        <v>1524</v>
      </c>
      <c r="FY65" s="76">
        <v>493</v>
      </c>
      <c r="FZ65" s="76">
        <v>0</v>
      </c>
      <c r="GA65" s="76">
        <v>2</v>
      </c>
      <c r="GB65" s="76">
        <v>-2</v>
      </c>
      <c r="GC65" s="76">
        <v>4030</v>
      </c>
      <c r="GD65" s="76">
        <v>2521</v>
      </c>
      <c r="GE65" s="76">
        <v>1509</v>
      </c>
      <c r="GF65" s="76">
        <v>31</v>
      </c>
      <c r="GG65" s="76">
        <v>0</v>
      </c>
      <c r="GH65" s="76">
        <v>0</v>
      </c>
      <c r="GI65" s="76">
        <v>0</v>
      </c>
      <c r="GJ65" s="76">
        <v>0</v>
      </c>
      <c r="GK65" s="76">
        <v>152</v>
      </c>
      <c r="GL65" s="76">
        <v>183</v>
      </c>
      <c r="GM65" s="76">
        <v>1181</v>
      </c>
      <c r="GN65" s="76">
        <v>420</v>
      </c>
      <c r="GO65" s="76">
        <v>28</v>
      </c>
      <c r="GP65" s="76">
        <v>0</v>
      </c>
      <c r="GQ65" s="76">
        <v>0</v>
      </c>
      <c r="GR65" s="76">
        <v>3073</v>
      </c>
      <c r="GS65" s="76">
        <v>0</v>
      </c>
      <c r="GT65" s="76">
        <v>0</v>
      </c>
      <c r="GU65" s="76">
        <v>35</v>
      </c>
      <c r="GV65" s="76">
        <v>0</v>
      </c>
      <c r="GW65" s="76">
        <v>835</v>
      </c>
      <c r="GX65" s="76">
        <v>5572</v>
      </c>
      <c r="GY65" s="76">
        <v>40</v>
      </c>
      <c r="GZ65" s="76">
        <v>0</v>
      </c>
      <c r="HA65" s="76">
        <v>203</v>
      </c>
      <c r="HB65" s="76">
        <v>0</v>
      </c>
      <c r="HC65" s="76">
        <v>243</v>
      </c>
      <c r="HD65" s="76">
        <v>0</v>
      </c>
      <c r="HE65" s="76">
        <v>271</v>
      </c>
      <c r="HF65" s="76">
        <v>271</v>
      </c>
      <c r="HG65" s="76">
        <v>9175</v>
      </c>
      <c r="HH65" s="76">
        <v>144</v>
      </c>
      <c r="HI65" s="76">
        <v>149</v>
      </c>
      <c r="HJ65" s="76">
        <v>0</v>
      </c>
      <c r="HK65" s="76">
        <v>0</v>
      </c>
      <c r="HL65" s="76">
        <v>-829</v>
      </c>
      <c r="HM65" s="76">
        <v>8639</v>
      </c>
      <c r="HN65" s="76">
        <v>2363</v>
      </c>
      <c r="HO65" s="76">
        <v>5010</v>
      </c>
      <c r="HP65" s="76">
        <v>0</v>
      </c>
      <c r="HQ65" s="76">
        <v>64</v>
      </c>
      <c r="HR65" s="76">
        <v>-17</v>
      </c>
      <c r="HS65" s="76">
        <v>-23</v>
      </c>
      <c r="HT65" s="76">
        <v>4671</v>
      </c>
      <c r="HU65" s="76">
        <v>0</v>
      </c>
      <c r="HV65" s="76">
        <v>0</v>
      </c>
      <c r="HW65" s="76">
        <v>0</v>
      </c>
      <c r="HX65" s="76">
        <v>0</v>
      </c>
    </row>
    <row r="66" spans="1:232" x14ac:dyDescent="0.2">
      <c r="A66" s="71" t="s">
        <v>53</v>
      </c>
      <c r="B66" s="71" t="s">
        <v>52</v>
      </c>
      <c r="C66" s="72" t="s">
        <v>200</v>
      </c>
      <c r="D66" s="72">
        <v>12</v>
      </c>
      <c r="E66" s="73">
        <v>65063</v>
      </c>
      <c r="F66" s="73">
        <v>-7923</v>
      </c>
      <c r="G66" s="73">
        <v>-35671</v>
      </c>
      <c r="H66" s="73">
        <v>21469</v>
      </c>
      <c r="I66" s="73">
        <v>-551</v>
      </c>
      <c r="J66" s="73">
        <v>127</v>
      </c>
      <c r="K66" s="73">
        <v>0</v>
      </c>
      <c r="L66" s="73">
        <v>0</v>
      </c>
      <c r="M66" s="73">
        <v>321</v>
      </c>
      <c r="N66" s="73">
        <v>-11334</v>
      </c>
      <c r="O66" s="73">
        <v>1717</v>
      </c>
      <c r="P66" s="73">
        <v>0</v>
      </c>
      <c r="Q66" s="73">
        <v>0</v>
      </c>
      <c r="R66" s="73">
        <v>0</v>
      </c>
      <c r="S66" s="73">
        <v>11749</v>
      </c>
      <c r="T66" s="73">
        <v>0</v>
      </c>
      <c r="U66" s="73">
        <v>11749</v>
      </c>
      <c r="V66" s="73">
        <v>0</v>
      </c>
      <c r="W66" s="73">
        <v>1200</v>
      </c>
      <c r="X66" s="73">
        <v>0</v>
      </c>
      <c r="Y66" s="73">
        <v>0</v>
      </c>
      <c r="Z66" s="73">
        <v>12949</v>
      </c>
      <c r="AA66" s="73">
        <v>47487</v>
      </c>
      <c r="AB66" s="73">
        <v>2997</v>
      </c>
      <c r="AC66" s="73">
        <v>50484</v>
      </c>
      <c r="AD66" s="73">
        <v>422</v>
      </c>
      <c r="AE66" s="73">
        <v>0</v>
      </c>
      <c r="AF66" s="73">
        <v>0</v>
      </c>
      <c r="AG66" s="73">
        <v>0</v>
      </c>
      <c r="AH66" s="73">
        <v>50906</v>
      </c>
      <c r="AI66" s="73">
        <v>9242</v>
      </c>
      <c r="AJ66" s="73">
        <v>3631</v>
      </c>
      <c r="AK66" s="73">
        <v>6105</v>
      </c>
      <c r="AL66" s="73">
        <v>3608</v>
      </c>
      <c r="AM66" s="73">
        <v>0</v>
      </c>
      <c r="AN66" s="73">
        <v>403</v>
      </c>
      <c r="AO66" s="73">
        <v>10091</v>
      </c>
      <c r="AP66" s="73">
        <v>0</v>
      </c>
      <c r="AQ66" s="73">
        <v>0</v>
      </c>
      <c r="AR66" s="73">
        <v>33080</v>
      </c>
      <c r="AS66" s="73">
        <v>17826</v>
      </c>
      <c r="AT66" s="73">
        <v>275</v>
      </c>
      <c r="AU66" s="73">
        <v>479596</v>
      </c>
      <c r="AV66" s="73">
        <v>0</v>
      </c>
      <c r="AW66" s="73">
        <v>3905</v>
      </c>
      <c r="AX66" s="73">
        <v>78</v>
      </c>
      <c r="AY66" s="73">
        <v>0</v>
      </c>
      <c r="AZ66" s="73">
        <v>15834</v>
      </c>
      <c r="BA66" s="73">
        <v>0</v>
      </c>
      <c r="BB66" s="73">
        <v>0</v>
      </c>
      <c r="BC66" s="73">
        <v>12</v>
      </c>
      <c r="BD66" s="73">
        <v>0</v>
      </c>
      <c r="BE66" s="73">
        <v>499425</v>
      </c>
      <c r="BF66" s="73">
        <v>676</v>
      </c>
      <c r="BG66" s="73">
        <v>9690</v>
      </c>
      <c r="BH66" s="73">
        <v>52224</v>
      </c>
      <c r="BI66" s="73">
        <v>0</v>
      </c>
      <c r="BJ66" s="73">
        <v>0</v>
      </c>
      <c r="BK66" s="73">
        <v>62590</v>
      </c>
      <c r="BL66" s="73">
        <v>0</v>
      </c>
      <c r="BM66" s="73">
        <v>0</v>
      </c>
      <c r="BN66" s="73">
        <v>403</v>
      </c>
      <c r="BO66" s="73">
        <v>15488</v>
      </c>
      <c r="BP66" s="73">
        <v>15891</v>
      </c>
      <c r="BQ66" s="73">
        <v>46699</v>
      </c>
      <c r="BR66" s="73">
        <v>546124</v>
      </c>
      <c r="BS66" s="73">
        <v>139040</v>
      </c>
      <c r="BT66" s="73">
        <v>148289</v>
      </c>
      <c r="BU66" s="73">
        <v>0</v>
      </c>
      <c r="BV66" s="73">
        <v>40856</v>
      </c>
      <c r="BW66" s="73">
        <v>0</v>
      </c>
      <c r="BX66" s="73">
        <v>0</v>
      </c>
      <c r="BY66" s="73">
        <v>473</v>
      </c>
      <c r="BZ66" s="73">
        <v>328658</v>
      </c>
      <c r="CA66" s="73">
        <v>6664</v>
      </c>
      <c r="CB66" s="73">
        <v>0</v>
      </c>
      <c r="CC66" s="73">
        <v>210802</v>
      </c>
      <c r="CD66" s="73">
        <v>69228</v>
      </c>
      <c r="CE66" s="73">
        <v>141574</v>
      </c>
      <c r="CF66" s="73">
        <v>0</v>
      </c>
      <c r="CG66" s="73">
        <v>0</v>
      </c>
      <c r="CH66" s="73">
        <v>0</v>
      </c>
      <c r="CI66" s="73">
        <v>210802</v>
      </c>
      <c r="CJ66" s="73">
        <v>10521</v>
      </c>
      <c r="CK66" s="73">
        <v>7923</v>
      </c>
      <c r="CL66" s="73">
        <v>0</v>
      </c>
      <c r="CM66" s="73">
        <v>2598</v>
      </c>
      <c r="CN66" s="73">
        <v>99</v>
      </c>
      <c r="CO66" s="73">
        <v>0</v>
      </c>
      <c r="CP66" s="73">
        <v>115</v>
      </c>
      <c r="CQ66" s="73">
        <v>-16</v>
      </c>
      <c r="CR66" s="73">
        <v>0</v>
      </c>
      <c r="CS66" s="73">
        <v>0</v>
      </c>
      <c r="CT66" s="73">
        <v>262</v>
      </c>
      <c r="CU66" s="73">
        <v>-262</v>
      </c>
      <c r="CV66" s="73">
        <v>617</v>
      </c>
      <c r="CW66" s="73">
        <v>0</v>
      </c>
      <c r="CX66" s="73">
        <v>454</v>
      </c>
      <c r="CY66" s="73">
        <v>163</v>
      </c>
      <c r="CZ66" s="73">
        <v>0</v>
      </c>
      <c r="DA66" s="73">
        <v>0</v>
      </c>
      <c r="DB66" s="73">
        <v>0</v>
      </c>
      <c r="DC66" s="73">
        <v>0</v>
      </c>
      <c r="DD66" s="73">
        <v>11237</v>
      </c>
      <c r="DE66" s="73">
        <v>7923</v>
      </c>
      <c r="DF66" s="73">
        <v>831</v>
      </c>
      <c r="DG66" s="73">
        <v>2483</v>
      </c>
      <c r="DH66" s="73">
        <v>0</v>
      </c>
      <c r="DI66" s="73">
        <v>0</v>
      </c>
      <c r="DJ66" s="73">
        <v>0</v>
      </c>
      <c r="DK66" s="73">
        <v>0</v>
      </c>
      <c r="DL66" s="73">
        <v>0</v>
      </c>
      <c r="DM66" s="73">
        <v>0</v>
      </c>
      <c r="DN66" s="73">
        <v>0</v>
      </c>
      <c r="DO66" s="73">
        <v>0</v>
      </c>
      <c r="DP66" s="73">
        <v>0</v>
      </c>
      <c r="DQ66" s="73">
        <v>0</v>
      </c>
      <c r="DR66" s="73">
        <v>0</v>
      </c>
      <c r="DS66" s="73">
        <v>0</v>
      </c>
      <c r="DT66" s="73">
        <v>570</v>
      </c>
      <c r="DU66" s="73">
        <v>0</v>
      </c>
      <c r="DV66" s="73">
        <v>25</v>
      </c>
      <c r="DW66" s="73">
        <v>545</v>
      </c>
      <c r="DX66" s="73">
        <v>1343</v>
      </c>
      <c r="DY66" s="73">
        <v>0</v>
      </c>
      <c r="DZ66" s="73">
        <v>1243</v>
      </c>
      <c r="EA66" s="73">
        <v>100</v>
      </c>
      <c r="EB66" s="73">
        <v>1007</v>
      </c>
      <c r="EC66" s="73">
        <v>0</v>
      </c>
      <c r="ED66" s="73">
        <v>492</v>
      </c>
      <c r="EE66" s="73">
        <v>515</v>
      </c>
      <c r="EF66" s="73">
        <v>2920</v>
      </c>
      <c r="EG66" s="73">
        <v>0</v>
      </c>
      <c r="EH66" s="73">
        <v>1760</v>
      </c>
      <c r="EI66" s="73">
        <v>1160</v>
      </c>
      <c r="EJ66" s="73">
        <v>14157</v>
      </c>
      <c r="EK66" s="73">
        <v>7923</v>
      </c>
      <c r="EL66" s="73">
        <v>2591</v>
      </c>
      <c r="EM66" s="73">
        <v>3643</v>
      </c>
      <c r="EN66" s="73">
        <v>1415</v>
      </c>
      <c r="EO66" s="73">
        <v>799</v>
      </c>
      <c r="EP66" s="73">
        <v>200</v>
      </c>
      <c r="EQ66" s="73">
        <v>767</v>
      </c>
      <c r="ER66" s="73">
        <v>506629</v>
      </c>
      <c r="ES66" s="73">
        <v>0</v>
      </c>
      <c r="ET66" s="73">
        <v>506629</v>
      </c>
      <c r="EU66" s="73">
        <v>44491</v>
      </c>
      <c r="EV66" s="73">
        <v>-2505</v>
      </c>
      <c r="EW66" s="73">
        <v>0</v>
      </c>
      <c r="EX66" s="73">
        <v>0</v>
      </c>
      <c r="EY66" s="73">
        <v>0</v>
      </c>
      <c r="EZ66" s="73">
        <v>548615</v>
      </c>
      <c r="FA66" s="73">
        <v>59326</v>
      </c>
      <c r="FB66" s="73">
        <v>10150</v>
      </c>
      <c r="FC66" s="73">
        <v>0</v>
      </c>
      <c r="FD66" s="73">
        <v>0</v>
      </c>
      <c r="FE66" s="73">
        <v>-457</v>
      </c>
      <c r="FF66" s="73">
        <v>0</v>
      </c>
      <c r="FG66" s="73">
        <v>0</v>
      </c>
      <c r="FH66" s="73">
        <v>69019</v>
      </c>
      <c r="FI66" s="73">
        <v>479596</v>
      </c>
      <c r="FJ66" s="73">
        <v>447303</v>
      </c>
      <c r="FK66" s="73">
        <v>408</v>
      </c>
      <c r="FL66" s="73">
        <v>0</v>
      </c>
      <c r="FM66" s="73">
        <v>408</v>
      </c>
      <c r="FN66" s="73">
        <v>2200</v>
      </c>
      <c r="FO66" s="73">
        <v>3159</v>
      </c>
      <c r="FP66" s="73">
        <v>-959</v>
      </c>
      <c r="FQ66" s="73">
        <v>0</v>
      </c>
      <c r="FR66" s="73">
        <v>0</v>
      </c>
      <c r="FS66" s="73">
        <v>0</v>
      </c>
      <c r="FT66" s="73">
        <v>0</v>
      </c>
      <c r="FU66" s="73">
        <v>0</v>
      </c>
      <c r="FV66" s="73">
        <v>0</v>
      </c>
      <c r="FW66" s="73">
        <v>0</v>
      </c>
      <c r="FX66" s="73">
        <v>0</v>
      </c>
      <c r="FY66" s="73">
        <v>0</v>
      </c>
      <c r="FZ66" s="73">
        <v>0</v>
      </c>
      <c r="GA66" s="73">
        <v>0</v>
      </c>
      <c r="GB66" s="73">
        <v>0</v>
      </c>
      <c r="GC66" s="73">
        <v>2608</v>
      </c>
      <c r="GD66" s="73">
        <v>3159</v>
      </c>
      <c r="GE66" s="73">
        <v>-551</v>
      </c>
      <c r="GF66" s="73">
        <v>0</v>
      </c>
      <c r="GG66" s="73">
        <v>0</v>
      </c>
      <c r="GH66" s="73">
        <v>0</v>
      </c>
      <c r="GI66" s="73">
        <v>0</v>
      </c>
      <c r="GJ66" s="73">
        <v>0</v>
      </c>
      <c r="GK66" s="73">
        <v>0</v>
      </c>
      <c r="GL66" s="73">
        <v>0</v>
      </c>
      <c r="GM66" s="73">
        <v>359</v>
      </c>
      <c r="GN66" s="73">
        <v>1280</v>
      </c>
      <c r="GO66" s="73">
        <v>166</v>
      </c>
      <c r="GP66" s="73">
        <v>89</v>
      </c>
      <c r="GQ66" s="73">
        <v>2248</v>
      </c>
      <c r="GR66" s="73">
        <v>4107</v>
      </c>
      <c r="GS66" s="73">
        <v>0</v>
      </c>
      <c r="GT66" s="73">
        <v>0</v>
      </c>
      <c r="GU66" s="73">
        <v>0</v>
      </c>
      <c r="GV66" s="73">
        <v>0</v>
      </c>
      <c r="GW66" s="73">
        <v>7239</v>
      </c>
      <c r="GX66" s="73">
        <v>15488</v>
      </c>
      <c r="GY66" s="73">
        <v>0</v>
      </c>
      <c r="GZ66" s="73">
        <v>0</v>
      </c>
      <c r="HA66" s="73">
        <v>473</v>
      </c>
      <c r="HB66" s="73">
        <v>0</v>
      </c>
      <c r="HC66" s="73">
        <v>473</v>
      </c>
      <c r="HD66" s="73">
        <v>0</v>
      </c>
      <c r="HE66" s="73">
        <v>0</v>
      </c>
      <c r="HF66" s="73">
        <v>0</v>
      </c>
      <c r="HG66" s="73">
        <v>11653</v>
      </c>
      <c r="HH66" s="73">
        <v>0</v>
      </c>
      <c r="HI66" s="73">
        <v>269</v>
      </c>
      <c r="HJ66" s="73">
        <v>0</v>
      </c>
      <c r="HK66" s="73">
        <v>162</v>
      </c>
      <c r="HL66" s="73">
        <v>-750</v>
      </c>
      <c r="HM66" s="73">
        <v>11334</v>
      </c>
      <c r="HN66" s="73">
        <v>7089</v>
      </c>
      <c r="HO66" s="73">
        <v>10340</v>
      </c>
      <c r="HP66" s="73">
        <v>0</v>
      </c>
      <c r="HQ66" s="73">
        <v>297</v>
      </c>
      <c r="HR66" s="73">
        <v>-58</v>
      </c>
      <c r="HS66" s="73">
        <v>4</v>
      </c>
      <c r="HT66" s="73">
        <v>10672</v>
      </c>
      <c r="HU66" s="73">
        <v>0</v>
      </c>
      <c r="HV66" s="73">
        <v>0</v>
      </c>
      <c r="HW66" s="73">
        <v>0</v>
      </c>
      <c r="HX66" s="73">
        <v>156</v>
      </c>
    </row>
    <row r="67" spans="1:232" x14ac:dyDescent="0.2">
      <c r="A67" s="71" t="s">
        <v>55</v>
      </c>
      <c r="B67" s="71" t="s">
        <v>54</v>
      </c>
      <c r="C67" s="72" t="s">
        <v>200</v>
      </c>
      <c r="D67" s="72">
        <v>12</v>
      </c>
      <c r="E67" s="73">
        <v>11086</v>
      </c>
      <c r="F67" s="73">
        <v>0</v>
      </c>
      <c r="G67" s="73">
        <v>-8355</v>
      </c>
      <c r="H67" s="73">
        <v>2731</v>
      </c>
      <c r="I67" s="73">
        <v>505</v>
      </c>
      <c r="J67" s="73">
        <v>0</v>
      </c>
      <c r="K67" s="73">
        <v>97</v>
      </c>
      <c r="L67" s="73">
        <v>0</v>
      </c>
      <c r="M67" s="73">
        <v>30</v>
      </c>
      <c r="N67" s="73">
        <v>-1214</v>
      </c>
      <c r="O67" s="73">
        <v>0</v>
      </c>
      <c r="P67" s="73">
        <v>0</v>
      </c>
      <c r="Q67" s="73">
        <v>0</v>
      </c>
      <c r="R67" s="73">
        <v>0</v>
      </c>
      <c r="S67" s="73">
        <v>2149</v>
      </c>
      <c r="T67" s="73">
        <v>0</v>
      </c>
      <c r="U67" s="73">
        <v>2149</v>
      </c>
      <c r="V67" s="73">
        <v>0</v>
      </c>
      <c r="W67" s="73">
        <v>0</v>
      </c>
      <c r="X67" s="73">
        <v>0</v>
      </c>
      <c r="Y67" s="73">
        <v>0</v>
      </c>
      <c r="Z67" s="73">
        <v>2149</v>
      </c>
      <c r="AA67" s="73">
        <v>7310</v>
      </c>
      <c r="AB67" s="73">
        <v>834</v>
      </c>
      <c r="AC67" s="73">
        <v>8144</v>
      </c>
      <c r="AD67" s="73">
        <v>467</v>
      </c>
      <c r="AE67" s="73">
        <v>6</v>
      </c>
      <c r="AF67" s="73">
        <v>0</v>
      </c>
      <c r="AG67" s="73">
        <v>19</v>
      </c>
      <c r="AH67" s="73">
        <v>8636</v>
      </c>
      <c r="AI67" s="73">
        <v>2301</v>
      </c>
      <c r="AJ67" s="73">
        <v>691</v>
      </c>
      <c r="AK67" s="73">
        <v>1429</v>
      </c>
      <c r="AL67" s="73">
        <v>378</v>
      </c>
      <c r="AM67" s="73">
        <v>0</v>
      </c>
      <c r="AN67" s="73">
        <v>75</v>
      </c>
      <c r="AO67" s="73">
        <v>1135</v>
      </c>
      <c r="AP67" s="73">
        <v>0</v>
      </c>
      <c r="AQ67" s="73">
        <v>0</v>
      </c>
      <c r="AR67" s="73">
        <v>6009</v>
      </c>
      <c r="AS67" s="73">
        <v>2627</v>
      </c>
      <c r="AT67" s="73">
        <v>51</v>
      </c>
      <c r="AU67" s="73">
        <v>103782</v>
      </c>
      <c r="AV67" s="73">
        <v>0</v>
      </c>
      <c r="AW67" s="73">
        <v>243</v>
      </c>
      <c r="AX67" s="73">
        <v>0</v>
      </c>
      <c r="AY67" s="73">
        <v>0</v>
      </c>
      <c r="AZ67" s="73">
        <v>0</v>
      </c>
      <c r="BA67" s="73">
        <v>0</v>
      </c>
      <c r="BB67" s="73">
        <v>0</v>
      </c>
      <c r="BC67" s="73">
        <v>0</v>
      </c>
      <c r="BD67" s="73">
        <v>0</v>
      </c>
      <c r="BE67" s="73">
        <v>104025</v>
      </c>
      <c r="BF67" s="73">
        <v>338</v>
      </c>
      <c r="BG67" s="73">
        <v>2019</v>
      </c>
      <c r="BH67" s="73">
        <v>11516</v>
      </c>
      <c r="BI67" s="73">
        <v>0</v>
      </c>
      <c r="BJ67" s="73">
        <v>0</v>
      </c>
      <c r="BK67" s="73">
        <v>13873</v>
      </c>
      <c r="BL67" s="73">
        <v>548</v>
      </c>
      <c r="BM67" s="73">
        <v>0</v>
      </c>
      <c r="BN67" s="73">
        <v>567</v>
      </c>
      <c r="BO67" s="73">
        <v>1819</v>
      </c>
      <c r="BP67" s="73">
        <v>2934</v>
      </c>
      <c r="BQ67" s="73">
        <v>10939</v>
      </c>
      <c r="BR67" s="73">
        <v>114964</v>
      </c>
      <c r="BS67" s="73">
        <v>39232</v>
      </c>
      <c r="BT67" s="73">
        <v>0</v>
      </c>
      <c r="BU67" s="73">
        <v>0</v>
      </c>
      <c r="BV67" s="73">
        <v>57055</v>
      </c>
      <c r="BW67" s="73">
        <v>0</v>
      </c>
      <c r="BX67" s="73">
        <v>0</v>
      </c>
      <c r="BY67" s="73">
        <v>2099</v>
      </c>
      <c r="BZ67" s="73">
        <v>98386</v>
      </c>
      <c r="CA67" s="73">
        <v>0</v>
      </c>
      <c r="CB67" s="73">
        <v>0</v>
      </c>
      <c r="CC67" s="73">
        <v>16578</v>
      </c>
      <c r="CD67" s="73">
        <v>16540</v>
      </c>
      <c r="CE67" s="73">
        <v>0</v>
      </c>
      <c r="CF67" s="73">
        <v>38</v>
      </c>
      <c r="CG67" s="73">
        <v>0</v>
      </c>
      <c r="CH67" s="73">
        <v>0</v>
      </c>
      <c r="CI67" s="73">
        <v>16578</v>
      </c>
      <c r="CJ67" s="73">
        <v>0</v>
      </c>
      <c r="CK67" s="73">
        <v>0</v>
      </c>
      <c r="CL67" s="73">
        <v>0</v>
      </c>
      <c r="CM67" s="73">
        <v>0</v>
      </c>
      <c r="CN67" s="73">
        <v>2430</v>
      </c>
      <c r="CO67" s="73">
        <v>0</v>
      </c>
      <c r="CP67" s="73">
        <v>2336</v>
      </c>
      <c r="CQ67" s="73">
        <v>94</v>
      </c>
      <c r="CR67" s="73">
        <v>0</v>
      </c>
      <c r="CS67" s="73">
        <v>0</v>
      </c>
      <c r="CT67" s="73">
        <v>0</v>
      </c>
      <c r="CU67" s="73">
        <v>0</v>
      </c>
      <c r="CV67" s="73">
        <v>0</v>
      </c>
      <c r="CW67" s="73">
        <v>0</v>
      </c>
      <c r="CX67" s="73">
        <v>0</v>
      </c>
      <c r="CY67" s="73">
        <v>0</v>
      </c>
      <c r="CZ67" s="73">
        <v>20</v>
      </c>
      <c r="DA67" s="73">
        <v>0</v>
      </c>
      <c r="DB67" s="73">
        <v>10</v>
      </c>
      <c r="DC67" s="73">
        <v>10</v>
      </c>
      <c r="DD67" s="73">
        <v>2450</v>
      </c>
      <c r="DE67" s="73">
        <v>0</v>
      </c>
      <c r="DF67" s="73">
        <v>2346</v>
      </c>
      <c r="DG67" s="73">
        <v>104</v>
      </c>
      <c r="DH67" s="73">
        <v>0</v>
      </c>
      <c r="DI67" s="73">
        <v>0</v>
      </c>
      <c r="DJ67" s="73">
        <v>0</v>
      </c>
      <c r="DK67" s="73">
        <v>0</v>
      </c>
      <c r="DL67" s="73">
        <v>0</v>
      </c>
      <c r="DM67" s="73">
        <v>0</v>
      </c>
      <c r="DN67" s="73">
        <v>0</v>
      </c>
      <c r="DO67" s="73">
        <v>0</v>
      </c>
      <c r="DP67" s="73">
        <v>0</v>
      </c>
      <c r="DQ67" s="73">
        <v>0</v>
      </c>
      <c r="DR67" s="73">
        <v>0</v>
      </c>
      <c r="DS67" s="73">
        <v>0</v>
      </c>
      <c r="DT67" s="73">
        <v>0</v>
      </c>
      <c r="DU67" s="73">
        <v>0</v>
      </c>
      <c r="DV67" s="73">
        <v>0</v>
      </c>
      <c r="DW67" s="73">
        <v>0</v>
      </c>
      <c r="DX67" s="73">
        <v>0</v>
      </c>
      <c r="DY67" s="73">
        <v>0</v>
      </c>
      <c r="DZ67" s="73">
        <v>0</v>
      </c>
      <c r="EA67" s="73">
        <v>0</v>
      </c>
      <c r="EB67" s="73">
        <v>0</v>
      </c>
      <c r="EC67" s="73">
        <v>0</v>
      </c>
      <c r="ED67" s="73">
        <v>0</v>
      </c>
      <c r="EE67" s="73">
        <v>0</v>
      </c>
      <c r="EF67" s="73">
        <v>0</v>
      </c>
      <c r="EG67" s="73">
        <v>0</v>
      </c>
      <c r="EH67" s="73">
        <v>0</v>
      </c>
      <c r="EI67" s="73">
        <v>0</v>
      </c>
      <c r="EJ67" s="73">
        <v>2450</v>
      </c>
      <c r="EK67" s="73">
        <v>0</v>
      </c>
      <c r="EL67" s="73">
        <v>2346</v>
      </c>
      <c r="EM67" s="73">
        <v>104</v>
      </c>
      <c r="EN67" s="73">
        <v>328</v>
      </c>
      <c r="EO67" s="73">
        <v>297</v>
      </c>
      <c r="EP67" s="73">
        <v>50</v>
      </c>
      <c r="EQ67" s="73">
        <v>297</v>
      </c>
      <c r="ER67" s="73">
        <v>118713</v>
      </c>
      <c r="ES67" s="73">
        <v>0</v>
      </c>
      <c r="ET67" s="73">
        <v>118713</v>
      </c>
      <c r="EU67" s="73">
        <v>5490</v>
      </c>
      <c r="EV67" s="73">
        <v>-240</v>
      </c>
      <c r="EW67" s="73">
        <v>0</v>
      </c>
      <c r="EX67" s="73">
        <v>0</v>
      </c>
      <c r="EY67" s="73">
        <v>-506</v>
      </c>
      <c r="EZ67" s="73">
        <v>123457</v>
      </c>
      <c r="FA67" s="73">
        <v>19036</v>
      </c>
      <c r="FB67" s="73">
        <v>1081</v>
      </c>
      <c r="FC67" s="73">
        <v>0</v>
      </c>
      <c r="FD67" s="73">
        <v>0</v>
      </c>
      <c r="FE67" s="73">
        <v>-57</v>
      </c>
      <c r="FF67" s="73">
        <v>0</v>
      </c>
      <c r="FG67" s="73">
        <v>-385</v>
      </c>
      <c r="FH67" s="73">
        <v>19675</v>
      </c>
      <c r="FI67" s="73">
        <v>103782</v>
      </c>
      <c r="FJ67" s="73">
        <v>99677</v>
      </c>
      <c r="FK67" s="73">
        <v>0</v>
      </c>
      <c r="FL67" s="73">
        <v>0</v>
      </c>
      <c r="FM67" s="73">
        <v>0</v>
      </c>
      <c r="FN67" s="73">
        <v>0</v>
      </c>
      <c r="FO67" s="73">
        <v>0</v>
      </c>
      <c r="FP67" s="73">
        <v>0</v>
      </c>
      <c r="FQ67" s="73">
        <v>0</v>
      </c>
      <c r="FR67" s="73">
        <v>0</v>
      </c>
      <c r="FS67" s="73">
        <v>0</v>
      </c>
      <c r="FT67" s="73">
        <v>750</v>
      </c>
      <c r="FU67" s="73">
        <v>245</v>
      </c>
      <c r="FV67" s="73">
        <v>505</v>
      </c>
      <c r="FW67" s="73">
        <v>0</v>
      </c>
      <c r="FX67" s="73">
        <v>0</v>
      </c>
      <c r="FY67" s="73">
        <v>0</v>
      </c>
      <c r="FZ67" s="73">
        <v>0</v>
      </c>
      <c r="GA67" s="73">
        <v>0</v>
      </c>
      <c r="GB67" s="73">
        <v>0</v>
      </c>
      <c r="GC67" s="73">
        <v>750</v>
      </c>
      <c r="GD67" s="73">
        <v>245</v>
      </c>
      <c r="GE67" s="73">
        <v>505</v>
      </c>
      <c r="GF67" s="73">
        <v>0</v>
      </c>
      <c r="GG67" s="73">
        <v>0</v>
      </c>
      <c r="GH67" s="73">
        <v>0</v>
      </c>
      <c r="GI67" s="73">
        <v>0</v>
      </c>
      <c r="GJ67" s="73">
        <v>0</v>
      </c>
      <c r="GK67" s="73">
        <v>0</v>
      </c>
      <c r="GL67" s="73">
        <v>0</v>
      </c>
      <c r="GM67" s="73">
        <v>233</v>
      </c>
      <c r="GN67" s="73">
        <v>410</v>
      </c>
      <c r="GO67" s="73">
        <v>0</v>
      </c>
      <c r="GP67" s="73">
        <v>84</v>
      </c>
      <c r="GQ67" s="73">
        <v>0</v>
      </c>
      <c r="GR67" s="73">
        <v>500</v>
      </c>
      <c r="GS67" s="73">
        <v>0</v>
      </c>
      <c r="GT67" s="73">
        <v>0</v>
      </c>
      <c r="GU67" s="73">
        <v>262</v>
      </c>
      <c r="GV67" s="73">
        <v>0</v>
      </c>
      <c r="GW67" s="73">
        <v>330</v>
      </c>
      <c r="GX67" s="73">
        <v>1819</v>
      </c>
      <c r="GY67" s="73">
        <v>223</v>
      </c>
      <c r="GZ67" s="73">
        <v>0</v>
      </c>
      <c r="HA67" s="73">
        <v>1733</v>
      </c>
      <c r="HB67" s="73">
        <v>143</v>
      </c>
      <c r="HC67" s="73">
        <v>2099</v>
      </c>
      <c r="HD67" s="73">
        <v>0</v>
      </c>
      <c r="HE67" s="73">
        <v>0</v>
      </c>
      <c r="HF67" s="73">
        <v>0</v>
      </c>
      <c r="HG67" s="73">
        <v>1243</v>
      </c>
      <c r="HH67" s="73">
        <v>0</v>
      </c>
      <c r="HI67" s="73">
        <v>42</v>
      </c>
      <c r="HJ67" s="73">
        <v>0</v>
      </c>
      <c r="HK67" s="73">
        <v>0</v>
      </c>
      <c r="HL67" s="73">
        <v>-71</v>
      </c>
      <c r="HM67" s="73">
        <v>1214</v>
      </c>
      <c r="HN67" s="73">
        <v>617</v>
      </c>
      <c r="HO67" s="73">
        <v>1175</v>
      </c>
      <c r="HP67" s="73">
        <v>0</v>
      </c>
      <c r="HQ67" s="73">
        <v>6</v>
      </c>
      <c r="HR67" s="73">
        <v>-2</v>
      </c>
      <c r="HS67" s="73">
        <v>15</v>
      </c>
      <c r="HT67" s="73">
        <v>1506</v>
      </c>
      <c r="HU67" s="73">
        <v>0</v>
      </c>
      <c r="HV67" s="73">
        <v>0</v>
      </c>
      <c r="HW67" s="73">
        <v>0</v>
      </c>
      <c r="HX67" s="73">
        <v>0</v>
      </c>
    </row>
    <row r="68" spans="1:232" x14ac:dyDescent="0.2">
      <c r="A68" s="71" t="s">
        <v>59</v>
      </c>
      <c r="B68" s="71" t="s">
        <v>58</v>
      </c>
      <c r="C68" s="72" t="s">
        <v>200</v>
      </c>
      <c r="D68" s="72">
        <v>12</v>
      </c>
      <c r="E68" s="73">
        <v>71344</v>
      </c>
      <c r="F68" s="73">
        <v>0</v>
      </c>
      <c r="G68" s="73">
        <v>-48233</v>
      </c>
      <c r="H68" s="73">
        <v>23111</v>
      </c>
      <c r="I68" s="73">
        <v>2458</v>
      </c>
      <c r="J68" s="73">
        <v>0</v>
      </c>
      <c r="K68" s="73">
        <v>-2500</v>
      </c>
      <c r="L68" s="73">
        <v>0</v>
      </c>
      <c r="M68" s="73">
        <v>3136</v>
      </c>
      <c r="N68" s="73">
        <v>-8829</v>
      </c>
      <c r="O68" s="73">
        <v>201</v>
      </c>
      <c r="P68" s="73">
        <v>0</v>
      </c>
      <c r="Q68" s="73">
        <v>0</v>
      </c>
      <c r="R68" s="73">
        <v>0</v>
      </c>
      <c r="S68" s="73">
        <v>17577</v>
      </c>
      <c r="T68" s="73">
        <v>0</v>
      </c>
      <c r="U68" s="73">
        <v>17577</v>
      </c>
      <c r="V68" s="73">
        <v>0</v>
      </c>
      <c r="W68" s="73">
        <v>-24</v>
      </c>
      <c r="X68" s="73">
        <v>-292</v>
      </c>
      <c r="Y68" s="73">
        <v>0</v>
      </c>
      <c r="Z68" s="73">
        <v>17261</v>
      </c>
      <c r="AA68" s="73">
        <v>59911</v>
      </c>
      <c r="AB68" s="73">
        <v>2374</v>
      </c>
      <c r="AC68" s="73">
        <v>62285</v>
      </c>
      <c r="AD68" s="73">
        <v>1315</v>
      </c>
      <c r="AE68" s="73">
        <v>0</v>
      </c>
      <c r="AF68" s="73">
        <v>0</v>
      </c>
      <c r="AG68" s="73">
        <v>235</v>
      </c>
      <c r="AH68" s="73">
        <v>63835</v>
      </c>
      <c r="AI68" s="73">
        <v>8986</v>
      </c>
      <c r="AJ68" s="73">
        <v>2562</v>
      </c>
      <c r="AK68" s="73">
        <v>9218</v>
      </c>
      <c r="AL68" s="73">
        <v>0</v>
      </c>
      <c r="AM68" s="73">
        <v>9542</v>
      </c>
      <c r="AN68" s="73">
        <v>741</v>
      </c>
      <c r="AO68" s="73">
        <v>9140</v>
      </c>
      <c r="AP68" s="73">
        <v>369</v>
      </c>
      <c r="AQ68" s="73">
        <v>2567</v>
      </c>
      <c r="AR68" s="73">
        <v>43125</v>
      </c>
      <c r="AS68" s="73">
        <v>20710</v>
      </c>
      <c r="AT68" s="73">
        <v>503</v>
      </c>
      <c r="AU68" s="73">
        <v>472229</v>
      </c>
      <c r="AV68" s="73">
        <v>0</v>
      </c>
      <c r="AW68" s="73">
        <v>4951</v>
      </c>
      <c r="AX68" s="73">
        <v>0</v>
      </c>
      <c r="AY68" s="73">
        <v>0</v>
      </c>
      <c r="AZ68" s="73">
        <v>6693</v>
      </c>
      <c r="BA68" s="73">
        <v>0</v>
      </c>
      <c r="BB68" s="73">
        <v>0</v>
      </c>
      <c r="BC68" s="73">
        <v>60177</v>
      </c>
      <c r="BD68" s="73">
        <v>0</v>
      </c>
      <c r="BE68" s="73">
        <v>544050</v>
      </c>
      <c r="BF68" s="73">
        <v>1588</v>
      </c>
      <c r="BG68" s="73">
        <v>659</v>
      </c>
      <c r="BH68" s="73">
        <v>4329</v>
      </c>
      <c r="BI68" s="73">
        <v>0</v>
      </c>
      <c r="BJ68" s="73">
        <v>1211</v>
      </c>
      <c r="BK68" s="73">
        <v>7787</v>
      </c>
      <c r="BL68" s="73">
        <v>2706</v>
      </c>
      <c r="BM68" s="73">
        <v>0</v>
      </c>
      <c r="BN68" s="73">
        <v>0</v>
      </c>
      <c r="BO68" s="73">
        <v>16998</v>
      </c>
      <c r="BP68" s="73">
        <v>19704</v>
      </c>
      <c r="BQ68" s="73">
        <v>-11917</v>
      </c>
      <c r="BR68" s="73">
        <v>532133</v>
      </c>
      <c r="BS68" s="73">
        <v>262097</v>
      </c>
      <c r="BT68" s="73">
        <v>0</v>
      </c>
      <c r="BU68" s="73">
        <v>0</v>
      </c>
      <c r="BV68" s="73">
        <v>117528</v>
      </c>
      <c r="BW68" s="73">
        <v>0</v>
      </c>
      <c r="BX68" s="73">
        <v>18898</v>
      </c>
      <c r="BY68" s="73">
        <v>4780</v>
      </c>
      <c r="BZ68" s="73">
        <v>403303</v>
      </c>
      <c r="CA68" s="73">
        <v>0</v>
      </c>
      <c r="CB68" s="73">
        <v>3184</v>
      </c>
      <c r="CC68" s="73">
        <v>125646</v>
      </c>
      <c r="CD68" s="73">
        <v>143961</v>
      </c>
      <c r="CE68" s="73">
        <v>0</v>
      </c>
      <c r="CF68" s="73">
        <v>0</v>
      </c>
      <c r="CG68" s="73">
        <v>-18315</v>
      </c>
      <c r="CH68" s="73">
        <v>0</v>
      </c>
      <c r="CI68" s="73">
        <v>125646</v>
      </c>
      <c r="CJ68" s="73">
        <v>3205</v>
      </c>
      <c r="CK68" s="73">
        <v>0</v>
      </c>
      <c r="CL68" s="73">
        <v>2011</v>
      </c>
      <c r="CM68" s="73">
        <v>1194</v>
      </c>
      <c r="CN68" s="73">
        <v>0</v>
      </c>
      <c r="CO68" s="73">
        <v>0</v>
      </c>
      <c r="CP68" s="73">
        <v>0</v>
      </c>
      <c r="CQ68" s="73">
        <v>0</v>
      </c>
      <c r="CR68" s="73">
        <v>0</v>
      </c>
      <c r="CS68" s="73">
        <v>0</v>
      </c>
      <c r="CT68" s="73">
        <v>493</v>
      </c>
      <c r="CU68" s="73">
        <v>-493</v>
      </c>
      <c r="CV68" s="73">
        <v>0</v>
      </c>
      <c r="CW68" s="73">
        <v>0</v>
      </c>
      <c r="CX68" s="73">
        <v>0</v>
      </c>
      <c r="CY68" s="73">
        <v>0</v>
      </c>
      <c r="CZ68" s="73">
        <v>0</v>
      </c>
      <c r="DA68" s="73">
        <v>0</v>
      </c>
      <c r="DB68" s="73">
        <v>0</v>
      </c>
      <c r="DC68" s="73">
        <v>0</v>
      </c>
      <c r="DD68" s="73">
        <v>3205</v>
      </c>
      <c r="DE68" s="73">
        <v>0</v>
      </c>
      <c r="DF68" s="73">
        <v>2504</v>
      </c>
      <c r="DG68" s="73">
        <v>701</v>
      </c>
      <c r="DH68" s="73">
        <v>0</v>
      </c>
      <c r="DI68" s="73">
        <v>0</v>
      </c>
      <c r="DJ68" s="73">
        <v>0</v>
      </c>
      <c r="DK68" s="73">
        <v>0</v>
      </c>
      <c r="DL68" s="73">
        <v>0</v>
      </c>
      <c r="DM68" s="73">
        <v>0</v>
      </c>
      <c r="DN68" s="73">
        <v>0</v>
      </c>
      <c r="DO68" s="73">
        <v>0</v>
      </c>
      <c r="DP68" s="73">
        <v>0</v>
      </c>
      <c r="DQ68" s="73">
        <v>0</v>
      </c>
      <c r="DR68" s="73">
        <v>0</v>
      </c>
      <c r="DS68" s="73">
        <v>0</v>
      </c>
      <c r="DT68" s="73">
        <v>1453</v>
      </c>
      <c r="DU68" s="73">
        <v>0</v>
      </c>
      <c r="DV68" s="73">
        <v>924</v>
      </c>
      <c r="DW68" s="73">
        <v>529</v>
      </c>
      <c r="DX68" s="73">
        <v>0</v>
      </c>
      <c r="DY68" s="73">
        <v>0</v>
      </c>
      <c r="DZ68" s="73">
        <v>0</v>
      </c>
      <c r="EA68" s="73">
        <v>0</v>
      </c>
      <c r="EB68" s="73">
        <v>2851</v>
      </c>
      <c r="EC68" s="73">
        <v>0</v>
      </c>
      <c r="ED68" s="73">
        <v>1680</v>
      </c>
      <c r="EE68" s="73">
        <v>1171</v>
      </c>
      <c r="EF68" s="73">
        <v>4304</v>
      </c>
      <c r="EG68" s="73">
        <v>0</v>
      </c>
      <c r="EH68" s="73">
        <v>2604</v>
      </c>
      <c r="EI68" s="73">
        <v>1700</v>
      </c>
      <c r="EJ68" s="73">
        <v>7509</v>
      </c>
      <c r="EK68" s="73">
        <v>0</v>
      </c>
      <c r="EL68" s="73">
        <v>5108</v>
      </c>
      <c r="EM68" s="73">
        <v>2401</v>
      </c>
      <c r="EN68" s="73">
        <v>1943</v>
      </c>
      <c r="EO68" s="73">
        <v>337</v>
      </c>
      <c r="EP68" s="73">
        <v>1420</v>
      </c>
      <c r="EQ68" s="73">
        <v>337</v>
      </c>
      <c r="ER68" s="73">
        <v>544888</v>
      </c>
      <c r="ES68" s="73">
        <v>0</v>
      </c>
      <c r="ET68" s="73">
        <v>544888</v>
      </c>
      <c r="EU68" s="73">
        <v>26086</v>
      </c>
      <c r="EV68" s="73">
        <v>-6860</v>
      </c>
      <c r="EW68" s="73">
        <v>0</v>
      </c>
      <c r="EX68" s="73">
        <v>0</v>
      </c>
      <c r="EY68" s="73">
        <v>0</v>
      </c>
      <c r="EZ68" s="73">
        <v>564114</v>
      </c>
      <c r="FA68" s="73">
        <v>83573</v>
      </c>
      <c r="FB68" s="73">
        <v>9140</v>
      </c>
      <c r="FC68" s="73">
        <v>369</v>
      </c>
      <c r="FD68" s="73">
        <v>0</v>
      </c>
      <c r="FE68" s="73">
        <v>-1197</v>
      </c>
      <c r="FF68" s="73">
        <v>0</v>
      </c>
      <c r="FG68" s="73">
        <v>0</v>
      </c>
      <c r="FH68" s="73">
        <v>91885</v>
      </c>
      <c r="FI68" s="73">
        <v>472229</v>
      </c>
      <c r="FJ68" s="73">
        <v>461315</v>
      </c>
      <c r="FK68" s="73">
        <v>2238</v>
      </c>
      <c r="FL68" s="73">
        <v>1255</v>
      </c>
      <c r="FM68" s="73">
        <v>983</v>
      </c>
      <c r="FN68" s="73">
        <v>2715</v>
      </c>
      <c r="FO68" s="73">
        <v>2516</v>
      </c>
      <c r="FP68" s="73">
        <v>199</v>
      </c>
      <c r="FQ68" s="73">
        <v>1028</v>
      </c>
      <c r="FR68" s="73">
        <v>1018</v>
      </c>
      <c r="FS68" s="73">
        <v>10</v>
      </c>
      <c r="FT68" s="73">
        <v>0</v>
      </c>
      <c r="FU68" s="73">
        <v>0</v>
      </c>
      <c r="FV68" s="73">
        <v>0</v>
      </c>
      <c r="FW68" s="73">
        <v>0</v>
      </c>
      <c r="FX68" s="73">
        <v>0</v>
      </c>
      <c r="FY68" s="73">
        <v>0</v>
      </c>
      <c r="FZ68" s="73">
        <v>1601</v>
      </c>
      <c r="GA68" s="73">
        <v>335</v>
      </c>
      <c r="GB68" s="73">
        <v>1266</v>
      </c>
      <c r="GC68" s="73">
        <v>7582</v>
      </c>
      <c r="GD68" s="73">
        <v>5124</v>
      </c>
      <c r="GE68" s="73">
        <v>2458</v>
      </c>
      <c r="GF68" s="73">
        <v>0</v>
      </c>
      <c r="GG68" s="73">
        <v>0</v>
      </c>
      <c r="GH68" s="73">
        <v>0</v>
      </c>
      <c r="GI68" s="73">
        <v>0</v>
      </c>
      <c r="GJ68" s="73">
        <v>0</v>
      </c>
      <c r="GK68" s="73">
        <v>1211</v>
      </c>
      <c r="GL68" s="73">
        <v>1211</v>
      </c>
      <c r="GM68" s="73">
        <v>3129</v>
      </c>
      <c r="GN68" s="73">
        <v>1555</v>
      </c>
      <c r="GO68" s="73">
        <v>190</v>
      </c>
      <c r="GP68" s="73">
        <v>266</v>
      </c>
      <c r="GQ68" s="73">
        <v>1069</v>
      </c>
      <c r="GR68" s="73">
        <v>5780</v>
      </c>
      <c r="GS68" s="73">
        <v>0</v>
      </c>
      <c r="GT68" s="73">
        <v>0</v>
      </c>
      <c r="GU68" s="73">
        <v>0</v>
      </c>
      <c r="GV68" s="73">
        <v>0</v>
      </c>
      <c r="GW68" s="73">
        <v>5009</v>
      </c>
      <c r="GX68" s="73">
        <v>16998</v>
      </c>
      <c r="GY68" s="73">
        <v>1536</v>
      </c>
      <c r="GZ68" s="73">
        <v>881</v>
      </c>
      <c r="HA68" s="73">
        <v>713</v>
      </c>
      <c r="HB68" s="73">
        <v>1650</v>
      </c>
      <c r="HC68" s="73">
        <v>4780</v>
      </c>
      <c r="HD68" s="73">
        <v>0</v>
      </c>
      <c r="HE68" s="73">
        <v>3184</v>
      </c>
      <c r="HF68" s="73">
        <v>3184</v>
      </c>
      <c r="HG68" s="73">
        <v>6876</v>
      </c>
      <c r="HH68" s="73">
        <v>0</v>
      </c>
      <c r="HI68" s="73">
        <v>17</v>
      </c>
      <c r="HJ68" s="73">
        <v>0</v>
      </c>
      <c r="HK68" s="73">
        <v>2327</v>
      </c>
      <c r="HL68" s="73">
        <v>-391</v>
      </c>
      <c r="HM68" s="73">
        <v>8829</v>
      </c>
      <c r="HN68" s="73">
        <v>6155</v>
      </c>
      <c r="HO68" s="73">
        <v>9915</v>
      </c>
      <c r="HP68" s="73">
        <v>369</v>
      </c>
      <c r="HQ68" s="73">
        <v>155</v>
      </c>
      <c r="HR68" s="73">
        <v>-71</v>
      </c>
      <c r="HS68" s="73">
        <v>-12</v>
      </c>
      <c r="HT68" s="73">
        <v>11747</v>
      </c>
      <c r="HU68" s="73">
        <v>54</v>
      </c>
      <c r="HV68" s="73">
        <v>-177</v>
      </c>
      <c r="HW68" s="73">
        <v>9</v>
      </c>
      <c r="HX68" s="73">
        <v>1067</v>
      </c>
    </row>
    <row r="69" spans="1:232" x14ac:dyDescent="0.2">
      <c r="A69" s="74" t="s">
        <v>319</v>
      </c>
      <c r="B69" s="74" t="s">
        <v>320</v>
      </c>
      <c r="C69" s="75" t="s">
        <v>200</v>
      </c>
      <c r="D69" s="75">
        <v>12</v>
      </c>
      <c r="E69" s="76">
        <v>15810</v>
      </c>
      <c r="F69" s="76">
        <v>0</v>
      </c>
      <c r="G69" s="76">
        <v>-11012</v>
      </c>
      <c r="H69" s="76">
        <v>4798</v>
      </c>
      <c r="I69" s="76">
        <v>452</v>
      </c>
      <c r="J69" s="76">
        <v>0</v>
      </c>
      <c r="K69" s="76">
        <v>0</v>
      </c>
      <c r="L69" s="76">
        <v>0</v>
      </c>
      <c r="M69" s="76">
        <v>0</v>
      </c>
      <c r="N69" s="76">
        <v>-1186</v>
      </c>
      <c r="O69" s="76">
        <v>0</v>
      </c>
      <c r="P69" s="76">
        <v>0</v>
      </c>
      <c r="Q69" s="76">
        <v>0</v>
      </c>
      <c r="R69" s="76">
        <v>0</v>
      </c>
      <c r="S69" s="76">
        <v>4064</v>
      </c>
      <c r="T69" s="76">
        <v>0</v>
      </c>
      <c r="U69" s="76">
        <v>4064</v>
      </c>
      <c r="V69" s="76">
        <v>0</v>
      </c>
      <c r="W69" s="76">
        <v>-1860</v>
      </c>
      <c r="X69" s="76">
        <v>0</v>
      </c>
      <c r="Y69" s="76">
        <v>0</v>
      </c>
      <c r="Z69" s="76">
        <v>2204</v>
      </c>
      <c r="AA69" s="76">
        <v>15412</v>
      </c>
      <c r="AB69" s="76">
        <v>246</v>
      </c>
      <c r="AC69" s="76">
        <v>15658</v>
      </c>
      <c r="AD69" s="76">
        <v>0</v>
      </c>
      <c r="AE69" s="76">
        <v>0</v>
      </c>
      <c r="AF69" s="76">
        <v>0</v>
      </c>
      <c r="AG69" s="76">
        <v>0</v>
      </c>
      <c r="AH69" s="76">
        <v>15658</v>
      </c>
      <c r="AI69" s="76">
        <v>5056</v>
      </c>
      <c r="AJ69" s="76">
        <v>275</v>
      </c>
      <c r="AK69" s="76">
        <v>3990</v>
      </c>
      <c r="AL69" s="76">
        <v>667</v>
      </c>
      <c r="AM69" s="76">
        <v>7</v>
      </c>
      <c r="AN69" s="76">
        <v>271</v>
      </c>
      <c r="AO69" s="76">
        <v>726</v>
      </c>
      <c r="AP69" s="76">
        <v>0</v>
      </c>
      <c r="AQ69" s="76">
        <v>0</v>
      </c>
      <c r="AR69" s="76">
        <v>10992</v>
      </c>
      <c r="AS69" s="76">
        <v>4666</v>
      </c>
      <c r="AT69" s="76">
        <v>224</v>
      </c>
      <c r="AU69" s="76">
        <v>34038</v>
      </c>
      <c r="AV69" s="76">
        <v>0</v>
      </c>
      <c r="AW69" s="76">
        <v>0</v>
      </c>
      <c r="AX69" s="76">
        <v>0</v>
      </c>
      <c r="AY69" s="76">
        <v>0</v>
      </c>
      <c r="AZ69" s="76">
        <v>0</v>
      </c>
      <c r="BA69" s="76">
        <v>0</v>
      </c>
      <c r="BB69" s="76">
        <v>0</v>
      </c>
      <c r="BC69" s="76">
        <v>0</v>
      </c>
      <c r="BD69" s="76">
        <v>0</v>
      </c>
      <c r="BE69" s="76">
        <v>34038</v>
      </c>
      <c r="BF69" s="76">
        <v>0</v>
      </c>
      <c r="BG69" s="76">
        <v>10995</v>
      </c>
      <c r="BH69" s="76">
        <v>1</v>
      </c>
      <c r="BI69" s="76">
        <v>0</v>
      </c>
      <c r="BJ69" s="76">
        <v>0</v>
      </c>
      <c r="BK69" s="76">
        <v>10996</v>
      </c>
      <c r="BL69" s="76">
        <v>0</v>
      </c>
      <c r="BM69" s="76">
        <v>0</v>
      </c>
      <c r="BN69" s="76">
        <v>0</v>
      </c>
      <c r="BO69" s="76">
        <v>11281</v>
      </c>
      <c r="BP69" s="76">
        <v>11281</v>
      </c>
      <c r="BQ69" s="76">
        <v>-285</v>
      </c>
      <c r="BR69" s="76">
        <v>33753</v>
      </c>
      <c r="BS69" s="76">
        <v>0</v>
      </c>
      <c r="BT69" s="76">
        <v>26091</v>
      </c>
      <c r="BU69" s="76">
        <v>0</v>
      </c>
      <c r="BV69" s="76">
        <v>0</v>
      </c>
      <c r="BW69" s="76">
        <v>0</v>
      </c>
      <c r="BX69" s="76">
        <v>0</v>
      </c>
      <c r="BY69" s="76">
        <v>0</v>
      </c>
      <c r="BZ69" s="76">
        <v>26091</v>
      </c>
      <c r="CA69" s="76">
        <v>5170</v>
      </c>
      <c r="CB69" s="76">
        <v>342</v>
      </c>
      <c r="CC69" s="76">
        <v>2150</v>
      </c>
      <c r="CD69" s="76">
        <v>2150</v>
      </c>
      <c r="CE69" s="76">
        <v>0</v>
      </c>
      <c r="CF69" s="76">
        <v>0</v>
      </c>
      <c r="CG69" s="76">
        <v>0</v>
      </c>
      <c r="CH69" s="76">
        <v>0</v>
      </c>
      <c r="CI69" s="76">
        <v>2150</v>
      </c>
      <c r="CJ69" s="76">
        <v>0</v>
      </c>
      <c r="CK69" s="76">
        <v>0</v>
      </c>
      <c r="CL69" s="76">
        <v>0</v>
      </c>
      <c r="CM69" s="76">
        <v>0</v>
      </c>
      <c r="CN69" s="76">
        <v>0</v>
      </c>
      <c r="CO69" s="76">
        <v>0</v>
      </c>
      <c r="CP69" s="76">
        <v>0</v>
      </c>
      <c r="CQ69" s="76">
        <v>0</v>
      </c>
      <c r="CR69" s="76">
        <v>0</v>
      </c>
      <c r="CS69" s="76">
        <v>0</v>
      </c>
      <c r="CT69" s="76">
        <v>0</v>
      </c>
      <c r="CU69" s="76">
        <v>0</v>
      </c>
      <c r="CV69" s="76">
        <v>0</v>
      </c>
      <c r="CW69" s="76">
        <v>0</v>
      </c>
      <c r="CX69" s="76">
        <v>0</v>
      </c>
      <c r="CY69" s="76">
        <v>0</v>
      </c>
      <c r="CZ69" s="76">
        <v>0</v>
      </c>
      <c r="DA69" s="76">
        <v>0</v>
      </c>
      <c r="DB69" s="76">
        <v>0</v>
      </c>
      <c r="DC69" s="76">
        <v>0</v>
      </c>
      <c r="DD69" s="76">
        <v>0</v>
      </c>
      <c r="DE69" s="76">
        <v>0</v>
      </c>
      <c r="DF69" s="76">
        <v>0</v>
      </c>
      <c r="DG69" s="76">
        <v>0</v>
      </c>
      <c r="DH69" s="76">
        <v>0</v>
      </c>
      <c r="DI69" s="76">
        <v>0</v>
      </c>
      <c r="DJ69" s="76">
        <v>0</v>
      </c>
      <c r="DK69" s="76">
        <v>0</v>
      </c>
      <c r="DL69" s="76">
        <v>0</v>
      </c>
      <c r="DM69" s="76">
        <v>0</v>
      </c>
      <c r="DN69" s="76">
        <v>0</v>
      </c>
      <c r="DO69" s="76">
        <v>0</v>
      </c>
      <c r="DP69" s="76">
        <v>0</v>
      </c>
      <c r="DQ69" s="76">
        <v>0</v>
      </c>
      <c r="DR69" s="76">
        <v>0</v>
      </c>
      <c r="DS69" s="76">
        <v>0</v>
      </c>
      <c r="DT69" s="76">
        <v>0</v>
      </c>
      <c r="DU69" s="76">
        <v>0</v>
      </c>
      <c r="DV69" s="76">
        <v>0</v>
      </c>
      <c r="DW69" s="76">
        <v>0</v>
      </c>
      <c r="DX69" s="76">
        <v>0</v>
      </c>
      <c r="DY69" s="76">
        <v>0</v>
      </c>
      <c r="DZ69" s="76">
        <v>0</v>
      </c>
      <c r="EA69" s="76">
        <v>0</v>
      </c>
      <c r="EB69" s="76">
        <v>152</v>
      </c>
      <c r="EC69" s="76">
        <v>0</v>
      </c>
      <c r="ED69" s="76">
        <v>20</v>
      </c>
      <c r="EE69" s="76">
        <v>132</v>
      </c>
      <c r="EF69" s="76">
        <v>152</v>
      </c>
      <c r="EG69" s="76">
        <v>0</v>
      </c>
      <c r="EH69" s="76">
        <v>20</v>
      </c>
      <c r="EI69" s="76">
        <v>132</v>
      </c>
      <c r="EJ69" s="76">
        <v>152</v>
      </c>
      <c r="EK69" s="76">
        <v>0</v>
      </c>
      <c r="EL69" s="76">
        <v>20</v>
      </c>
      <c r="EM69" s="76">
        <v>132</v>
      </c>
      <c r="EN69" s="76">
        <v>1008</v>
      </c>
      <c r="EO69" s="76">
        <v>91</v>
      </c>
      <c r="EP69" s="76">
        <v>205</v>
      </c>
      <c r="EQ69" s="76">
        <v>91</v>
      </c>
      <c r="ER69" s="76">
        <v>33006</v>
      </c>
      <c r="ES69" s="76">
        <v>0</v>
      </c>
      <c r="ET69" s="76">
        <v>33006</v>
      </c>
      <c r="EU69" s="76">
        <v>2793</v>
      </c>
      <c r="EV69" s="76">
        <v>-431</v>
      </c>
      <c r="EW69" s="76">
        <v>0</v>
      </c>
      <c r="EX69" s="76">
        <v>0</v>
      </c>
      <c r="EY69" s="76">
        <v>0</v>
      </c>
      <c r="EZ69" s="76">
        <v>35368</v>
      </c>
      <c r="FA69" s="76">
        <v>613</v>
      </c>
      <c r="FB69" s="76">
        <v>732</v>
      </c>
      <c r="FC69" s="76">
        <v>0</v>
      </c>
      <c r="FD69" s="76">
        <v>0</v>
      </c>
      <c r="FE69" s="76">
        <v>-15</v>
      </c>
      <c r="FF69" s="76">
        <v>0</v>
      </c>
      <c r="FG69" s="76">
        <v>0</v>
      </c>
      <c r="FH69" s="76">
        <v>1330</v>
      </c>
      <c r="FI69" s="76">
        <v>34038</v>
      </c>
      <c r="FJ69" s="76">
        <v>32393</v>
      </c>
      <c r="FK69" s="76">
        <v>0</v>
      </c>
      <c r="FL69" s="76">
        <v>0</v>
      </c>
      <c r="FM69" s="76">
        <v>0</v>
      </c>
      <c r="FN69" s="76">
        <v>859</v>
      </c>
      <c r="FO69" s="76">
        <v>411</v>
      </c>
      <c r="FP69" s="76">
        <v>448</v>
      </c>
      <c r="FQ69" s="76">
        <v>0</v>
      </c>
      <c r="FR69" s="76">
        <v>0</v>
      </c>
      <c r="FS69" s="76">
        <v>0</v>
      </c>
      <c r="FT69" s="76">
        <v>9</v>
      </c>
      <c r="FU69" s="76">
        <v>5</v>
      </c>
      <c r="FV69" s="76">
        <v>4</v>
      </c>
      <c r="FW69" s="76">
        <v>0</v>
      </c>
      <c r="FX69" s="76">
        <v>0</v>
      </c>
      <c r="FY69" s="76">
        <v>0</v>
      </c>
      <c r="FZ69" s="76">
        <v>0</v>
      </c>
      <c r="GA69" s="76">
        <v>0</v>
      </c>
      <c r="GB69" s="76">
        <v>0</v>
      </c>
      <c r="GC69" s="76">
        <v>868</v>
      </c>
      <c r="GD69" s="76">
        <v>416</v>
      </c>
      <c r="GE69" s="76">
        <v>452</v>
      </c>
      <c r="GF69" s="76">
        <v>0</v>
      </c>
      <c r="GG69" s="76">
        <v>0</v>
      </c>
      <c r="GH69" s="76">
        <v>0</v>
      </c>
      <c r="GI69" s="76">
        <v>0</v>
      </c>
      <c r="GJ69" s="76">
        <v>0</v>
      </c>
      <c r="GK69" s="76">
        <v>0</v>
      </c>
      <c r="GL69" s="76">
        <v>0</v>
      </c>
      <c r="GM69" s="76">
        <v>0</v>
      </c>
      <c r="GN69" s="76">
        <v>90</v>
      </c>
      <c r="GO69" s="76">
        <v>10393</v>
      </c>
      <c r="GP69" s="76">
        <v>0</v>
      </c>
      <c r="GQ69" s="76">
        <v>0</v>
      </c>
      <c r="GR69" s="76">
        <v>543</v>
      </c>
      <c r="GS69" s="76">
        <v>0</v>
      </c>
      <c r="GT69" s="76">
        <v>0</v>
      </c>
      <c r="GU69" s="76">
        <v>0</v>
      </c>
      <c r="GV69" s="76">
        <v>0</v>
      </c>
      <c r="GW69" s="76">
        <v>255</v>
      </c>
      <c r="GX69" s="76">
        <v>11281</v>
      </c>
      <c r="GY69" s="76">
        <v>0</v>
      </c>
      <c r="GZ69" s="76">
        <v>0</v>
      </c>
      <c r="HA69" s="76">
        <v>0</v>
      </c>
      <c r="HB69" s="76">
        <v>0</v>
      </c>
      <c r="HC69" s="76">
        <v>0</v>
      </c>
      <c r="HD69" s="76">
        <v>0</v>
      </c>
      <c r="HE69" s="76">
        <v>342</v>
      </c>
      <c r="HF69" s="76">
        <v>342</v>
      </c>
      <c r="HG69" s="76">
        <v>1028</v>
      </c>
      <c r="HH69" s="76">
        <v>0</v>
      </c>
      <c r="HI69" s="76">
        <v>100</v>
      </c>
      <c r="HJ69" s="76">
        <v>0</v>
      </c>
      <c r="HK69" s="76">
        <v>58</v>
      </c>
      <c r="HL69" s="76">
        <v>0</v>
      </c>
      <c r="HM69" s="76">
        <v>1186</v>
      </c>
      <c r="HN69" s="76">
        <v>2793</v>
      </c>
      <c r="HO69" s="76">
        <v>732</v>
      </c>
      <c r="HP69" s="76">
        <v>0</v>
      </c>
      <c r="HQ69" s="76">
        <v>4</v>
      </c>
      <c r="HR69" s="76">
        <v>-28</v>
      </c>
      <c r="HS69" s="76">
        <v>1</v>
      </c>
      <c r="HT69" s="76">
        <v>4178</v>
      </c>
      <c r="HU69" s="76">
        <v>0</v>
      </c>
      <c r="HV69" s="76">
        <v>0</v>
      </c>
      <c r="HW69" s="76">
        <v>0</v>
      </c>
      <c r="HX69" s="76">
        <v>46</v>
      </c>
    </row>
    <row r="70" spans="1:232" x14ac:dyDescent="0.2">
      <c r="A70" s="74" t="s">
        <v>321</v>
      </c>
      <c r="B70" s="74" t="s">
        <v>322</v>
      </c>
      <c r="C70" s="75" t="s">
        <v>200</v>
      </c>
      <c r="D70" s="75">
        <v>12</v>
      </c>
      <c r="E70" s="76">
        <v>17059</v>
      </c>
      <c r="F70" s="76">
        <v>-730</v>
      </c>
      <c r="G70" s="76">
        <v>-10882</v>
      </c>
      <c r="H70" s="76">
        <v>5447</v>
      </c>
      <c r="I70" s="76">
        <v>130</v>
      </c>
      <c r="J70" s="76">
        <v>0</v>
      </c>
      <c r="K70" s="76">
        <v>0</v>
      </c>
      <c r="L70" s="76">
        <v>0</v>
      </c>
      <c r="M70" s="76">
        <v>11</v>
      </c>
      <c r="N70" s="76">
        <v>-4361</v>
      </c>
      <c r="O70" s="76">
        <v>0</v>
      </c>
      <c r="P70" s="76">
        <v>0</v>
      </c>
      <c r="Q70" s="76">
        <v>0</v>
      </c>
      <c r="R70" s="76">
        <v>0</v>
      </c>
      <c r="S70" s="76">
        <v>1227</v>
      </c>
      <c r="T70" s="76">
        <v>0</v>
      </c>
      <c r="U70" s="76">
        <v>1227</v>
      </c>
      <c r="V70" s="76">
        <v>0</v>
      </c>
      <c r="W70" s="76">
        <v>-65</v>
      </c>
      <c r="X70" s="76">
        <v>0</v>
      </c>
      <c r="Y70" s="76">
        <v>0</v>
      </c>
      <c r="Z70" s="76">
        <v>1162</v>
      </c>
      <c r="AA70" s="76">
        <v>15360</v>
      </c>
      <c r="AB70" s="76">
        <v>597</v>
      </c>
      <c r="AC70" s="76">
        <v>15957</v>
      </c>
      <c r="AD70" s="76">
        <v>134</v>
      </c>
      <c r="AE70" s="76">
        <v>0</v>
      </c>
      <c r="AF70" s="76">
        <v>0</v>
      </c>
      <c r="AG70" s="76">
        <v>0</v>
      </c>
      <c r="AH70" s="76">
        <v>16091</v>
      </c>
      <c r="AI70" s="76">
        <v>2335</v>
      </c>
      <c r="AJ70" s="76">
        <v>1148</v>
      </c>
      <c r="AK70" s="76">
        <v>3237</v>
      </c>
      <c r="AL70" s="76">
        <v>682</v>
      </c>
      <c r="AM70" s="76">
        <v>1264</v>
      </c>
      <c r="AN70" s="76">
        <v>27</v>
      </c>
      <c r="AO70" s="76">
        <v>2054</v>
      </c>
      <c r="AP70" s="76">
        <v>0</v>
      </c>
      <c r="AQ70" s="76">
        <v>0</v>
      </c>
      <c r="AR70" s="76">
        <v>10747</v>
      </c>
      <c r="AS70" s="76">
        <v>5344</v>
      </c>
      <c r="AT70" s="76">
        <v>231</v>
      </c>
      <c r="AU70" s="76">
        <v>86930</v>
      </c>
      <c r="AV70" s="76">
        <v>0</v>
      </c>
      <c r="AW70" s="76">
        <v>277</v>
      </c>
      <c r="AX70" s="76">
        <v>0</v>
      </c>
      <c r="AY70" s="76">
        <v>0</v>
      </c>
      <c r="AZ70" s="76">
        <v>0</v>
      </c>
      <c r="BA70" s="76">
        <v>0</v>
      </c>
      <c r="BB70" s="76">
        <v>0</v>
      </c>
      <c r="BC70" s="76">
        <v>0</v>
      </c>
      <c r="BD70" s="76">
        <v>0</v>
      </c>
      <c r="BE70" s="76">
        <v>87207</v>
      </c>
      <c r="BF70" s="76">
        <v>747</v>
      </c>
      <c r="BG70" s="76">
        <v>159</v>
      </c>
      <c r="BH70" s="76">
        <v>6008</v>
      </c>
      <c r="BI70" s="76">
        <v>0</v>
      </c>
      <c r="BJ70" s="76">
        <v>968</v>
      </c>
      <c r="BK70" s="76">
        <v>7882</v>
      </c>
      <c r="BL70" s="76">
        <v>1108</v>
      </c>
      <c r="BM70" s="76">
        <v>0</v>
      </c>
      <c r="BN70" s="76">
        <v>136</v>
      </c>
      <c r="BO70" s="76">
        <v>4228</v>
      </c>
      <c r="BP70" s="76">
        <v>5472</v>
      </c>
      <c r="BQ70" s="76">
        <v>2410</v>
      </c>
      <c r="BR70" s="76">
        <v>89617</v>
      </c>
      <c r="BS70" s="76">
        <v>99773</v>
      </c>
      <c r="BT70" s="76">
        <v>0</v>
      </c>
      <c r="BU70" s="76">
        <v>0</v>
      </c>
      <c r="BV70" s="76">
        <v>13335</v>
      </c>
      <c r="BW70" s="76">
        <v>0</v>
      </c>
      <c r="BX70" s="76">
        <v>0</v>
      </c>
      <c r="BY70" s="76">
        <v>268</v>
      </c>
      <c r="BZ70" s="76">
        <v>113376</v>
      </c>
      <c r="CA70" s="76">
        <v>3072</v>
      </c>
      <c r="CB70" s="76">
        <v>0</v>
      </c>
      <c r="CC70" s="76">
        <v>-26831</v>
      </c>
      <c r="CD70" s="76">
        <v>-26831</v>
      </c>
      <c r="CE70" s="76">
        <v>0</v>
      </c>
      <c r="CF70" s="76">
        <v>0</v>
      </c>
      <c r="CG70" s="76">
        <v>0</v>
      </c>
      <c r="CH70" s="76">
        <v>0</v>
      </c>
      <c r="CI70" s="76">
        <v>-26831</v>
      </c>
      <c r="CJ70" s="76">
        <v>808</v>
      </c>
      <c r="CK70" s="76">
        <v>730</v>
      </c>
      <c r="CL70" s="76">
        <v>0</v>
      </c>
      <c r="CM70" s="76">
        <v>78</v>
      </c>
      <c r="CN70" s="76">
        <v>0</v>
      </c>
      <c r="CO70" s="76">
        <v>0</v>
      </c>
      <c r="CP70" s="76">
        <v>0</v>
      </c>
      <c r="CQ70" s="76">
        <v>0</v>
      </c>
      <c r="CR70" s="76">
        <v>0</v>
      </c>
      <c r="CS70" s="76">
        <v>0</v>
      </c>
      <c r="CT70" s="76">
        <v>34</v>
      </c>
      <c r="CU70" s="76">
        <v>-34</v>
      </c>
      <c r="CV70" s="76">
        <v>0</v>
      </c>
      <c r="CW70" s="76">
        <v>0</v>
      </c>
      <c r="CX70" s="76">
        <v>0</v>
      </c>
      <c r="CY70" s="76">
        <v>0</v>
      </c>
      <c r="CZ70" s="76">
        <v>160</v>
      </c>
      <c r="DA70" s="76">
        <v>0</v>
      </c>
      <c r="DB70" s="76">
        <v>101</v>
      </c>
      <c r="DC70" s="76">
        <v>59</v>
      </c>
      <c r="DD70" s="76">
        <v>968</v>
      </c>
      <c r="DE70" s="76">
        <v>730</v>
      </c>
      <c r="DF70" s="76">
        <v>135</v>
      </c>
      <c r="DG70" s="76">
        <v>103</v>
      </c>
      <c r="DH70" s="76">
        <v>0</v>
      </c>
      <c r="DI70" s="76">
        <v>0</v>
      </c>
      <c r="DJ70" s="76">
        <v>0</v>
      </c>
      <c r="DK70" s="76">
        <v>0</v>
      </c>
      <c r="DL70" s="76">
        <v>0</v>
      </c>
      <c r="DM70" s="76">
        <v>0</v>
      </c>
      <c r="DN70" s="76">
        <v>0</v>
      </c>
      <c r="DO70" s="76">
        <v>0</v>
      </c>
      <c r="DP70" s="76">
        <v>0</v>
      </c>
      <c r="DQ70" s="76">
        <v>0</v>
      </c>
      <c r="DR70" s="76">
        <v>0</v>
      </c>
      <c r="DS70" s="76">
        <v>0</v>
      </c>
      <c r="DT70" s="76">
        <v>0</v>
      </c>
      <c r="DU70" s="76">
        <v>0</v>
      </c>
      <c r="DV70" s="76">
        <v>0</v>
      </c>
      <c r="DW70" s="76">
        <v>0</v>
      </c>
      <c r="DX70" s="76">
        <v>0</v>
      </c>
      <c r="DY70" s="76">
        <v>0</v>
      </c>
      <c r="DZ70" s="76">
        <v>0</v>
      </c>
      <c r="EA70" s="76">
        <v>0</v>
      </c>
      <c r="EB70" s="76">
        <v>0</v>
      </c>
      <c r="EC70" s="76">
        <v>0</v>
      </c>
      <c r="ED70" s="76">
        <v>0</v>
      </c>
      <c r="EE70" s="76">
        <v>0</v>
      </c>
      <c r="EF70" s="76">
        <v>0</v>
      </c>
      <c r="EG70" s="76">
        <v>0</v>
      </c>
      <c r="EH70" s="76">
        <v>0</v>
      </c>
      <c r="EI70" s="76">
        <v>0</v>
      </c>
      <c r="EJ70" s="76">
        <v>968</v>
      </c>
      <c r="EK70" s="76">
        <v>730</v>
      </c>
      <c r="EL70" s="76">
        <v>135</v>
      </c>
      <c r="EM70" s="76">
        <v>103</v>
      </c>
      <c r="EN70" s="76">
        <v>221</v>
      </c>
      <c r="EO70" s="76">
        <v>164</v>
      </c>
      <c r="EP70" s="76">
        <v>62</v>
      </c>
      <c r="EQ70" s="76">
        <v>164</v>
      </c>
      <c r="ER70" s="76">
        <v>105777</v>
      </c>
      <c r="ES70" s="76">
        <v>0</v>
      </c>
      <c r="ET70" s="76">
        <v>105777</v>
      </c>
      <c r="EU70" s="76">
        <v>3441</v>
      </c>
      <c r="EV70" s="76">
        <v>-282</v>
      </c>
      <c r="EW70" s="76">
        <v>0</v>
      </c>
      <c r="EX70" s="76">
        <v>0</v>
      </c>
      <c r="EY70" s="76">
        <v>301</v>
      </c>
      <c r="EZ70" s="76">
        <v>109237</v>
      </c>
      <c r="FA70" s="76">
        <v>20371</v>
      </c>
      <c r="FB70" s="76">
        <v>2054</v>
      </c>
      <c r="FC70" s="76">
        <v>0</v>
      </c>
      <c r="FD70" s="76">
        <v>0</v>
      </c>
      <c r="FE70" s="76">
        <v>-118</v>
      </c>
      <c r="FF70" s="76">
        <v>0</v>
      </c>
      <c r="FG70" s="76">
        <v>0</v>
      </c>
      <c r="FH70" s="76">
        <v>22307</v>
      </c>
      <c r="FI70" s="76">
        <v>86930</v>
      </c>
      <c r="FJ70" s="76">
        <v>85406</v>
      </c>
      <c r="FK70" s="76">
        <v>0</v>
      </c>
      <c r="FL70" s="76">
        <v>0</v>
      </c>
      <c r="FM70" s="76">
        <v>0</v>
      </c>
      <c r="FN70" s="76">
        <v>290</v>
      </c>
      <c r="FO70" s="76">
        <v>160</v>
      </c>
      <c r="FP70" s="76">
        <v>130</v>
      </c>
      <c r="FQ70" s="76">
        <v>0</v>
      </c>
      <c r="FR70" s="76">
        <v>0</v>
      </c>
      <c r="FS70" s="76">
        <v>0</v>
      </c>
      <c r="FT70" s="76">
        <v>0</v>
      </c>
      <c r="FU70" s="76">
        <v>0</v>
      </c>
      <c r="FV70" s="76">
        <v>0</v>
      </c>
      <c r="FW70" s="76">
        <v>0</v>
      </c>
      <c r="FX70" s="76">
        <v>0</v>
      </c>
      <c r="FY70" s="76">
        <v>0</v>
      </c>
      <c r="FZ70" s="76">
        <v>0</v>
      </c>
      <c r="GA70" s="76">
        <v>0</v>
      </c>
      <c r="GB70" s="76">
        <v>0</v>
      </c>
      <c r="GC70" s="76">
        <v>290</v>
      </c>
      <c r="GD70" s="76">
        <v>160</v>
      </c>
      <c r="GE70" s="76">
        <v>130</v>
      </c>
      <c r="GF70" s="76">
        <v>804</v>
      </c>
      <c r="GG70" s="76">
        <v>0</v>
      </c>
      <c r="GH70" s="76">
        <v>0</v>
      </c>
      <c r="GI70" s="76">
        <v>0</v>
      </c>
      <c r="GJ70" s="76">
        <v>0</v>
      </c>
      <c r="GK70" s="76">
        <v>164</v>
      </c>
      <c r="GL70" s="76">
        <v>968</v>
      </c>
      <c r="GM70" s="76">
        <v>509</v>
      </c>
      <c r="GN70" s="76">
        <v>526</v>
      </c>
      <c r="GO70" s="76">
        <v>1235</v>
      </c>
      <c r="GP70" s="76">
        <v>0</v>
      </c>
      <c r="GQ70" s="76">
        <v>0</v>
      </c>
      <c r="GR70" s="76">
        <v>905</v>
      </c>
      <c r="GS70" s="76">
        <v>0</v>
      </c>
      <c r="GT70" s="76">
        <v>0</v>
      </c>
      <c r="GU70" s="76">
        <v>0</v>
      </c>
      <c r="GV70" s="76">
        <v>0</v>
      </c>
      <c r="GW70" s="76">
        <v>1053</v>
      </c>
      <c r="GX70" s="76">
        <v>4228</v>
      </c>
      <c r="GY70" s="76">
        <v>82</v>
      </c>
      <c r="GZ70" s="76">
        <v>0</v>
      </c>
      <c r="HA70" s="76">
        <v>186</v>
      </c>
      <c r="HB70" s="76">
        <v>0</v>
      </c>
      <c r="HC70" s="76">
        <v>268</v>
      </c>
      <c r="HD70" s="76">
        <v>0</v>
      </c>
      <c r="HE70" s="76">
        <v>0</v>
      </c>
      <c r="HF70" s="76">
        <v>0</v>
      </c>
      <c r="HG70" s="76">
        <v>4326</v>
      </c>
      <c r="HH70" s="76">
        <v>0</v>
      </c>
      <c r="HI70" s="76">
        <v>0</v>
      </c>
      <c r="HJ70" s="76">
        <v>0</v>
      </c>
      <c r="HK70" s="76">
        <v>107</v>
      </c>
      <c r="HL70" s="76">
        <v>-72</v>
      </c>
      <c r="HM70" s="76">
        <v>4361</v>
      </c>
      <c r="HN70" s="76">
        <v>436</v>
      </c>
      <c r="HO70" s="76">
        <v>2112</v>
      </c>
      <c r="HP70" s="76">
        <v>0</v>
      </c>
      <c r="HQ70" s="76">
        <v>37</v>
      </c>
      <c r="HR70" s="76">
        <v>-12</v>
      </c>
      <c r="HS70" s="76">
        <v>76</v>
      </c>
      <c r="HT70" s="76">
        <v>3394</v>
      </c>
      <c r="HU70" s="76">
        <v>8</v>
      </c>
      <c r="HV70" s="76">
        <v>0</v>
      </c>
      <c r="HW70" s="76">
        <v>53</v>
      </c>
      <c r="HX70" s="76">
        <v>61</v>
      </c>
    </row>
    <row r="71" spans="1:232" x14ac:dyDescent="0.2">
      <c r="A71" s="74" t="s">
        <v>323</v>
      </c>
      <c r="B71" s="74" t="s">
        <v>324</v>
      </c>
      <c r="C71" s="75" t="s">
        <v>200</v>
      </c>
      <c r="D71" s="75">
        <v>12</v>
      </c>
      <c r="E71" s="76">
        <v>30531</v>
      </c>
      <c r="F71" s="76">
        <v>-3150</v>
      </c>
      <c r="G71" s="76">
        <v>-13918</v>
      </c>
      <c r="H71" s="76">
        <v>13463</v>
      </c>
      <c r="I71" s="76">
        <v>1671</v>
      </c>
      <c r="J71" s="76">
        <v>0</v>
      </c>
      <c r="K71" s="76">
        <v>0</v>
      </c>
      <c r="L71" s="76">
        <v>0</v>
      </c>
      <c r="M71" s="76">
        <v>36</v>
      </c>
      <c r="N71" s="76">
        <v>-5956</v>
      </c>
      <c r="O71" s="76">
        <v>0</v>
      </c>
      <c r="P71" s="76">
        <v>0</v>
      </c>
      <c r="Q71" s="76">
        <v>0</v>
      </c>
      <c r="R71" s="76">
        <v>0</v>
      </c>
      <c r="S71" s="76">
        <v>9214</v>
      </c>
      <c r="T71" s="76">
        <v>0</v>
      </c>
      <c r="U71" s="76">
        <v>9214</v>
      </c>
      <c r="V71" s="76">
        <v>0</v>
      </c>
      <c r="W71" s="76">
        <v>0</v>
      </c>
      <c r="X71" s="76">
        <v>0</v>
      </c>
      <c r="Y71" s="76">
        <v>0</v>
      </c>
      <c r="Z71" s="76">
        <v>9214</v>
      </c>
      <c r="AA71" s="76">
        <v>22581</v>
      </c>
      <c r="AB71" s="76">
        <v>1889</v>
      </c>
      <c r="AC71" s="76">
        <v>24470</v>
      </c>
      <c r="AD71" s="76">
        <v>1169</v>
      </c>
      <c r="AE71" s="76">
        <v>0</v>
      </c>
      <c r="AF71" s="76">
        <v>0</v>
      </c>
      <c r="AG71" s="76">
        <v>0</v>
      </c>
      <c r="AH71" s="76">
        <v>25639</v>
      </c>
      <c r="AI71" s="76">
        <v>2531</v>
      </c>
      <c r="AJ71" s="76">
        <v>1719</v>
      </c>
      <c r="AK71" s="76">
        <v>3314</v>
      </c>
      <c r="AL71" s="76">
        <v>656</v>
      </c>
      <c r="AM71" s="76">
        <v>1002</v>
      </c>
      <c r="AN71" s="76">
        <v>247</v>
      </c>
      <c r="AO71" s="76">
        <v>3813</v>
      </c>
      <c r="AP71" s="76">
        <v>0</v>
      </c>
      <c r="AQ71" s="76">
        <v>0</v>
      </c>
      <c r="AR71" s="76">
        <v>13282</v>
      </c>
      <c r="AS71" s="76">
        <v>12357</v>
      </c>
      <c r="AT71" s="76">
        <v>225</v>
      </c>
      <c r="AU71" s="76">
        <v>333763</v>
      </c>
      <c r="AV71" s="76">
        <v>0</v>
      </c>
      <c r="AW71" s="76">
        <v>1861</v>
      </c>
      <c r="AX71" s="76">
        <v>0</v>
      </c>
      <c r="AY71" s="76">
        <v>0</v>
      </c>
      <c r="AZ71" s="76">
        <v>0</v>
      </c>
      <c r="BA71" s="76">
        <v>0</v>
      </c>
      <c r="BB71" s="76">
        <v>0</v>
      </c>
      <c r="BC71" s="76">
        <v>0</v>
      </c>
      <c r="BD71" s="76">
        <v>0</v>
      </c>
      <c r="BE71" s="76">
        <v>335624</v>
      </c>
      <c r="BF71" s="76">
        <v>2969</v>
      </c>
      <c r="BG71" s="76">
        <v>429</v>
      </c>
      <c r="BH71" s="76">
        <v>12356</v>
      </c>
      <c r="BI71" s="76">
        <v>0</v>
      </c>
      <c r="BJ71" s="76">
        <v>2202</v>
      </c>
      <c r="BK71" s="76">
        <v>17956</v>
      </c>
      <c r="BL71" s="76">
        <v>858</v>
      </c>
      <c r="BM71" s="76">
        <v>0</v>
      </c>
      <c r="BN71" s="76">
        <v>1100</v>
      </c>
      <c r="BO71" s="76">
        <v>9809</v>
      </c>
      <c r="BP71" s="76">
        <v>11767</v>
      </c>
      <c r="BQ71" s="76">
        <v>6189</v>
      </c>
      <c r="BR71" s="76">
        <v>341813</v>
      </c>
      <c r="BS71" s="76">
        <v>159255</v>
      </c>
      <c r="BT71" s="76">
        <v>0</v>
      </c>
      <c r="BU71" s="76">
        <v>0</v>
      </c>
      <c r="BV71" s="76">
        <v>107665</v>
      </c>
      <c r="BW71" s="76">
        <v>0</v>
      </c>
      <c r="BX71" s="76">
        <v>0</v>
      </c>
      <c r="BY71" s="76">
        <v>1611</v>
      </c>
      <c r="BZ71" s="76">
        <v>268531</v>
      </c>
      <c r="CA71" s="76">
        <v>0</v>
      </c>
      <c r="CB71" s="76">
        <v>0</v>
      </c>
      <c r="CC71" s="76">
        <v>73282</v>
      </c>
      <c r="CD71" s="76">
        <v>73282</v>
      </c>
      <c r="CE71" s="76">
        <v>0</v>
      </c>
      <c r="CF71" s="76">
        <v>0</v>
      </c>
      <c r="CG71" s="76">
        <v>0</v>
      </c>
      <c r="CH71" s="76">
        <v>0</v>
      </c>
      <c r="CI71" s="76">
        <v>73282</v>
      </c>
      <c r="CJ71" s="76">
        <v>3365</v>
      </c>
      <c r="CK71" s="76">
        <v>2504</v>
      </c>
      <c r="CL71" s="76">
        <v>0</v>
      </c>
      <c r="CM71" s="76">
        <v>861</v>
      </c>
      <c r="CN71" s="76">
        <v>0</v>
      </c>
      <c r="CO71" s="76">
        <v>0</v>
      </c>
      <c r="CP71" s="76">
        <v>0</v>
      </c>
      <c r="CQ71" s="76">
        <v>0</v>
      </c>
      <c r="CR71" s="76">
        <v>219</v>
      </c>
      <c r="CS71" s="76">
        <v>0</v>
      </c>
      <c r="CT71" s="76">
        <v>157</v>
      </c>
      <c r="CU71" s="76">
        <v>62</v>
      </c>
      <c r="CV71" s="76">
        <v>0</v>
      </c>
      <c r="CW71" s="76">
        <v>0</v>
      </c>
      <c r="CX71" s="76">
        <v>0</v>
      </c>
      <c r="CY71" s="76">
        <v>0</v>
      </c>
      <c r="CZ71" s="76">
        <v>633</v>
      </c>
      <c r="DA71" s="76">
        <v>0</v>
      </c>
      <c r="DB71" s="76">
        <v>479</v>
      </c>
      <c r="DC71" s="76">
        <v>154</v>
      </c>
      <c r="DD71" s="76">
        <v>4217</v>
      </c>
      <c r="DE71" s="76">
        <v>2504</v>
      </c>
      <c r="DF71" s="76">
        <v>636</v>
      </c>
      <c r="DG71" s="76">
        <v>1077</v>
      </c>
      <c r="DH71" s="76">
        <v>675</v>
      </c>
      <c r="DI71" s="76">
        <v>646</v>
      </c>
      <c r="DJ71" s="76">
        <v>0</v>
      </c>
      <c r="DK71" s="76">
        <v>29</v>
      </c>
      <c r="DL71" s="76">
        <v>0</v>
      </c>
      <c r="DM71" s="76">
        <v>0</v>
      </c>
      <c r="DN71" s="76">
        <v>0</v>
      </c>
      <c r="DO71" s="76">
        <v>0</v>
      </c>
      <c r="DP71" s="76">
        <v>0</v>
      </c>
      <c r="DQ71" s="76">
        <v>0</v>
      </c>
      <c r="DR71" s="76">
        <v>0</v>
      </c>
      <c r="DS71" s="76">
        <v>0</v>
      </c>
      <c r="DT71" s="76">
        <v>0</v>
      </c>
      <c r="DU71" s="76">
        <v>0</v>
      </c>
      <c r="DV71" s="76">
        <v>0</v>
      </c>
      <c r="DW71" s="76">
        <v>0</v>
      </c>
      <c r="DX71" s="76">
        <v>0</v>
      </c>
      <c r="DY71" s="76">
        <v>0</v>
      </c>
      <c r="DZ71" s="76">
        <v>0</v>
      </c>
      <c r="EA71" s="76">
        <v>0</v>
      </c>
      <c r="EB71" s="76">
        <v>0</v>
      </c>
      <c r="EC71" s="76">
        <v>0</v>
      </c>
      <c r="ED71" s="76">
        <v>0</v>
      </c>
      <c r="EE71" s="76">
        <v>0</v>
      </c>
      <c r="EF71" s="76">
        <v>675</v>
      </c>
      <c r="EG71" s="76">
        <v>646</v>
      </c>
      <c r="EH71" s="76">
        <v>0</v>
      </c>
      <c r="EI71" s="76">
        <v>29</v>
      </c>
      <c r="EJ71" s="76">
        <v>4892</v>
      </c>
      <c r="EK71" s="76">
        <v>3150</v>
      </c>
      <c r="EL71" s="76">
        <v>636</v>
      </c>
      <c r="EM71" s="76">
        <v>1106</v>
      </c>
      <c r="EN71" s="76">
        <v>768</v>
      </c>
      <c r="EO71" s="76">
        <v>372</v>
      </c>
      <c r="EP71" s="76">
        <v>339</v>
      </c>
      <c r="EQ71" s="76">
        <v>372</v>
      </c>
      <c r="ER71" s="76">
        <v>339572</v>
      </c>
      <c r="ES71" s="76">
        <v>0</v>
      </c>
      <c r="ET71" s="76">
        <v>339572</v>
      </c>
      <c r="EU71" s="76">
        <v>38683</v>
      </c>
      <c r="EV71" s="76">
        <v>-3121</v>
      </c>
      <c r="EW71" s="76">
        <v>0</v>
      </c>
      <c r="EX71" s="76">
        <v>0</v>
      </c>
      <c r="EY71" s="76">
        <v>-4103</v>
      </c>
      <c r="EZ71" s="76">
        <v>371031</v>
      </c>
      <c r="FA71" s="76">
        <v>33976</v>
      </c>
      <c r="FB71" s="76">
        <v>3813</v>
      </c>
      <c r="FC71" s="76">
        <v>0</v>
      </c>
      <c r="FD71" s="76">
        <v>0</v>
      </c>
      <c r="FE71" s="76">
        <v>-521</v>
      </c>
      <c r="FF71" s="76">
        <v>0</v>
      </c>
      <c r="FG71" s="76">
        <v>0</v>
      </c>
      <c r="FH71" s="76">
        <v>37268</v>
      </c>
      <c r="FI71" s="76">
        <v>333763</v>
      </c>
      <c r="FJ71" s="76">
        <v>305596</v>
      </c>
      <c r="FK71" s="76">
        <v>3270</v>
      </c>
      <c r="FL71" s="76">
        <v>2290</v>
      </c>
      <c r="FM71" s="76">
        <v>980</v>
      </c>
      <c r="FN71" s="76">
        <v>0</v>
      </c>
      <c r="FO71" s="76">
        <v>0</v>
      </c>
      <c r="FP71" s="76">
        <v>0</v>
      </c>
      <c r="FQ71" s="76">
        <v>0</v>
      </c>
      <c r="FR71" s="76">
        <v>0</v>
      </c>
      <c r="FS71" s="76">
        <v>0</v>
      </c>
      <c r="FT71" s="76">
        <v>1555</v>
      </c>
      <c r="FU71" s="76">
        <v>864</v>
      </c>
      <c r="FV71" s="76">
        <v>691</v>
      </c>
      <c r="FW71" s="76">
        <v>0</v>
      </c>
      <c r="FX71" s="76">
        <v>0</v>
      </c>
      <c r="FY71" s="76">
        <v>0</v>
      </c>
      <c r="FZ71" s="76">
        <v>0</v>
      </c>
      <c r="GA71" s="76">
        <v>0</v>
      </c>
      <c r="GB71" s="76">
        <v>0</v>
      </c>
      <c r="GC71" s="76">
        <v>4825</v>
      </c>
      <c r="GD71" s="76">
        <v>3154</v>
      </c>
      <c r="GE71" s="76">
        <v>1671</v>
      </c>
      <c r="GF71" s="76">
        <v>741</v>
      </c>
      <c r="GG71" s="76">
        <v>0</v>
      </c>
      <c r="GH71" s="76">
        <v>1025</v>
      </c>
      <c r="GI71" s="76">
        <v>0</v>
      </c>
      <c r="GJ71" s="76">
        <v>0</v>
      </c>
      <c r="GK71" s="76">
        <v>436</v>
      </c>
      <c r="GL71" s="76">
        <v>2202</v>
      </c>
      <c r="GM71" s="76">
        <v>242</v>
      </c>
      <c r="GN71" s="76">
        <v>1126</v>
      </c>
      <c r="GO71" s="76">
        <v>3953</v>
      </c>
      <c r="GP71" s="76">
        <v>623</v>
      </c>
      <c r="GQ71" s="76">
        <v>0</v>
      </c>
      <c r="GR71" s="76">
        <v>1830</v>
      </c>
      <c r="GS71" s="76">
        <v>0</v>
      </c>
      <c r="GT71" s="76">
        <v>0</v>
      </c>
      <c r="GU71" s="76">
        <v>0</v>
      </c>
      <c r="GV71" s="76">
        <v>0</v>
      </c>
      <c r="GW71" s="76">
        <v>2035</v>
      </c>
      <c r="GX71" s="76">
        <v>9809</v>
      </c>
      <c r="GY71" s="76">
        <v>1611</v>
      </c>
      <c r="GZ71" s="76">
        <v>0</v>
      </c>
      <c r="HA71" s="76">
        <v>0</v>
      </c>
      <c r="HB71" s="76">
        <v>0</v>
      </c>
      <c r="HC71" s="76">
        <v>1611</v>
      </c>
      <c r="HD71" s="76">
        <v>0</v>
      </c>
      <c r="HE71" s="76">
        <v>0</v>
      </c>
      <c r="HF71" s="76">
        <v>0</v>
      </c>
      <c r="HG71" s="76">
        <v>6582</v>
      </c>
      <c r="HH71" s="76">
        <v>0</v>
      </c>
      <c r="HI71" s="76">
        <v>0</v>
      </c>
      <c r="HJ71" s="76">
        <v>0</v>
      </c>
      <c r="HK71" s="76">
        <v>0</v>
      </c>
      <c r="HL71" s="76">
        <v>-626</v>
      </c>
      <c r="HM71" s="76">
        <v>5956</v>
      </c>
      <c r="HN71" s="76">
        <v>452</v>
      </c>
      <c r="HO71" s="76">
        <v>3971</v>
      </c>
      <c r="HP71" s="76">
        <v>0</v>
      </c>
      <c r="HQ71" s="76">
        <v>314</v>
      </c>
      <c r="HR71" s="76">
        <v>-75</v>
      </c>
      <c r="HS71" s="76">
        <v>-18</v>
      </c>
      <c r="HT71" s="76">
        <v>5692</v>
      </c>
      <c r="HU71" s="76">
        <v>0</v>
      </c>
      <c r="HV71" s="76">
        <v>0</v>
      </c>
      <c r="HW71" s="76">
        <v>6</v>
      </c>
      <c r="HX71" s="76">
        <v>190</v>
      </c>
    </row>
    <row r="72" spans="1:232" x14ac:dyDescent="0.2">
      <c r="A72" s="71" t="s">
        <v>325</v>
      </c>
      <c r="B72" s="71" t="s">
        <v>326</v>
      </c>
      <c r="C72" s="72" t="s">
        <v>200</v>
      </c>
      <c r="D72" s="72">
        <v>12</v>
      </c>
      <c r="E72" s="73">
        <v>15902</v>
      </c>
      <c r="F72" s="73">
        <v>-500</v>
      </c>
      <c r="G72" s="73">
        <v>-10079</v>
      </c>
      <c r="H72" s="73">
        <v>5323</v>
      </c>
      <c r="I72" s="73">
        <v>395</v>
      </c>
      <c r="J72" s="73">
        <v>0</v>
      </c>
      <c r="K72" s="73">
        <v>0</v>
      </c>
      <c r="L72" s="73">
        <v>0</v>
      </c>
      <c r="M72" s="73">
        <v>14</v>
      </c>
      <c r="N72" s="73">
        <v>-1284</v>
      </c>
      <c r="O72" s="73">
        <v>0</v>
      </c>
      <c r="P72" s="73">
        <v>0</v>
      </c>
      <c r="Q72" s="73">
        <v>0</v>
      </c>
      <c r="R72" s="73">
        <v>0</v>
      </c>
      <c r="S72" s="73">
        <v>4448</v>
      </c>
      <c r="T72" s="73">
        <v>0</v>
      </c>
      <c r="U72" s="73">
        <v>4448</v>
      </c>
      <c r="V72" s="73">
        <v>0</v>
      </c>
      <c r="W72" s="73">
        <v>0</v>
      </c>
      <c r="X72" s="73">
        <v>0</v>
      </c>
      <c r="Y72" s="73">
        <v>0</v>
      </c>
      <c r="Z72" s="73">
        <v>4448</v>
      </c>
      <c r="AA72" s="73">
        <v>13713</v>
      </c>
      <c r="AB72" s="73">
        <v>801</v>
      </c>
      <c r="AC72" s="73">
        <v>14514</v>
      </c>
      <c r="AD72" s="73">
        <v>102</v>
      </c>
      <c r="AE72" s="73">
        <v>0</v>
      </c>
      <c r="AF72" s="73">
        <v>0</v>
      </c>
      <c r="AG72" s="73">
        <v>96</v>
      </c>
      <c r="AH72" s="73">
        <v>14712</v>
      </c>
      <c r="AI72" s="73">
        <v>4257</v>
      </c>
      <c r="AJ72" s="73">
        <v>875</v>
      </c>
      <c r="AK72" s="73">
        <v>2236</v>
      </c>
      <c r="AL72" s="73">
        <v>627</v>
      </c>
      <c r="AM72" s="73">
        <v>152</v>
      </c>
      <c r="AN72" s="73">
        <v>126</v>
      </c>
      <c r="AO72" s="73">
        <v>1402</v>
      </c>
      <c r="AP72" s="73">
        <v>0</v>
      </c>
      <c r="AQ72" s="73">
        <v>42</v>
      </c>
      <c r="AR72" s="73">
        <v>9717</v>
      </c>
      <c r="AS72" s="73">
        <v>4995</v>
      </c>
      <c r="AT72" s="73">
        <v>267</v>
      </c>
      <c r="AU72" s="73">
        <v>66100</v>
      </c>
      <c r="AV72" s="73">
        <v>0</v>
      </c>
      <c r="AW72" s="73">
        <v>1334</v>
      </c>
      <c r="AX72" s="73">
        <v>0</v>
      </c>
      <c r="AY72" s="73">
        <v>0</v>
      </c>
      <c r="AZ72" s="73">
        <v>0</v>
      </c>
      <c r="BA72" s="73">
        <v>0</v>
      </c>
      <c r="BB72" s="73">
        <v>0</v>
      </c>
      <c r="BC72" s="73">
        <v>0</v>
      </c>
      <c r="BD72" s="73">
        <v>0</v>
      </c>
      <c r="BE72" s="73">
        <v>67434</v>
      </c>
      <c r="BF72" s="73">
        <v>2689</v>
      </c>
      <c r="BG72" s="73">
        <v>292</v>
      </c>
      <c r="BH72" s="73">
        <v>7186</v>
      </c>
      <c r="BI72" s="73">
        <v>0</v>
      </c>
      <c r="BJ72" s="73">
        <v>882</v>
      </c>
      <c r="BK72" s="73">
        <v>11049</v>
      </c>
      <c r="BL72" s="73">
        <v>0</v>
      </c>
      <c r="BM72" s="73">
        <v>0</v>
      </c>
      <c r="BN72" s="73">
        <v>104</v>
      </c>
      <c r="BO72" s="73">
        <v>3184</v>
      </c>
      <c r="BP72" s="73">
        <v>3288</v>
      </c>
      <c r="BQ72" s="73">
        <v>7761</v>
      </c>
      <c r="BR72" s="73">
        <v>75195</v>
      </c>
      <c r="BS72" s="73">
        <v>31784</v>
      </c>
      <c r="BT72" s="73">
        <v>0</v>
      </c>
      <c r="BU72" s="73">
        <v>0</v>
      </c>
      <c r="BV72" s="73">
        <v>9676</v>
      </c>
      <c r="BW72" s="73">
        <v>0</v>
      </c>
      <c r="BX72" s="73">
        <v>0</v>
      </c>
      <c r="BY72" s="73">
        <v>295</v>
      </c>
      <c r="BZ72" s="73">
        <v>41755</v>
      </c>
      <c r="CA72" s="73">
        <v>0</v>
      </c>
      <c r="CB72" s="73">
        <v>7</v>
      </c>
      <c r="CC72" s="73">
        <v>33433</v>
      </c>
      <c r="CD72" s="73">
        <v>33433</v>
      </c>
      <c r="CE72" s="73">
        <v>0</v>
      </c>
      <c r="CF72" s="73">
        <v>0</v>
      </c>
      <c r="CG72" s="73">
        <v>0</v>
      </c>
      <c r="CH72" s="73">
        <v>0</v>
      </c>
      <c r="CI72" s="73">
        <v>33433</v>
      </c>
      <c r="CJ72" s="73">
        <v>494</v>
      </c>
      <c r="CK72" s="73">
        <v>229</v>
      </c>
      <c r="CL72" s="73">
        <v>0</v>
      </c>
      <c r="CM72" s="73">
        <v>265</v>
      </c>
      <c r="CN72" s="73">
        <v>0</v>
      </c>
      <c r="CO72" s="73">
        <v>0</v>
      </c>
      <c r="CP72" s="73">
        <v>0</v>
      </c>
      <c r="CQ72" s="73">
        <v>0</v>
      </c>
      <c r="CR72" s="73">
        <v>0</v>
      </c>
      <c r="CS72" s="73">
        <v>0</v>
      </c>
      <c r="CT72" s="73">
        <v>0</v>
      </c>
      <c r="CU72" s="73">
        <v>0</v>
      </c>
      <c r="CV72" s="73">
        <v>0</v>
      </c>
      <c r="CW72" s="73">
        <v>0</v>
      </c>
      <c r="CX72" s="73">
        <v>0</v>
      </c>
      <c r="CY72" s="73">
        <v>0</v>
      </c>
      <c r="CZ72" s="73">
        <v>89</v>
      </c>
      <c r="DA72" s="73">
        <v>0</v>
      </c>
      <c r="DB72" s="73">
        <v>333</v>
      </c>
      <c r="DC72" s="73">
        <v>-244</v>
      </c>
      <c r="DD72" s="73">
        <v>583</v>
      </c>
      <c r="DE72" s="73">
        <v>229</v>
      </c>
      <c r="DF72" s="73">
        <v>333</v>
      </c>
      <c r="DG72" s="73">
        <v>21</v>
      </c>
      <c r="DH72" s="73">
        <v>570</v>
      </c>
      <c r="DI72" s="73">
        <v>271</v>
      </c>
      <c r="DJ72" s="73">
        <v>0</v>
      </c>
      <c r="DK72" s="73">
        <v>299</v>
      </c>
      <c r="DL72" s="73">
        <v>0</v>
      </c>
      <c r="DM72" s="73">
        <v>0</v>
      </c>
      <c r="DN72" s="73">
        <v>0</v>
      </c>
      <c r="DO72" s="73">
        <v>0</v>
      </c>
      <c r="DP72" s="73">
        <v>0</v>
      </c>
      <c r="DQ72" s="73">
        <v>0</v>
      </c>
      <c r="DR72" s="73">
        <v>0</v>
      </c>
      <c r="DS72" s="73">
        <v>0</v>
      </c>
      <c r="DT72" s="73">
        <v>37</v>
      </c>
      <c r="DU72" s="73">
        <v>0</v>
      </c>
      <c r="DV72" s="73">
        <v>29</v>
      </c>
      <c r="DW72" s="73">
        <v>8</v>
      </c>
      <c r="DX72" s="73">
        <v>0</v>
      </c>
      <c r="DY72" s="73">
        <v>0</v>
      </c>
      <c r="DZ72" s="73">
        <v>0</v>
      </c>
      <c r="EA72" s="73">
        <v>0</v>
      </c>
      <c r="EB72" s="73">
        <v>0</v>
      </c>
      <c r="EC72" s="73">
        <v>0</v>
      </c>
      <c r="ED72" s="73">
        <v>0</v>
      </c>
      <c r="EE72" s="73">
        <v>0</v>
      </c>
      <c r="EF72" s="73">
        <v>607</v>
      </c>
      <c r="EG72" s="73">
        <v>271</v>
      </c>
      <c r="EH72" s="73">
        <v>29</v>
      </c>
      <c r="EI72" s="73">
        <v>307</v>
      </c>
      <c r="EJ72" s="73">
        <v>1190</v>
      </c>
      <c r="EK72" s="73">
        <v>500</v>
      </c>
      <c r="EL72" s="73">
        <v>362</v>
      </c>
      <c r="EM72" s="73">
        <v>328</v>
      </c>
      <c r="EN72" s="73">
        <v>437</v>
      </c>
      <c r="EO72" s="73">
        <v>236</v>
      </c>
      <c r="EP72" s="73">
        <v>145</v>
      </c>
      <c r="EQ72" s="73">
        <v>236</v>
      </c>
      <c r="ER72" s="73">
        <v>80209</v>
      </c>
      <c r="ES72" s="73">
        <v>0</v>
      </c>
      <c r="ET72" s="73">
        <v>80209</v>
      </c>
      <c r="EU72" s="73">
        <v>1163</v>
      </c>
      <c r="EV72" s="73">
        <v>-544</v>
      </c>
      <c r="EW72" s="73">
        <v>0</v>
      </c>
      <c r="EX72" s="73">
        <v>0</v>
      </c>
      <c r="EY72" s="73">
        <v>-199</v>
      </c>
      <c r="EZ72" s="73">
        <v>80629</v>
      </c>
      <c r="FA72" s="73">
        <v>13454</v>
      </c>
      <c r="FB72" s="73">
        <v>1318</v>
      </c>
      <c r="FC72" s="73">
        <v>0</v>
      </c>
      <c r="FD72" s="73">
        <v>0</v>
      </c>
      <c r="FE72" s="73">
        <v>-243</v>
      </c>
      <c r="FF72" s="73">
        <v>0</v>
      </c>
      <c r="FG72" s="73">
        <v>0</v>
      </c>
      <c r="FH72" s="73">
        <v>14529</v>
      </c>
      <c r="FI72" s="73">
        <v>66100</v>
      </c>
      <c r="FJ72" s="73">
        <v>66755</v>
      </c>
      <c r="FK72" s="73">
        <v>69</v>
      </c>
      <c r="FL72" s="73">
        <v>28</v>
      </c>
      <c r="FM72" s="73">
        <v>41</v>
      </c>
      <c r="FN72" s="73">
        <v>117</v>
      </c>
      <c r="FO72" s="73">
        <v>54</v>
      </c>
      <c r="FP72" s="73">
        <v>63</v>
      </c>
      <c r="FQ72" s="73">
        <v>232</v>
      </c>
      <c r="FR72" s="73">
        <v>190</v>
      </c>
      <c r="FS72" s="73">
        <v>42</v>
      </c>
      <c r="FT72" s="73">
        <v>351</v>
      </c>
      <c r="FU72" s="73">
        <v>102</v>
      </c>
      <c r="FV72" s="73">
        <v>249</v>
      </c>
      <c r="FW72" s="73">
        <v>0</v>
      </c>
      <c r="FX72" s="73">
        <v>0</v>
      </c>
      <c r="FY72" s="73">
        <v>0</v>
      </c>
      <c r="FZ72" s="73">
        <v>0</v>
      </c>
      <c r="GA72" s="73">
        <v>0</v>
      </c>
      <c r="GB72" s="73">
        <v>0</v>
      </c>
      <c r="GC72" s="73">
        <v>769</v>
      </c>
      <c r="GD72" s="73">
        <v>374</v>
      </c>
      <c r="GE72" s="73">
        <v>395</v>
      </c>
      <c r="GF72" s="73">
        <v>0</v>
      </c>
      <c r="GG72" s="73">
        <v>0</v>
      </c>
      <c r="GH72" s="73">
        <v>0</v>
      </c>
      <c r="GI72" s="73">
        <v>0</v>
      </c>
      <c r="GJ72" s="73">
        <v>0</v>
      </c>
      <c r="GK72" s="73">
        <v>882</v>
      </c>
      <c r="GL72" s="73">
        <v>882</v>
      </c>
      <c r="GM72" s="73">
        <v>434</v>
      </c>
      <c r="GN72" s="73">
        <v>368</v>
      </c>
      <c r="GO72" s="73">
        <v>1282</v>
      </c>
      <c r="GP72" s="73">
        <v>0</v>
      </c>
      <c r="GQ72" s="73">
        <v>359</v>
      </c>
      <c r="GR72" s="73">
        <v>720</v>
      </c>
      <c r="GS72" s="73">
        <v>0</v>
      </c>
      <c r="GT72" s="73">
        <v>0</v>
      </c>
      <c r="GU72" s="73">
        <v>0</v>
      </c>
      <c r="GV72" s="73">
        <v>0</v>
      </c>
      <c r="GW72" s="73">
        <v>21</v>
      </c>
      <c r="GX72" s="73">
        <v>3184</v>
      </c>
      <c r="GY72" s="73">
        <v>6</v>
      </c>
      <c r="GZ72" s="73">
        <v>289</v>
      </c>
      <c r="HA72" s="73">
        <v>0</v>
      </c>
      <c r="HB72" s="73">
        <v>0</v>
      </c>
      <c r="HC72" s="73">
        <v>295</v>
      </c>
      <c r="HD72" s="73">
        <v>0</v>
      </c>
      <c r="HE72" s="73">
        <v>7</v>
      </c>
      <c r="HF72" s="73">
        <v>7</v>
      </c>
      <c r="HG72" s="73">
        <v>1284</v>
      </c>
      <c r="HH72" s="73">
        <v>0</v>
      </c>
      <c r="HI72" s="73">
        <v>0</v>
      </c>
      <c r="HJ72" s="73">
        <v>0</v>
      </c>
      <c r="HK72" s="73">
        <v>0</v>
      </c>
      <c r="HL72" s="73">
        <v>0</v>
      </c>
      <c r="HM72" s="73">
        <v>1284</v>
      </c>
      <c r="HN72" s="73">
        <v>1163</v>
      </c>
      <c r="HO72" s="73">
        <v>1484</v>
      </c>
      <c r="HP72" s="73">
        <v>0</v>
      </c>
      <c r="HQ72" s="73">
        <v>0</v>
      </c>
      <c r="HR72" s="73">
        <v>-33</v>
      </c>
      <c r="HS72" s="73">
        <v>10</v>
      </c>
      <c r="HT72" s="73">
        <v>3103</v>
      </c>
      <c r="HU72" s="73">
        <v>0</v>
      </c>
      <c r="HV72" s="73">
        <v>0</v>
      </c>
      <c r="HW72" s="73">
        <v>-1</v>
      </c>
      <c r="HX72" s="73">
        <v>9</v>
      </c>
    </row>
    <row r="73" spans="1:232" x14ac:dyDescent="0.2">
      <c r="A73" s="74" t="s">
        <v>327</v>
      </c>
      <c r="B73" s="74" t="s">
        <v>328</v>
      </c>
      <c r="C73" s="75" t="s">
        <v>200</v>
      </c>
      <c r="D73" s="75">
        <v>15</v>
      </c>
      <c r="E73" s="76">
        <v>69228</v>
      </c>
      <c r="F73" s="76">
        <v>-2257</v>
      </c>
      <c r="G73" s="76">
        <v>-42490</v>
      </c>
      <c r="H73" s="76">
        <v>24481</v>
      </c>
      <c r="I73" s="76">
        <v>2578</v>
      </c>
      <c r="J73" s="76">
        <v>0</v>
      </c>
      <c r="K73" s="76">
        <v>0</v>
      </c>
      <c r="L73" s="76">
        <v>0</v>
      </c>
      <c r="M73" s="76">
        <v>1028</v>
      </c>
      <c r="N73" s="76">
        <v>-23828</v>
      </c>
      <c r="O73" s="76">
        <v>508</v>
      </c>
      <c r="P73" s="76">
        <v>487</v>
      </c>
      <c r="Q73" s="76">
        <v>0</v>
      </c>
      <c r="R73" s="76">
        <v>0</v>
      </c>
      <c r="S73" s="76">
        <v>5254</v>
      </c>
      <c r="T73" s="76">
        <v>-1553</v>
      </c>
      <c r="U73" s="76">
        <v>3701</v>
      </c>
      <c r="V73" s="76">
        <v>0</v>
      </c>
      <c r="W73" s="76">
        <v>0</v>
      </c>
      <c r="X73" s="76">
        <v>0</v>
      </c>
      <c r="Y73" s="76">
        <v>0</v>
      </c>
      <c r="Z73" s="76">
        <v>3701</v>
      </c>
      <c r="AA73" s="76">
        <v>44432</v>
      </c>
      <c r="AB73" s="76">
        <v>3179</v>
      </c>
      <c r="AC73" s="76">
        <v>47611</v>
      </c>
      <c r="AD73" s="76">
        <v>1041</v>
      </c>
      <c r="AE73" s="76">
        <v>0</v>
      </c>
      <c r="AF73" s="76">
        <v>0</v>
      </c>
      <c r="AG73" s="76">
        <v>0</v>
      </c>
      <c r="AH73" s="76">
        <v>48652</v>
      </c>
      <c r="AI73" s="76">
        <v>5175</v>
      </c>
      <c r="AJ73" s="76">
        <v>3794</v>
      </c>
      <c r="AK73" s="76">
        <v>4943</v>
      </c>
      <c r="AL73" s="76">
        <v>877</v>
      </c>
      <c r="AM73" s="76">
        <v>1146</v>
      </c>
      <c r="AN73" s="76">
        <v>264</v>
      </c>
      <c r="AO73" s="76">
        <v>8028</v>
      </c>
      <c r="AP73" s="76">
        <v>0</v>
      </c>
      <c r="AQ73" s="76">
        <v>0</v>
      </c>
      <c r="AR73" s="76">
        <v>24227</v>
      </c>
      <c r="AS73" s="76">
        <v>24425</v>
      </c>
      <c r="AT73" s="76">
        <v>687</v>
      </c>
      <c r="AU73" s="76">
        <v>486970</v>
      </c>
      <c r="AV73" s="76">
        <v>0</v>
      </c>
      <c r="AW73" s="76">
        <v>4425</v>
      </c>
      <c r="AX73" s="76">
        <v>0</v>
      </c>
      <c r="AY73" s="76">
        <v>0</v>
      </c>
      <c r="AZ73" s="76">
        <v>47524</v>
      </c>
      <c r="BA73" s="76">
        <v>0</v>
      </c>
      <c r="BB73" s="76">
        <v>0</v>
      </c>
      <c r="BC73" s="76">
        <v>0</v>
      </c>
      <c r="BD73" s="76">
        <v>5210</v>
      </c>
      <c r="BE73" s="76">
        <v>544129</v>
      </c>
      <c r="BF73" s="76">
        <v>4953</v>
      </c>
      <c r="BG73" s="76">
        <v>4897</v>
      </c>
      <c r="BH73" s="76">
        <v>3272</v>
      </c>
      <c r="BI73" s="76">
        <v>0</v>
      </c>
      <c r="BJ73" s="76">
        <v>19692</v>
      </c>
      <c r="BK73" s="76">
        <v>32814</v>
      </c>
      <c r="BL73" s="76">
        <v>18019</v>
      </c>
      <c r="BM73" s="76">
        <v>0</v>
      </c>
      <c r="BN73" s="76">
        <v>893</v>
      </c>
      <c r="BO73" s="76">
        <v>15969</v>
      </c>
      <c r="BP73" s="76">
        <v>34881</v>
      </c>
      <c r="BQ73" s="76">
        <v>-2067</v>
      </c>
      <c r="BR73" s="76">
        <v>542062</v>
      </c>
      <c r="BS73" s="76">
        <v>249568</v>
      </c>
      <c r="BT73" s="76">
        <v>74000</v>
      </c>
      <c r="BU73" s="76">
        <v>68383</v>
      </c>
      <c r="BV73" s="76">
        <v>100603</v>
      </c>
      <c r="BW73" s="76">
        <v>0</v>
      </c>
      <c r="BX73" s="76">
        <v>166</v>
      </c>
      <c r="BY73" s="76">
        <v>6894</v>
      </c>
      <c r="BZ73" s="76">
        <v>499614</v>
      </c>
      <c r="CA73" s="76">
        <v>0</v>
      </c>
      <c r="CB73" s="76">
        <v>0</v>
      </c>
      <c r="CC73" s="76">
        <v>42448</v>
      </c>
      <c r="CD73" s="76">
        <v>42448</v>
      </c>
      <c r="CE73" s="76">
        <v>0</v>
      </c>
      <c r="CF73" s="76">
        <v>0</v>
      </c>
      <c r="CG73" s="76">
        <v>0</v>
      </c>
      <c r="CH73" s="76">
        <v>0</v>
      </c>
      <c r="CI73" s="76">
        <v>42448</v>
      </c>
      <c r="CJ73" s="76">
        <v>3126</v>
      </c>
      <c r="CK73" s="76">
        <v>2257</v>
      </c>
      <c r="CL73" s="76">
        <v>0</v>
      </c>
      <c r="CM73" s="76">
        <v>869</v>
      </c>
      <c r="CN73" s="76">
        <v>11</v>
      </c>
      <c r="CO73" s="76">
        <v>0</v>
      </c>
      <c r="CP73" s="76">
        <v>0</v>
      </c>
      <c r="CQ73" s="76">
        <v>11</v>
      </c>
      <c r="CR73" s="76">
        <v>0</v>
      </c>
      <c r="CS73" s="76">
        <v>0</v>
      </c>
      <c r="CT73" s="76">
        <v>1163</v>
      </c>
      <c r="CU73" s="76">
        <v>-1163</v>
      </c>
      <c r="CV73" s="76">
        <v>0</v>
      </c>
      <c r="CW73" s="76">
        <v>0</v>
      </c>
      <c r="CX73" s="76">
        <v>0</v>
      </c>
      <c r="CY73" s="76">
        <v>0</v>
      </c>
      <c r="CZ73" s="76">
        <v>519</v>
      </c>
      <c r="DA73" s="76">
        <v>0</v>
      </c>
      <c r="DB73" s="76">
        <v>630</v>
      </c>
      <c r="DC73" s="76">
        <v>-111</v>
      </c>
      <c r="DD73" s="76">
        <v>3656</v>
      </c>
      <c r="DE73" s="76">
        <v>2257</v>
      </c>
      <c r="DF73" s="76">
        <v>1793</v>
      </c>
      <c r="DG73" s="76">
        <v>-394</v>
      </c>
      <c r="DH73" s="76">
        <v>0</v>
      </c>
      <c r="DI73" s="76">
        <v>0</v>
      </c>
      <c r="DJ73" s="76">
        <v>0</v>
      </c>
      <c r="DK73" s="76">
        <v>0</v>
      </c>
      <c r="DL73" s="76">
        <v>4718</v>
      </c>
      <c r="DM73" s="76">
        <v>0</v>
      </c>
      <c r="DN73" s="76">
        <v>4136</v>
      </c>
      <c r="DO73" s="76">
        <v>582</v>
      </c>
      <c r="DP73" s="76">
        <v>0</v>
      </c>
      <c r="DQ73" s="76">
        <v>0</v>
      </c>
      <c r="DR73" s="76">
        <v>0</v>
      </c>
      <c r="DS73" s="76">
        <v>0</v>
      </c>
      <c r="DT73" s="76">
        <v>1058</v>
      </c>
      <c r="DU73" s="76">
        <v>0</v>
      </c>
      <c r="DV73" s="76">
        <v>815</v>
      </c>
      <c r="DW73" s="76">
        <v>243</v>
      </c>
      <c r="DX73" s="76">
        <v>0</v>
      </c>
      <c r="DY73" s="76">
        <v>0</v>
      </c>
      <c r="DZ73" s="76">
        <v>0</v>
      </c>
      <c r="EA73" s="76">
        <v>0</v>
      </c>
      <c r="EB73" s="76">
        <v>11144</v>
      </c>
      <c r="EC73" s="76">
        <v>0</v>
      </c>
      <c r="ED73" s="76">
        <v>11519</v>
      </c>
      <c r="EE73" s="76">
        <v>-375</v>
      </c>
      <c r="EF73" s="76">
        <v>16920</v>
      </c>
      <c r="EG73" s="76">
        <v>0</v>
      </c>
      <c r="EH73" s="76">
        <v>16470</v>
      </c>
      <c r="EI73" s="76">
        <v>450</v>
      </c>
      <c r="EJ73" s="76">
        <v>20576</v>
      </c>
      <c r="EK73" s="76">
        <v>2257</v>
      </c>
      <c r="EL73" s="76">
        <v>18263</v>
      </c>
      <c r="EM73" s="76">
        <v>56</v>
      </c>
      <c r="EN73" s="76">
        <v>1174</v>
      </c>
      <c r="EO73" s="76">
        <v>394</v>
      </c>
      <c r="EP73" s="76">
        <v>194</v>
      </c>
      <c r="EQ73" s="76">
        <v>331</v>
      </c>
      <c r="ER73" s="76">
        <v>522416</v>
      </c>
      <c r="ES73" s="76">
        <v>0</v>
      </c>
      <c r="ET73" s="76">
        <v>522416</v>
      </c>
      <c r="EU73" s="76">
        <v>14214</v>
      </c>
      <c r="EV73" s="76">
        <v>-7357</v>
      </c>
      <c r="EW73" s="76">
        <v>0</v>
      </c>
      <c r="EX73" s="76">
        <v>0</v>
      </c>
      <c r="EY73" s="76">
        <v>2437</v>
      </c>
      <c r="EZ73" s="76">
        <v>531710</v>
      </c>
      <c r="FA73" s="76">
        <v>37708</v>
      </c>
      <c r="FB73" s="76">
        <v>7963</v>
      </c>
      <c r="FC73" s="76">
        <v>0</v>
      </c>
      <c r="FD73" s="76">
        <v>0</v>
      </c>
      <c r="FE73" s="76">
        <v>-931</v>
      </c>
      <c r="FF73" s="76">
        <v>0</v>
      </c>
      <c r="FG73" s="76">
        <v>0</v>
      </c>
      <c r="FH73" s="76">
        <v>44740</v>
      </c>
      <c r="FI73" s="76">
        <v>486970</v>
      </c>
      <c r="FJ73" s="76">
        <v>484708</v>
      </c>
      <c r="FK73" s="76">
        <v>4014</v>
      </c>
      <c r="FL73" s="76">
        <v>2978</v>
      </c>
      <c r="FM73" s="76">
        <v>1036</v>
      </c>
      <c r="FN73" s="76">
        <v>0</v>
      </c>
      <c r="FO73" s="76">
        <v>0</v>
      </c>
      <c r="FP73" s="76">
        <v>0</v>
      </c>
      <c r="FQ73" s="76">
        <v>151</v>
      </c>
      <c r="FR73" s="76">
        <v>146</v>
      </c>
      <c r="FS73" s="76">
        <v>5</v>
      </c>
      <c r="FT73" s="76">
        <v>2400</v>
      </c>
      <c r="FU73" s="76">
        <v>863</v>
      </c>
      <c r="FV73" s="76">
        <v>1537</v>
      </c>
      <c r="FW73" s="76">
        <v>0</v>
      </c>
      <c r="FX73" s="76">
        <v>0</v>
      </c>
      <c r="FY73" s="76">
        <v>0</v>
      </c>
      <c r="FZ73" s="76">
        <v>0</v>
      </c>
      <c r="GA73" s="76">
        <v>0</v>
      </c>
      <c r="GB73" s="76">
        <v>0</v>
      </c>
      <c r="GC73" s="76">
        <v>6565</v>
      </c>
      <c r="GD73" s="76">
        <v>3987</v>
      </c>
      <c r="GE73" s="76">
        <v>2578</v>
      </c>
      <c r="GF73" s="76">
        <v>16196</v>
      </c>
      <c r="GG73" s="76">
        <v>0</v>
      </c>
      <c r="GH73" s="76">
        <v>0</v>
      </c>
      <c r="GI73" s="76">
        <v>0</v>
      </c>
      <c r="GJ73" s="76">
        <v>0</v>
      </c>
      <c r="GK73" s="76">
        <v>3496</v>
      </c>
      <c r="GL73" s="76">
        <v>19692</v>
      </c>
      <c r="GM73" s="76">
        <v>2137</v>
      </c>
      <c r="GN73" s="76">
        <v>3880</v>
      </c>
      <c r="GO73" s="76">
        <v>812</v>
      </c>
      <c r="GP73" s="76">
        <v>0</v>
      </c>
      <c r="GQ73" s="76">
        <v>0</v>
      </c>
      <c r="GR73" s="76">
        <v>8369</v>
      </c>
      <c r="GS73" s="76">
        <v>0</v>
      </c>
      <c r="GT73" s="76">
        <v>0</v>
      </c>
      <c r="GU73" s="76">
        <v>560</v>
      </c>
      <c r="GV73" s="76">
        <v>0</v>
      </c>
      <c r="GW73" s="76">
        <v>211</v>
      </c>
      <c r="GX73" s="76">
        <v>15969</v>
      </c>
      <c r="GY73" s="76">
        <v>3271</v>
      </c>
      <c r="GZ73" s="76">
        <v>269</v>
      </c>
      <c r="HA73" s="76">
        <v>3354</v>
      </c>
      <c r="HB73" s="76">
        <v>0</v>
      </c>
      <c r="HC73" s="76">
        <v>6894</v>
      </c>
      <c r="HD73" s="76">
        <v>0</v>
      </c>
      <c r="HE73" s="76">
        <v>0</v>
      </c>
      <c r="HF73" s="76">
        <v>0</v>
      </c>
      <c r="HG73" s="76">
        <v>24079</v>
      </c>
      <c r="HH73" s="76">
        <v>0</v>
      </c>
      <c r="HI73" s="76">
        <v>104</v>
      </c>
      <c r="HJ73" s="76">
        <v>0</v>
      </c>
      <c r="HK73" s="76">
        <v>0</v>
      </c>
      <c r="HL73" s="76">
        <v>-355</v>
      </c>
      <c r="HM73" s="76">
        <v>23828</v>
      </c>
      <c r="HN73" s="76">
        <v>2518</v>
      </c>
      <c r="HO73" s="76">
        <v>8689</v>
      </c>
      <c r="HP73" s="76">
        <v>0</v>
      </c>
      <c r="HQ73" s="76">
        <v>201</v>
      </c>
      <c r="HR73" s="76">
        <v>-93</v>
      </c>
      <c r="HS73" s="76">
        <v>-37</v>
      </c>
      <c r="HT73" s="76">
        <v>8780</v>
      </c>
      <c r="HU73" s="76">
        <v>0</v>
      </c>
      <c r="HV73" s="76">
        <v>0</v>
      </c>
      <c r="HW73" s="76">
        <v>0</v>
      </c>
      <c r="HX73" s="76">
        <v>1082</v>
      </c>
    </row>
    <row r="74" spans="1:232" x14ac:dyDescent="0.2">
      <c r="A74" s="74" t="s">
        <v>331</v>
      </c>
      <c r="B74" s="74" t="s">
        <v>330</v>
      </c>
      <c r="C74" s="75" t="s">
        <v>200</v>
      </c>
      <c r="D74" s="75">
        <v>12</v>
      </c>
      <c r="E74" s="76">
        <v>30684</v>
      </c>
      <c r="F74" s="76">
        <v>0</v>
      </c>
      <c r="G74" s="76">
        <v>-21312</v>
      </c>
      <c r="H74" s="76">
        <v>9372</v>
      </c>
      <c r="I74" s="76">
        <v>-135</v>
      </c>
      <c r="J74" s="76">
        <v>0</v>
      </c>
      <c r="K74" s="76">
        <v>0</v>
      </c>
      <c r="L74" s="76">
        <v>0</v>
      </c>
      <c r="M74" s="76">
        <v>1670</v>
      </c>
      <c r="N74" s="76">
        <v>-4536</v>
      </c>
      <c r="O74" s="76">
        <v>0</v>
      </c>
      <c r="P74" s="76">
        <v>0</v>
      </c>
      <c r="Q74" s="76">
        <v>0</v>
      </c>
      <c r="R74" s="76">
        <v>0</v>
      </c>
      <c r="S74" s="76">
        <v>6371</v>
      </c>
      <c r="T74" s="76">
        <v>0</v>
      </c>
      <c r="U74" s="76">
        <v>6371</v>
      </c>
      <c r="V74" s="76">
        <v>-1537</v>
      </c>
      <c r="W74" s="76">
        <v>-3470</v>
      </c>
      <c r="X74" s="76">
        <v>0</v>
      </c>
      <c r="Y74" s="76">
        <v>0</v>
      </c>
      <c r="Z74" s="76">
        <v>1364</v>
      </c>
      <c r="AA74" s="76">
        <v>25763</v>
      </c>
      <c r="AB74" s="76">
        <v>3646</v>
      </c>
      <c r="AC74" s="76">
        <v>29409</v>
      </c>
      <c r="AD74" s="76">
        <v>130</v>
      </c>
      <c r="AE74" s="76">
        <v>0</v>
      </c>
      <c r="AF74" s="76">
        <v>0</v>
      </c>
      <c r="AG74" s="76">
        <v>234</v>
      </c>
      <c r="AH74" s="76">
        <v>29773</v>
      </c>
      <c r="AI74" s="76">
        <v>1262</v>
      </c>
      <c r="AJ74" s="76">
        <v>2458</v>
      </c>
      <c r="AK74" s="76">
        <v>2607</v>
      </c>
      <c r="AL74" s="76">
        <v>1170</v>
      </c>
      <c r="AM74" s="76">
        <v>0</v>
      </c>
      <c r="AN74" s="76">
        <v>238</v>
      </c>
      <c r="AO74" s="76">
        <v>4657</v>
      </c>
      <c r="AP74" s="76">
        <v>0</v>
      </c>
      <c r="AQ74" s="76">
        <v>8759</v>
      </c>
      <c r="AR74" s="76">
        <v>21151</v>
      </c>
      <c r="AS74" s="76">
        <v>8622</v>
      </c>
      <c r="AT74" s="76">
        <v>290</v>
      </c>
      <c r="AU74" s="76">
        <v>137629</v>
      </c>
      <c r="AV74" s="76">
        <v>12847</v>
      </c>
      <c r="AW74" s="76">
        <v>4752</v>
      </c>
      <c r="AX74" s="76">
        <v>24</v>
      </c>
      <c r="AY74" s="76">
        <v>0</v>
      </c>
      <c r="AZ74" s="76">
        <v>0</v>
      </c>
      <c r="BA74" s="76">
        <v>0</v>
      </c>
      <c r="BB74" s="76">
        <v>0</v>
      </c>
      <c r="BC74" s="76">
        <v>0</v>
      </c>
      <c r="BD74" s="76">
        <v>0</v>
      </c>
      <c r="BE74" s="76">
        <v>155252</v>
      </c>
      <c r="BF74" s="76">
        <v>0</v>
      </c>
      <c r="BG74" s="76">
        <v>3818</v>
      </c>
      <c r="BH74" s="76">
        <v>4971</v>
      </c>
      <c r="BI74" s="76">
        <v>0</v>
      </c>
      <c r="BJ74" s="76">
        <v>18939</v>
      </c>
      <c r="BK74" s="76">
        <v>27728</v>
      </c>
      <c r="BL74" s="76">
        <v>0</v>
      </c>
      <c r="BM74" s="76">
        <v>0</v>
      </c>
      <c r="BN74" s="76">
        <v>0</v>
      </c>
      <c r="BO74" s="76">
        <v>6055</v>
      </c>
      <c r="BP74" s="76">
        <v>6055</v>
      </c>
      <c r="BQ74" s="76">
        <v>21673</v>
      </c>
      <c r="BR74" s="76">
        <v>176925</v>
      </c>
      <c r="BS74" s="76">
        <v>82920</v>
      </c>
      <c r="BT74" s="76">
        <v>0</v>
      </c>
      <c r="BU74" s="76">
        <v>0</v>
      </c>
      <c r="BV74" s="76">
        <v>5492</v>
      </c>
      <c r="BW74" s="76">
        <v>0</v>
      </c>
      <c r="BX74" s="76">
        <v>0</v>
      </c>
      <c r="BY74" s="76">
        <v>0</v>
      </c>
      <c r="BZ74" s="76">
        <v>88412</v>
      </c>
      <c r="CA74" s="76">
        <v>9330</v>
      </c>
      <c r="CB74" s="76">
        <v>0</v>
      </c>
      <c r="CC74" s="76">
        <v>79183</v>
      </c>
      <c r="CD74" s="76">
        <v>79183</v>
      </c>
      <c r="CE74" s="76">
        <v>0</v>
      </c>
      <c r="CF74" s="76">
        <v>0</v>
      </c>
      <c r="CG74" s="76">
        <v>0</v>
      </c>
      <c r="CH74" s="76">
        <v>0</v>
      </c>
      <c r="CI74" s="76">
        <v>79183</v>
      </c>
      <c r="CJ74" s="76">
        <v>0</v>
      </c>
      <c r="CK74" s="76">
        <v>0</v>
      </c>
      <c r="CL74" s="76">
        <v>0</v>
      </c>
      <c r="CM74" s="76">
        <v>0</v>
      </c>
      <c r="CN74" s="76">
        <v>0</v>
      </c>
      <c r="CO74" s="76">
        <v>0</v>
      </c>
      <c r="CP74" s="76">
        <v>0</v>
      </c>
      <c r="CQ74" s="76">
        <v>0</v>
      </c>
      <c r="CR74" s="76">
        <v>0</v>
      </c>
      <c r="CS74" s="76">
        <v>0</v>
      </c>
      <c r="CT74" s="76">
        <v>0</v>
      </c>
      <c r="CU74" s="76">
        <v>0</v>
      </c>
      <c r="CV74" s="76">
        <v>0</v>
      </c>
      <c r="CW74" s="76">
        <v>0</v>
      </c>
      <c r="CX74" s="76">
        <v>0</v>
      </c>
      <c r="CY74" s="76">
        <v>0</v>
      </c>
      <c r="CZ74" s="76">
        <v>0</v>
      </c>
      <c r="DA74" s="76">
        <v>0</v>
      </c>
      <c r="DB74" s="76">
        <v>0</v>
      </c>
      <c r="DC74" s="76">
        <v>0</v>
      </c>
      <c r="DD74" s="76">
        <v>0</v>
      </c>
      <c r="DE74" s="76">
        <v>0</v>
      </c>
      <c r="DF74" s="76">
        <v>0</v>
      </c>
      <c r="DG74" s="76">
        <v>0</v>
      </c>
      <c r="DH74" s="76">
        <v>0</v>
      </c>
      <c r="DI74" s="76">
        <v>0</v>
      </c>
      <c r="DJ74" s="76">
        <v>0</v>
      </c>
      <c r="DK74" s="76">
        <v>0</v>
      </c>
      <c r="DL74" s="76">
        <v>0</v>
      </c>
      <c r="DM74" s="76">
        <v>0</v>
      </c>
      <c r="DN74" s="76">
        <v>0</v>
      </c>
      <c r="DO74" s="76">
        <v>0</v>
      </c>
      <c r="DP74" s="76">
        <v>0</v>
      </c>
      <c r="DQ74" s="76">
        <v>0</v>
      </c>
      <c r="DR74" s="76">
        <v>0</v>
      </c>
      <c r="DS74" s="76">
        <v>0</v>
      </c>
      <c r="DT74" s="76">
        <v>0</v>
      </c>
      <c r="DU74" s="76">
        <v>0</v>
      </c>
      <c r="DV74" s="76">
        <v>0</v>
      </c>
      <c r="DW74" s="76">
        <v>0</v>
      </c>
      <c r="DX74" s="76">
        <v>0</v>
      </c>
      <c r="DY74" s="76">
        <v>0</v>
      </c>
      <c r="DZ74" s="76">
        <v>0</v>
      </c>
      <c r="EA74" s="76">
        <v>0</v>
      </c>
      <c r="EB74" s="76">
        <v>911</v>
      </c>
      <c r="EC74" s="76">
        <v>0</v>
      </c>
      <c r="ED74" s="76">
        <v>161</v>
      </c>
      <c r="EE74" s="76">
        <v>750</v>
      </c>
      <c r="EF74" s="76">
        <v>911</v>
      </c>
      <c r="EG74" s="76">
        <v>0</v>
      </c>
      <c r="EH74" s="76">
        <v>161</v>
      </c>
      <c r="EI74" s="76">
        <v>750</v>
      </c>
      <c r="EJ74" s="76">
        <v>911</v>
      </c>
      <c r="EK74" s="76">
        <v>0</v>
      </c>
      <c r="EL74" s="76">
        <v>161</v>
      </c>
      <c r="EM74" s="76">
        <v>750</v>
      </c>
      <c r="EN74" s="76">
        <v>668</v>
      </c>
      <c r="EO74" s="76">
        <v>0</v>
      </c>
      <c r="EP74" s="76">
        <v>599</v>
      </c>
      <c r="EQ74" s="76">
        <v>0</v>
      </c>
      <c r="ER74" s="76">
        <v>151502</v>
      </c>
      <c r="ES74" s="76">
        <v>7536</v>
      </c>
      <c r="ET74" s="76">
        <v>159038</v>
      </c>
      <c r="EU74" s="76">
        <v>21036</v>
      </c>
      <c r="EV74" s="76">
        <v>-985</v>
      </c>
      <c r="EW74" s="76">
        <v>0</v>
      </c>
      <c r="EX74" s="76">
        <v>0</v>
      </c>
      <c r="EY74" s="76">
        <v>-1537</v>
      </c>
      <c r="EZ74" s="76">
        <v>177552</v>
      </c>
      <c r="FA74" s="76">
        <v>22611</v>
      </c>
      <c r="FB74" s="76">
        <v>4657</v>
      </c>
      <c r="FC74" s="76">
        <v>0</v>
      </c>
      <c r="FD74" s="76">
        <v>0</v>
      </c>
      <c r="FE74" s="76">
        <v>-192</v>
      </c>
      <c r="FF74" s="76">
        <v>0</v>
      </c>
      <c r="FG74" s="76">
        <v>0</v>
      </c>
      <c r="FH74" s="76">
        <v>27076</v>
      </c>
      <c r="FI74" s="76">
        <v>150476</v>
      </c>
      <c r="FJ74" s="76">
        <v>136427</v>
      </c>
      <c r="FK74" s="76">
        <v>0</v>
      </c>
      <c r="FL74" s="76">
        <v>0</v>
      </c>
      <c r="FM74" s="76">
        <v>0</v>
      </c>
      <c r="FN74" s="76">
        <v>1004</v>
      </c>
      <c r="FO74" s="76">
        <v>1094</v>
      </c>
      <c r="FP74" s="76">
        <v>-90</v>
      </c>
      <c r="FQ74" s="76">
        <v>768</v>
      </c>
      <c r="FR74" s="76">
        <v>813</v>
      </c>
      <c r="FS74" s="76">
        <v>-45</v>
      </c>
      <c r="FT74" s="76">
        <v>0</v>
      </c>
      <c r="FU74" s="76">
        <v>0</v>
      </c>
      <c r="FV74" s="76">
        <v>0</v>
      </c>
      <c r="FW74" s="76">
        <v>0</v>
      </c>
      <c r="FX74" s="76">
        <v>0</v>
      </c>
      <c r="FY74" s="76">
        <v>0</v>
      </c>
      <c r="FZ74" s="76">
        <v>0</v>
      </c>
      <c r="GA74" s="76">
        <v>0</v>
      </c>
      <c r="GB74" s="76">
        <v>0</v>
      </c>
      <c r="GC74" s="76">
        <v>1772</v>
      </c>
      <c r="GD74" s="76">
        <v>1907</v>
      </c>
      <c r="GE74" s="76">
        <v>-135</v>
      </c>
      <c r="GF74" s="76">
        <v>18078</v>
      </c>
      <c r="GG74" s="76">
        <v>0</v>
      </c>
      <c r="GH74" s="76">
        <v>0</v>
      </c>
      <c r="GI74" s="76">
        <v>0</v>
      </c>
      <c r="GJ74" s="76">
        <v>0</v>
      </c>
      <c r="GK74" s="76">
        <v>861</v>
      </c>
      <c r="GL74" s="76">
        <v>18939</v>
      </c>
      <c r="GM74" s="76">
        <v>1926</v>
      </c>
      <c r="GN74" s="76">
        <v>430</v>
      </c>
      <c r="GO74" s="76">
        <v>0</v>
      </c>
      <c r="GP74" s="76">
        <v>0</v>
      </c>
      <c r="GQ74" s="76">
        <v>0</v>
      </c>
      <c r="GR74" s="76">
        <v>860</v>
      </c>
      <c r="GS74" s="76">
        <v>0</v>
      </c>
      <c r="GT74" s="76">
        <v>0</v>
      </c>
      <c r="GU74" s="76">
        <v>2839</v>
      </c>
      <c r="GV74" s="76">
        <v>0</v>
      </c>
      <c r="GW74" s="76">
        <v>0</v>
      </c>
      <c r="GX74" s="76">
        <v>6055</v>
      </c>
      <c r="GY74" s="76">
        <v>0</v>
      </c>
      <c r="GZ74" s="76">
        <v>0</v>
      </c>
      <c r="HA74" s="76">
        <v>0</v>
      </c>
      <c r="HB74" s="76">
        <v>0</v>
      </c>
      <c r="HC74" s="76">
        <v>0</v>
      </c>
      <c r="HD74" s="76">
        <v>0</v>
      </c>
      <c r="HE74" s="76">
        <v>0</v>
      </c>
      <c r="HF74" s="76">
        <v>0</v>
      </c>
      <c r="HG74" s="76">
        <v>4536</v>
      </c>
      <c r="HH74" s="76">
        <v>0</v>
      </c>
      <c r="HI74" s="76">
        <v>0</v>
      </c>
      <c r="HJ74" s="76">
        <v>0</v>
      </c>
      <c r="HK74" s="76">
        <v>0</v>
      </c>
      <c r="HL74" s="76">
        <v>0</v>
      </c>
      <c r="HM74" s="76">
        <v>4536</v>
      </c>
      <c r="HN74" s="76">
        <v>4828</v>
      </c>
      <c r="HO74" s="76">
        <v>4657</v>
      </c>
      <c r="HP74" s="76">
        <v>0</v>
      </c>
      <c r="HQ74" s="76">
        <v>56</v>
      </c>
      <c r="HR74" s="76">
        <v>-43</v>
      </c>
      <c r="HS74" s="76">
        <v>-2</v>
      </c>
      <c r="HT74" s="76">
        <v>6696</v>
      </c>
      <c r="HU74" s="76">
        <v>70</v>
      </c>
      <c r="HV74" s="76">
        <v>0</v>
      </c>
      <c r="HW74" s="76">
        <v>0</v>
      </c>
      <c r="HX74" s="76">
        <v>135</v>
      </c>
    </row>
    <row r="75" spans="1:232" x14ac:dyDescent="0.2">
      <c r="A75" s="74" t="s">
        <v>62</v>
      </c>
      <c r="B75" s="74" t="s">
        <v>60</v>
      </c>
      <c r="C75" s="75" t="s">
        <v>200</v>
      </c>
      <c r="D75" s="75">
        <v>12</v>
      </c>
      <c r="E75" s="76">
        <v>122294</v>
      </c>
      <c r="F75" s="76">
        <v>-10815</v>
      </c>
      <c r="G75" s="76">
        <v>-70617</v>
      </c>
      <c r="H75" s="76">
        <v>40862</v>
      </c>
      <c r="I75" s="76">
        <v>3701</v>
      </c>
      <c r="J75" s="76">
        <v>3177</v>
      </c>
      <c r="K75" s="76">
        <v>0</v>
      </c>
      <c r="L75" s="76">
        <v>0</v>
      </c>
      <c r="M75" s="76">
        <v>632</v>
      </c>
      <c r="N75" s="76">
        <v>-13876</v>
      </c>
      <c r="O75" s="76">
        <v>984</v>
      </c>
      <c r="P75" s="76">
        <v>450</v>
      </c>
      <c r="Q75" s="76">
        <v>0</v>
      </c>
      <c r="R75" s="76">
        <v>0</v>
      </c>
      <c r="S75" s="76">
        <v>35930</v>
      </c>
      <c r="T75" s="76">
        <v>0</v>
      </c>
      <c r="U75" s="76">
        <v>35930</v>
      </c>
      <c r="V75" s="76">
        <v>0</v>
      </c>
      <c r="W75" s="76">
        <v>-1186</v>
      </c>
      <c r="X75" s="76">
        <v>-5607</v>
      </c>
      <c r="Y75" s="76">
        <v>0</v>
      </c>
      <c r="Z75" s="76">
        <v>29137</v>
      </c>
      <c r="AA75" s="76">
        <v>94774</v>
      </c>
      <c r="AB75" s="76">
        <v>7031</v>
      </c>
      <c r="AC75" s="76">
        <v>101805</v>
      </c>
      <c r="AD75" s="76">
        <v>4578</v>
      </c>
      <c r="AE75" s="76">
        <v>0</v>
      </c>
      <c r="AF75" s="76">
        <v>0</v>
      </c>
      <c r="AG75" s="76">
        <v>0</v>
      </c>
      <c r="AH75" s="76">
        <v>106383</v>
      </c>
      <c r="AI75" s="76">
        <v>20041</v>
      </c>
      <c r="AJ75" s="76">
        <v>6986</v>
      </c>
      <c r="AK75" s="76">
        <v>14071</v>
      </c>
      <c r="AL75" s="76">
        <v>5795</v>
      </c>
      <c r="AM75" s="76">
        <v>4544</v>
      </c>
      <c r="AN75" s="76">
        <v>369</v>
      </c>
      <c r="AO75" s="76">
        <v>16336</v>
      </c>
      <c r="AP75" s="76">
        <v>0</v>
      </c>
      <c r="AQ75" s="76">
        <v>0</v>
      </c>
      <c r="AR75" s="76">
        <v>68142</v>
      </c>
      <c r="AS75" s="76">
        <v>38241</v>
      </c>
      <c r="AT75" s="76">
        <v>468</v>
      </c>
      <c r="AU75" s="76">
        <v>1122492</v>
      </c>
      <c r="AV75" s="76">
        <v>0</v>
      </c>
      <c r="AW75" s="76">
        <v>12676</v>
      </c>
      <c r="AX75" s="76">
        <v>0</v>
      </c>
      <c r="AY75" s="76">
        <v>4974</v>
      </c>
      <c r="AZ75" s="76">
        <v>10077</v>
      </c>
      <c r="BA75" s="76">
        <v>0</v>
      </c>
      <c r="BB75" s="76">
        <v>0</v>
      </c>
      <c r="BC75" s="76">
        <v>24487</v>
      </c>
      <c r="BD75" s="76">
        <v>2353</v>
      </c>
      <c r="BE75" s="76">
        <v>1177059</v>
      </c>
      <c r="BF75" s="76">
        <v>9012</v>
      </c>
      <c r="BG75" s="76">
        <v>5623</v>
      </c>
      <c r="BH75" s="76">
        <v>39965</v>
      </c>
      <c r="BI75" s="76">
        <v>0</v>
      </c>
      <c r="BJ75" s="76">
        <v>6015</v>
      </c>
      <c r="BK75" s="76">
        <v>60615</v>
      </c>
      <c r="BL75" s="76">
        <v>5821</v>
      </c>
      <c r="BM75" s="76">
        <v>0</v>
      </c>
      <c r="BN75" s="76">
        <v>0</v>
      </c>
      <c r="BO75" s="76">
        <v>36540</v>
      </c>
      <c r="BP75" s="76">
        <v>42361</v>
      </c>
      <c r="BQ75" s="76">
        <v>18254</v>
      </c>
      <c r="BR75" s="76">
        <v>1195313</v>
      </c>
      <c r="BS75" s="76">
        <v>162761</v>
      </c>
      <c r="BT75" s="76">
        <v>295000</v>
      </c>
      <c r="BU75" s="76">
        <v>0</v>
      </c>
      <c r="BV75" s="76">
        <v>384399</v>
      </c>
      <c r="BW75" s="76">
        <v>4974</v>
      </c>
      <c r="BX75" s="76">
        <v>70355</v>
      </c>
      <c r="BY75" s="76">
        <v>16360</v>
      </c>
      <c r="BZ75" s="76">
        <v>933849</v>
      </c>
      <c r="CA75" s="76">
        <v>6930</v>
      </c>
      <c r="CB75" s="76">
        <v>0</v>
      </c>
      <c r="CC75" s="76">
        <v>254534</v>
      </c>
      <c r="CD75" s="76">
        <v>253321</v>
      </c>
      <c r="CE75" s="76">
        <v>0</v>
      </c>
      <c r="CF75" s="76">
        <v>0</v>
      </c>
      <c r="CG75" s="76">
        <v>-69781</v>
      </c>
      <c r="CH75" s="76">
        <v>70994</v>
      </c>
      <c r="CI75" s="76">
        <v>254534</v>
      </c>
      <c r="CJ75" s="76">
        <v>13751</v>
      </c>
      <c r="CK75" s="76">
        <v>10815</v>
      </c>
      <c r="CL75" s="76">
        <v>0</v>
      </c>
      <c r="CM75" s="76">
        <v>2936</v>
      </c>
      <c r="CN75" s="76">
        <v>302</v>
      </c>
      <c r="CO75" s="76">
        <v>0</v>
      </c>
      <c r="CP75" s="76">
        <v>203</v>
      </c>
      <c r="CQ75" s="76">
        <v>99</v>
      </c>
      <c r="CR75" s="76">
        <v>80</v>
      </c>
      <c r="CS75" s="76">
        <v>0</v>
      </c>
      <c r="CT75" s="76">
        <v>1362</v>
      </c>
      <c r="CU75" s="76">
        <v>-1282</v>
      </c>
      <c r="CV75" s="76">
        <v>0</v>
      </c>
      <c r="CW75" s="76">
        <v>0</v>
      </c>
      <c r="CX75" s="76">
        <v>0</v>
      </c>
      <c r="CY75" s="76">
        <v>0</v>
      </c>
      <c r="CZ75" s="76">
        <v>337</v>
      </c>
      <c r="DA75" s="76">
        <v>0</v>
      </c>
      <c r="DB75" s="76">
        <v>347</v>
      </c>
      <c r="DC75" s="76">
        <v>-10</v>
      </c>
      <c r="DD75" s="76">
        <v>14470</v>
      </c>
      <c r="DE75" s="76">
        <v>10815</v>
      </c>
      <c r="DF75" s="76">
        <v>1912</v>
      </c>
      <c r="DG75" s="76">
        <v>1743</v>
      </c>
      <c r="DH75" s="76">
        <v>0</v>
      </c>
      <c r="DI75" s="76">
        <v>0</v>
      </c>
      <c r="DJ75" s="76">
        <v>0</v>
      </c>
      <c r="DK75" s="76">
        <v>0</v>
      </c>
      <c r="DL75" s="76">
        <v>0</v>
      </c>
      <c r="DM75" s="76">
        <v>0</v>
      </c>
      <c r="DN75" s="76">
        <v>0</v>
      </c>
      <c r="DO75" s="76">
        <v>0</v>
      </c>
      <c r="DP75" s="76">
        <v>0</v>
      </c>
      <c r="DQ75" s="76">
        <v>0</v>
      </c>
      <c r="DR75" s="76">
        <v>0</v>
      </c>
      <c r="DS75" s="76">
        <v>0</v>
      </c>
      <c r="DT75" s="76">
        <v>529</v>
      </c>
      <c r="DU75" s="76">
        <v>0</v>
      </c>
      <c r="DV75" s="76">
        <v>221</v>
      </c>
      <c r="DW75" s="76">
        <v>308</v>
      </c>
      <c r="DX75" s="76">
        <v>0</v>
      </c>
      <c r="DY75" s="76">
        <v>0</v>
      </c>
      <c r="DZ75" s="76">
        <v>0</v>
      </c>
      <c r="EA75" s="76">
        <v>0</v>
      </c>
      <c r="EB75" s="76">
        <v>912</v>
      </c>
      <c r="EC75" s="76">
        <v>0</v>
      </c>
      <c r="ED75" s="76">
        <v>342</v>
      </c>
      <c r="EE75" s="76">
        <v>570</v>
      </c>
      <c r="EF75" s="76">
        <v>1441</v>
      </c>
      <c r="EG75" s="76">
        <v>0</v>
      </c>
      <c r="EH75" s="76">
        <v>563</v>
      </c>
      <c r="EI75" s="76">
        <v>878</v>
      </c>
      <c r="EJ75" s="76">
        <v>15911</v>
      </c>
      <c r="EK75" s="76">
        <v>10815</v>
      </c>
      <c r="EL75" s="76">
        <v>2475</v>
      </c>
      <c r="EM75" s="76">
        <v>2621</v>
      </c>
      <c r="EN75" s="76">
        <v>4386</v>
      </c>
      <c r="EO75" s="76">
        <v>972</v>
      </c>
      <c r="EP75" s="76">
        <v>179</v>
      </c>
      <c r="EQ75" s="76">
        <v>972</v>
      </c>
      <c r="ER75" s="76">
        <v>1205973</v>
      </c>
      <c r="ES75" s="76">
        <v>0</v>
      </c>
      <c r="ET75" s="76">
        <v>1205973</v>
      </c>
      <c r="EU75" s="76">
        <v>96966</v>
      </c>
      <c r="EV75" s="76">
        <v>-6367</v>
      </c>
      <c r="EW75" s="76">
        <v>0</v>
      </c>
      <c r="EX75" s="76">
        <v>-139</v>
      </c>
      <c r="EY75" s="76">
        <v>0</v>
      </c>
      <c r="EZ75" s="76">
        <v>1296433</v>
      </c>
      <c r="FA75" s="76">
        <v>159029</v>
      </c>
      <c r="FB75" s="76">
        <v>16405</v>
      </c>
      <c r="FC75" s="76">
        <v>0</v>
      </c>
      <c r="FD75" s="76">
        <v>0</v>
      </c>
      <c r="FE75" s="76">
        <v>-1493</v>
      </c>
      <c r="FF75" s="76">
        <v>0</v>
      </c>
      <c r="FG75" s="76">
        <v>0</v>
      </c>
      <c r="FH75" s="76">
        <v>173941</v>
      </c>
      <c r="FI75" s="76">
        <v>1122492</v>
      </c>
      <c r="FJ75" s="76">
        <v>1046944</v>
      </c>
      <c r="FK75" s="76">
        <v>4308</v>
      </c>
      <c r="FL75" s="76">
        <v>2218</v>
      </c>
      <c r="FM75" s="76">
        <v>2090</v>
      </c>
      <c r="FN75" s="76">
        <v>1506</v>
      </c>
      <c r="FO75" s="76">
        <v>1325</v>
      </c>
      <c r="FP75" s="76">
        <v>181</v>
      </c>
      <c r="FQ75" s="76">
        <v>129</v>
      </c>
      <c r="FR75" s="76">
        <v>129</v>
      </c>
      <c r="FS75" s="76">
        <v>0</v>
      </c>
      <c r="FT75" s="76">
        <v>3474</v>
      </c>
      <c r="FU75" s="76">
        <v>2088</v>
      </c>
      <c r="FV75" s="76">
        <v>1386</v>
      </c>
      <c r="FW75" s="76">
        <v>0</v>
      </c>
      <c r="FX75" s="76">
        <v>0</v>
      </c>
      <c r="FY75" s="76">
        <v>0</v>
      </c>
      <c r="FZ75" s="76">
        <v>44</v>
      </c>
      <c r="GA75" s="76">
        <v>0</v>
      </c>
      <c r="GB75" s="76">
        <v>44</v>
      </c>
      <c r="GC75" s="76">
        <v>9461</v>
      </c>
      <c r="GD75" s="76">
        <v>5760</v>
      </c>
      <c r="GE75" s="76">
        <v>3701</v>
      </c>
      <c r="GF75" s="76">
        <v>298</v>
      </c>
      <c r="GG75" s="76">
        <v>17</v>
      </c>
      <c r="GH75" s="76">
        <v>978</v>
      </c>
      <c r="GI75" s="76">
        <v>0</v>
      </c>
      <c r="GJ75" s="76">
        <v>0</v>
      </c>
      <c r="GK75" s="76">
        <v>4722</v>
      </c>
      <c r="GL75" s="76">
        <v>6015</v>
      </c>
      <c r="GM75" s="76">
        <v>1787</v>
      </c>
      <c r="GN75" s="76">
        <v>8656</v>
      </c>
      <c r="GO75" s="76">
        <v>1421</v>
      </c>
      <c r="GP75" s="76">
        <v>437</v>
      </c>
      <c r="GQ75" s="76">
        <v>248</v>
      </c>
      <c r="GR75" s="76">
        <v>15513</v>
      </c>
      <c r="GS75" s="76">
        <v>0</v>
      </c>
      <c r="GT75" s="76">
        <v>0</v>
      </c>
      <c r="GU75" s="76">
        <v>1823</v>
      </c>
      <c r="GV75" s="76">
        <v>0</v>
      </c>
      <c r="GW75" s="76">
        <v>6655</v>
      </c>
      <c r="GX75" s="76">
        <v>36540</v>
      </c>
      <c r="GY75" s="76">
        <v>4522</v>
      </c>
      <c r="GZ75" s="76">
        <v>193</v>
      </c>
      <c r="HA75" s="76">
        <v>11645</v>
      </c>
      <c r="HB75" s="76">
        <v>0</v>
      </c>
      <c r="HC75" s="76">
        <v>16360</v>
      </c>
      <c r="HD75" s="76">
        <v>0</v>
      </c>
      <c r="HE75" s="76">
        <v>0</v>
      </c>
      <c r="HF75" s="76">
        <v>0</v>
      </c>
      <c r="HG75" s="76">
        <v>14329</v>
      </c>
      <c r="HH75" s="76">
        <v>304</v>
      </c>
      <c r="HI75" s="76">
        <v>495</v>
      </c>
      <c r="HJ75" s="76">
        <v>18</v>
      </c>
      <c r="HK75" s="76">
        <v>11</v>
      </c>
      <c r="HL75" s="76">
        <v>-1281</v>
      </c>
      <c r="HM75" s="76">
        <v>13876</v>
      </c>
      <c r="HN75" s="76">
        <v>7593</v>
      </c>
      <c r="HO75" s="76">
        <v>18154</v>
      </c>
      <c r="HP75" s="76">
        <v>0</v>
      </c>
      <c r="HQ75" s="76">
        <v>608</v>
      </c>
      <c r="HR75" s="76">
        <v>-53</v>
      </c>
      <c r="HS75" s="76">
        <v>118</v>
      </c>
      <c r="HT75" s="76">
        <v>22313</v>
      </c>
      <c r="HU75" s="76">
        <v>0</v>
      </c>
      <c r="HV75" s="76">
        <v>-1</v>
      </c>
      <c r="HW75" s="76">
        <v>1</v>
      </c>
      <c r="HX75" s="76">
        <v>108</v>
      </c>
    </row>
    <row r="76" spans="1:232" x14ac:dyDescent="0.2">
      <c r="A76" s="71" t="s">
        <v>332</v>
      </c>
      <c r="B76" s="71" t="s">
        <v>333</v>
      </c>
      <c r="C76" s="72" t="s">
        <v>200</v>
      </c>
      <c r="D76" s="72">
        <v>12</v>
      </c>
      <c r="E76" s="73">
        <v>39051</v>
      </c>
      <c r="F76" s="73">
        <v>-2940</v>
      </c>
      <c r="G76" s="73">
        <v>-21641</v>
      </c>
      <c r="H76" s="73">
        <v>14470</v>
      </c>
      <c r="I76" s="73">
        <v>563</v>
      </c>
      <c r="J76" s="73">
        <v>0</v>
      </c>
      <c r="K76" s="73">
        <v>0</v>
      </c>
      <c r="L76" s="73">
        <v>0</v>
      </c>
      <c r="M76" s="73">
        <v>50</v>
      </c>
      <c r="N76" s="73">
        <v>-5375</v>
      </c>
      <c r="O76" s="73">
        <v>23</v>
      </c>
      <c r="P76" s="73">
        <v>0</v>
      </c>
      <c r="Q76" s="73">
        <v>0</v>
      </c>
      <c r="R76" s="73">
        <v>0</v>
      </c>
      <c r="S76" s="73">
        <v>9731</v>
      </c>
      <c r="T76" s="73">
        <v>0</v>
      </c>
      <c r="U76" s="73">
        <v>9731</v>
      </c>
      <c r="V76" s="73">
        <v>0</v>
      </c>
      <c r="W76" s="73">
        <v>-1082</v>
      </c>
      <c r="X76" s="73">
        <v>0</v>
      </c>
      <c r="Y76" s="73">
        <v>0</v>
      </c>
      <c r="Z76" s="73">
        <v>8649</v>
      </c>
      <c r="AA76" s="73">
        <v>31911</v>
      </c>
      <c r="AB76" s="73">
        <v>1065</v>
      </c>
      <c r="AC76" s="73">
        <v>32976</v>
      </c>
      <c r="AD76" s="73">
        <v>661</v>
      </c>
      <c r="AE76" s="73">
        <v>0</v>
      </c>
      <c r="AF76" s="73">
        <v>0</v>
      </c>
      <c r="AG76" s="73">
        <v>0</v>
      </c>
      <c r="AH76" s="73">
        <v>33637</v>
      </c>
      <c r="AI76" s="73">
        <v>5925</v>
      </c>
      <c r="AJ76" s="73">
        <v>1190</v>
      </c>
      <c r="AK76" s="73">
        <v>3850</v>
      </c>
      <c r="AL76" s="73">
        <v>1368</v>
      </c>
      <c r="AM76" s="73">
        <v>3768</v>
      </c>
      <c r="AN76" s="73">
        <v>57</v>
      </c>
      <c r="AO76" s="73">
        <v>3815</v>
      </c>
      <c r="AP76" s="73">
        <v>-1321</v>
      </c>
      <c r="AQ76" s="73">
        <v>291</v>
      </c>
      <c r="AR76" s="73">
        <v>18943</v>
      </c>
      <c r="AS76" s="73">
        <v>14694</v>
      </c>
      <c r="AT76" s="73">
        <v>241</v>
      </c>
      <c r="AU76" s="73">
        <v>271724</v>
      </c>
      <c r="AV76" s="73">
        <v>0</v>
      </c>
      <c r="AW76" s="73">
        <v>1412</v>
      </c>
      <c r="AX76" s="73">
        <v>0</v>
      </c>
      <c r="AY76" s="73">
        <v>0</v>
      </c>
      <c r="AZ76" s="73">
        <v>423</v>
      </c>
      <c r="BA76" s="73">
        <v>0</v>
      </c>
      <c r="BB76" s="73">
        <v>0</v>
      </c>
      <c r="BC76" s="73">
        <v>0</v>
      </c>
      <c r="BD76" s="73">
        <v>0</v>
      </c>
      <c r="BE76" s="73">
        <v>273559</v>
      </c>
      <c r="BF76" s="73">
        <v>1715</v>
      </c>
      <c r="BG76" s="73">
        <v>231</v>
      </c>
      <c r="BH76" s="73">
        <v>1651</v>
      </c>
      <c r="BI76" s="73">
        <v>0</v>
      </c>
      <c r="BJ76" s="73">
        <v>32548</v>
      </c>
      <c r="BK76" s="73">
        <v>36145</v>
      </c>
      <c r="BL76" s="73">
        <v>0</v>
      </c>
      <c r="BM76" s="73">
        <v>0</v>
      </c>
      <c r="BN76" s="73">
        <v>670</v>
      </c>
      <c r="BO76" s="73">
        <v>4916</v>
      </c>
      <c r="BP76" s="73">
        <v>5586</v>
      </c>
      <c r="BQ76" s="73">
        <v>30559</v>
      </c>
      <c r="BR76" s="73">
        <v>304118</v>
      </c>
      <c r="BS76" s="73">
        <v>178200</v>
      </c>
      <c r="BT76" s="73">
        <v>0</v>
      </c>
      <c r="BU76" s="73">
        <v>0</v>
      </c>
      <c r="BV76" s="73">
        <v>59515</v>
      </c>
      <c r="BW76" s="73">
        <v>0</v>
      </c>
      <c r="BX76" s="73">
        <v>0</v>
      </c>
      <c r="BY76" s="73">
        <v>3907</v>
      </c>
      <c r="BZ76" s="73">
        <v>241622</v>
      </c>
      <c r="CA76" s="73">
        <v>7979</v>
      </c>
      <c r="CB76" s="73">
        <v>0</v>
      </c>
      <c r="CC76" s="73">
        <v>54517</v>
      </c>
      <c r="CD76" s="73">
        <v>54230</v>
      </c>
      <c r="CE76" s="73">
        <v>0</v>
      </c>
      <c r="CF76" s="73">
        <v>287</v>
      </c>
      <c r="CG76" s="73">
        <v>0</v>
      </c>
      <c r="CH76" s="73">
        <v>0</v>
      </c>
      <c r="CI76" s="73">
        <v>54517</v>
      </c>
      <c r="CJ76" s="73">
        <v>5262</v>
      </c>
      <c r="CK76" s="73">
        <v>2940</v>
      </c>
      <c r="CL76" s="73">
        <v>5</v>
      </c>
      <c r="CM76" s="73">
        <v>2317</v>
      </c>
      <c r="CN76" s="73">
        <v>0</v>
      </c>
      <c r="CO76" s="73">
        <v>0</v>
      </c>
      <c r="CP76" s="73">
        <v>0</v>
      </c>
      <c r="CQ76" s="73">
        <v>0</v>
      </c>
      <c r="CR76" s="73">
        <v>0</v>
      </c>
      <c r="CS76" s="73">
        <v>0</v>
      </c>
      <c r="CT76" s="73">
        <v>2388</v>
      </c>
      <c r="CU76" s="73">
        <v>-2388</v>
      </c>
      <c r="CV76" s="73">
        <v>0</v>
      </c>
      <c r="CW76" s="73">
        <v>0</v>
      </c>
      <c r="CX76" s="73">
        <v>0</v>
      </c>
      <c r="CY76" s="73">
        <v>0</v>
      </c>
      <c r="CZ76" s="73">
        <v>44</v>
      </c>
      <c r="DA76" s="73">
        <v>0</v>
      </c>
      <c r="DB76" s="73">
        <v>215</v>
      </c>
      <c r="DC76" s="73">
        <v>-171</v>
      </c>
      <c r="DD76" s="73">
        <v>5306</v>
      </c>
      <c r="DE76" s="73">
        <v>2940</v>
      </c>
      <c r="DF76" s="73">
        <v>2608</v>
      </c>
      <c r="DG76" s="73">
        <v>-242</v>
      </c>
      <c r="DH76" s="73">
        <v>0</v>
      </c>
      <c r="DI76" s="73">
        <v>0</v>
      </c>
      <c r="DJ76" s="73">
        <v>0</v>
      </c>
      <c r="DK76" s="73">
        <v>0</v>
      </c>
      <c r="DL76" s="73">
        <v>0</v>
      </c>
      <c r="DM76" s="73">
        <v>0</v>
      </c>
      <c r="DN76" s="73">
        <v>0</v>
      </c>
      <c r="DO76" s="73">
        <v>0</v>
      </c>
      <c r="DP76" s="73">
        <v>0</v>
      </c>
      <c r="DQ76" s="73">
        <v>0</v>
      </c>
      <c r="DR76" s="73">
        <v>0</v>
      </c>
      <c r="DS76" s="73">
        <v>0</v>
      </c>
      <c r="DT76" s="73">
        <v>21</v>
      </c>
      <c r="DU76" s="73">
        <v>0</v>
      </c>
      <c r="DV76" s="73">
        <v>5</v>
      </c>
      <c r="DW76" s="73">
        <v>16</v>
      </c>
      <c r="DX76" s="73">
        <v>56</v>
      </c>
      <c r="DY76" s="73">
        <v>0</v>
      </c>
      <c r="DZ76" s="73">
        <v>47</v>
      </c>
      <c r="EA76" s="73">
        <v>9</v>
      </c>
      <c r="EB76" s="73">
        <v>31</v>
      </c>
      <c r="EC76" s="73">
        <v>0</v>
      </c>
      <c r="ED76" s="73">
        <v>38</v>
      </c>
      <c r="EE76" s="73">
        <v>-7</v>
      </c>
      <c r="EF76" s="73">
        <v>108</v>
      </c>
      <c r="EG76" s="73">
        <v>0</v>
      </c>
      <c r="EH76" s="73">
        <v>90</v>
      </c>
      <c r="EI76" s="73">
        <v>18</v>
      </c>
      <c r="EJ76" s="73">
        <v>5414</v>
      </c>
      <c r="EK76" s="73">
        <v>2940</v>
      </c>
      <c r="EL76" s="73">
        <v>2698</v>
      </c>
      <c r="EM76" s="73">
        <v>-224</v>
      </c>
      <c r="EN76" s="73">
        <v>697</v>
      </c>
      <c r="EO76" s="73">
        <v>175</v>
      </c>
      <c r="EP76" s="73">
        <v>135</v>
      </c>
      <c r="EQ76" s="73">
        <v>175</v>
      </c>
      <c r="ER76" s="73">
        <v>293844</v>
      </c>
      <c r="ES76" s="73">
        <v>0</v>
      </c>
      <c r="ET76" s="73">
        <v>293844</v>
      </c>
      <c r="EU76" s="73">
        <v>24276</v>
      </c>
      <c r="EV76" s="73">
        <v>-2815</v>
      </c>
      <c r="EW76" s="73">
        <v>0</v>
      </c>
      <c r="EX76" s="73">
        <v>0</v>
      </c>
      <c r="EY76" s="73">
        <v>1148</v>
      </c>
      <c r="EZ76" s="73">
        <v>316453</v>
      </c>
      <c r="FA76" s="73">
        <v>42356</v>
      </c>
      <c r="FB76" s="73">
        <v>3815</v>
      </c>
      <c r="FC76" s="73">
        <v>145</v>
      </c>
      <c r="FD76" s="73">
        <v>0</v>
      </c>
      <c r="FE76" s="73">
        <v>-1587</v>
      </c>
      <c r="FF76" s="73">
        <v>0</v>
      </c>
      <c r="FG76" s="73">
        <v>0</v>
      </c>
      <c r="FH76" s="73">
        <v>44729</v>
      </c>
      <c r="FI76" s="73">
        <v>271724</v>
      </c>
      <c r="FJ76" s="73">
        <v>251488</v>
      </c>
      <c r="FK76" s="73">
        <v>879</v>
      </c>
      <c r="FL76" s="73">
        <v>534</v>
      </c>
      <c r="FM76" s="73">
        <v>345</v>
      </c>
      <c r="FN76" s="73">
        <v>95</v>
      </c>
      <c r="FO76" s="73">
        <v>42</v>
      </c>
      <c r="FP76" s="73">
        <v>53</v>
      </c>
      <c r="FQ76" s="73">
        <v>0</v>
      </c>
      <c r="FR76" s="73">
        <v>0</v>
      </c>
      <c r="FS76" s="73">
        <v>0</v>
      </c>
      <c r="FT76" s="73">
        <v>0</v>
      </c>
      <c r="FU76" s="73">
        <v>0</v>
      </c>
      <c r="FV76" s="73">
        <v>0</v>
      </c>
      <c r="FW76" s="73">
        <v>0</v>
      </c>
      <c r="FX76" s="73">
        <v>0</v>
      </c>
      <c r="FY76" s="73">
        <v>0</v>
      </c>
      <c r="FZ76" s="73">
        <v>513</v>
      </c>
      <c r="GA76" s="73">
        <v>348</v>
      </c>
      <c r="GB76" s="73">
        <v>165</v>
      </c>
      <c r="GC76" s="73">
        <v>1487</v>
      </c>
      <c r="GD76" s="73">
        <v>924</v>
      </c>
      <c r="GE76" s="73">
        <v>563</v>
      </c>
      <c r="GF76" s="73">
        <v>299</v>
      </c>
      <c r="GG76" s="73">
        <v>0</v>
      </c>
      <c r="GH76" s="73">
        <v>0</v>
      </c>
      <c r="GI76" s="73">
        <v>0</v>
      </c>
      <c r="GJ76" s="73">
        <v>0</v>
      </c>
      <c r="GK76" s="73">
        <v>32249</v>
      </c>
      <c r="GL76" s="73">
        <v>32548</v>
      </c>
      <c r="GM76" s="73">
        <v>1904</v>
      </c>
      <c r="GN76" s="73">
        <v>703</v>
      </c>
      <c r="GO76" s="73">
        <v>0</v>
      </c>
      <c r="GP76" s="73">
        <v>0</v>
      </c>
      <c r="GQ76" s="73">
        <v>0</v>
      </c>
      <c r="GR76" s="73">
        <v>927</v>
      </c>
      <c r="GS76" s="73">
        <v>0</v>
      </c>
      <c r="GT76" s="73">
        <v>0</v>
      </c>
      <c r="GU76" s="73">
        <v>0</v>
      </c>
      <c r="GV76" s="73">
        <v>0</v>
      </c>
      <c r="GW76" s="73">
        <v>1382</v>
      </c>
      <c r="GX76" s="73">
        <v>4916</v>
      </c>
      <c r="GY76" s="73">
        <v>0</v>
      </c>
      <c r="GZ76" s="73">
        <v>0</v>
      </c>
      <c r="HA76" s="73">
        <v>0</v>
      </c>
      <c r="HB76" s="73">
        <v>3907</v>
      </c>
      <c r="HC76" s="73">
        <v>3907</v>
      </c>
      <c r="HD76" s="73">
        <v>0</v>
      </c>
      <c r="HE76" s="73">
        <v>0</v>
      </c>
      <c r="HF76" s="73">
        <v>0</v>
      </c>
      <c r="HG76" s="73">
        <v>5080</v>
      </c>
      <c r="HH76" s="73">
        <v>92</v>
      </c>
      <c r="HI76" s="73">
        <v>203</v>
      </c>
      <c r="HJ76" s="73">
        <v>0</v>
      </c>
      <c r="HK76" s="73">
        <v>0</v>
      </c>
      <c r="HL76" s="73">
        <v>0</v>
      </c>
      <c r="HM76" s="73">
        <v>5375</v>
      </c>
      <c r="HN76" s="73">
        <v>2041</v>
      </c>
      <c r="HO76" s="73">
        <v>3887</v>
      </c>
      <c r="HP76" s="73">
        <v>-1321</v>
      </c>
      <c r="HQ76" s="73">
        <v>170</v>
      </c>
      <c r="HR76" s="73">
        <v>-28</v>
      </c>
      <c r="HS76" s="73">
        <v>1</v>
      </c>
      <c r="HT76" s="73">
        <v>5731</v>
      </c>
      <c r="HU76" s="73">
        <v>0</v>
      </c>
      <c r="HV76" s="73">
        <v>0</v>
      </c>
      <c r="HW76" s="73">
        <v>0</v>
      </c>
      <c r="HX76" s="73">
        <v>2</v>
      </c>
    </row>
    <row r="77" spans="1:232" x14ac:dyDescent="0.2">
      <c r="A77" s="74" t="s">
        <v>64</v>
      </c>
      <c r="B77" s="74" t="s">
        <v>63</v>
      </c>
      <c r="C77" s="75" t="s">
        <v>200</v>
      </c>
      <c r="D77" s="75">
        <v>12</v>
      </c>
      <c r="E77" s="76">
        <v>8652</v>
      </c>
      <c r="F77" s="76">
        <v>0</v>
      </c>
      <c r="G77" s="76">
        <v>-5542</v>
      </c>
      <c r="H77" s="76">
        <v>3110</v>
      </c>
      <c r="I77" s="76">
        <v>-253</v>
      </c>
      <c r="J77" s="76">
        <v>0</v>
      </c>
      <c r="K77" s="76">
        <v>0</v>
      </c>
      <c r="L77" s="76">
        <v>0</v>
      </c>
      <c r="M77" s="76">
        <v>14</v>
      </c>
      <c r="N77" s="76">
        <v>-852</v>
      </c>
      <c r="O77" s="76">
        <v>0</v>
      </c>
      <c r="P77" s="76">
        <v>56</v>
      </c>
      <c r="Q77" s="76">
        <v>0</v>
      </c>
      <c r="R77" s="76">
        <v>0</v>
      </c>
      <c r="S77" s="76">
        <v>2075</v>
      </c>
      <c r="T77" s="76">
        <v>0</v>
      </c>
      <c r="U77" s="76">
        <v>2075</v>
      </c>
      <c r="V77" s="76">
        <v>0</v>
      </c>
      <c r="W77" s="76">
        <v>-41</v>
      </c>
      <c r="X77" s="76">
        <v>0</v>
      </c>
      <c r="Y77" s="76">
        <v>0</v>
      </c>
      <c r="Z77" s="76">
        <v>2034</v>
      </c>
      <c r="AA77" s="76">
        <v>7785</v>
      </c>
      <c r="AB77" s="76">
        <v>363</v>
      </c>
      <c r="AC77" s="76">
        <v>8148</v>
      </c>
      <c r="AD77" s="76">
        <v>419</v>
      </c>
      <c r="AE77" s="76">
        <v>14</v>
      </c>
      <c r="AF77" s="76">
        <v>0</v>
      </c>
      <c r="AG77" s="76">
        <v>0</v>
      </c>
      <c r="AH77" s="76">
        <v>8581</v>
      </c>
      <c r="AI77" s="76">
        <v>833</v>
      </c>
      <c r="AJ77" s="76">
        <v>197</v>
      </c>
      <c r="AK77" s="76">
        <v>1965</v>
      </c>
      <c r="AL77" s="76">
        <v>5</v>
      </c>
      <c r="AM77" s="76">
        <v>0</v>
      </c>
      <c r="AN77" s="76">
        <v>4</v>
      </c>
      <c r="AO77" s="76">
        <v>1706</v>
      </c>
      <c r="AP77" s="76">
        <v>0</v>
      </c>
      <c r="AQ77" s="76">
        <v>803</v>
      </c>
      <c r="AR77" s="76">
        <v>5513</v>
      </c>
      <c r="AS77" s="76">
        <v>3068</v>
      </c>
      <c r="AT77" s="76">
        <v>111</v>
      </c>
      <c r="AU77" s="76">
        <v>72981</v>
      </c>
      <c r="AV77" s="76">
        <v>0</v>
      </c>
      <c r="AW77" s="76">
        <v>369</v>
      </c>
      <c r="AX77" s="76">
        <v>0</v>
      </c>
      <c r="AY77" s="76">
        <v>0</v>
      </c>
      <c r="AZ77" s="76">
        <v>0</v>
      </c>
      <c r="BA77" s="76">
        <v>0</v>
      </c>
      <c r="BB77" s="76">
        <v>0</v>
      </c>
      <c r="BC77" s="76">
        <v>0</v>
      </c>
      <c r="BD77" s="76">
        <v>439</v>
      </c>
      <c r="BE77" s="76">
        <v>73789</v>
      </c>
      <c r="BF77" s="76">
        <v>0</v>
      </c>
      <c r="BG77" s="76">
        <v>376</v>
      </c>
      <c r="BH77" s="76">
        <v>3385</v>
      </c>
      <c r="BI77" s="76">
        <v>0</v>
      </c>
      <c r="BJ77" s="76">
        <v>0</v>
      </c>
      <c r="BK77" s="76">
        <v>3761</v>
      </c>
      <c r="BL77" s="76">
        <v>966</v>
      </c>
      <c r="BM77" s="76">
        <v>0</v>
      </c>
      <c r="BN77" s="76">
        <v>434</v>
      </c>
      <c r="BO77" s="76">
        <v>1099</v>
      </c>
      <c r="BP77" s="76">
        <v>2499</v>
      </c>
      <c r="BQ77" s="76">
        <v>1262</v>
      </c>
      <c r="BR77" s="76">
        <v>75051</v>
      </c>
      <c r="BS77" s="76">
        <v>17534</v>
      </c>
      <c r="BT77" s="76">
        <v>0</v>
      </c>
      <c r="BU77" s="76">
        <v>0</v>
      </c>
      <c r="BV77" s="76">
        <v>37076</v>
      </c>
      <c r="BW77" s="76">
        <v>0</v>
      </c>
      <c r="BX77" s="76">
        <v>0</v>
      </c>
      <c r="BY77" s="76">
        <v>565</v>
      </c>
      <c r="BZ77" s="76">
        <v>55175</v>
      </c>
      <c r="CA77" s="76">
        <v>1182</v>
      </c>
      <c r="CB77" s="76">
        <v>0</v>
      </c>
      <c r="CC77" s="76">
        <v>18694</v>
      </c>
      <c r="CD77" s="76">
        <v>14286</v>
      </c>
      <c r="CE77" s="76">
        <v>0</v>
      </c>
      <c r="CF77" s="76">
        <v>757</v>
      </c>
      <c r="CG77" s="76">
        <v>0</v>
      </c>
      <c r="CH77" s="76">
        <v>3651</v>
      </c>
      <c r="CI77" s="76">
        <v>18694</v>
      </c>
      <c r="CJ77" s="76">
        <v>0</v>
      </c>
      <c r="CK77" s="76">
        <v>0</v>
      </c>
      <c r="CL77" s="76">
        <v>0</v>
      </c>
      <c r="CM77" s="76">
        <v>0</v>
      </c>
      <c r="CN77" s="76">
        <v>0</v>
      </c>
      <c r="CO77" s="76">
        <v>0</v>
      </c>
      <c r="CP77" s="76">
        <v>0</v>
      </c>
      <c r="CQ77" s="76">
        <v>0</v>
      </c>
      <c r="CR77" s="76">
        <v>0</v>
      </c>
      <c r="CS77" s="76">
        <v>0</v>
      </c>
      <c r="CT77" s="76">
        <v>0</v>
      </c>
      <c r="CU77" s="76">
        <v>0</v>
      </c>
      <c r="CV77" s="76">
        <v>0</v>
      </c>
      <c r="CW77" s="76">
        <v>0</v>
      </c>
      <c r="CX77" s="76">
        <v>0</v>
      </c>
      <c r="CY77" s="76">
        <v>0</v>
      </c>
      <c r="CZ77" s="76">
        <v>0</v>
      </c>
      <c r="DA77" s="76">
        <v>0</v>
      </c>
      <c r="DB77" s="76">
        <v>0</v>
      </c>
      <c r="DC77" s="76">
        <v>0</v>
      </c>
      <c r="DD77" s="76">
        <v>0</v>
      </c>
      <c r="DE77" s="76">
        <v>0</v>
      </c>
      <c r="DF77" s="76">
        <v>0</v>
      </c>
      <c r="DG77" s="76">
        <v>0</v>
      </c>
      <c r="DH77" s="76">
        <v>0</v>
      </c>
      <c r="DI77" s="76">
        <v>0</v>
      </c>
      <c r="DJ77" s="76">
        <v>0</v>
      </c>
      <c r="DK77" s="76">
        <v>0</v>
      </c>
      <c r="DL77" s="76">
        <v>0</v>
      </c>
      <c r="DM77" s="76">
        <v>0</v>
      </c>
      <c r="DN77" s="76">
        <v>0</v>
      </c>
      <c r="DO77" s="76">
        <v>0</v>
      </c>
      <c r="DP77" s="76">
        <v>0</v>
      </c>
      <c r="DQ77" s="76">
        <v>0</v>
      </c>
      <c r="DR77" s="76">
        <v>0</v>
      </c>
      <c r="DS77" s="76">
        <v>0</v>
      </c>
      <c r="DT77" s="76">
        <v>0</v>
      </c>
      <c r="DU77" s="76">
        <v>0</v>
      </c>
      <c r="DV77" s="76">
        <v>0</v>
      </c>
      <c r="DW77" s="76">
        <v>0</v>
      </c>
      <c r="DX77" s="76">
        <v>0</v>
      </c>
      <c r="DY77" s="76">
        <v>0</v>
      </c>
      <c r="DZ77" s="76">
        <v>0</v>
      </c>
      <c r="EA77" s="76">
        <v>0</v>
      </c>
      <c r="EB77" s="76">
        <v>70</v>
      </c>
      <c r="EC77" s="76">
        <v>0</v>
      </c>
      <c r="ED77" s="76">
        <v>28</v>
      </c>
      <c r="EE77" s="76">
        <v>42</v>
      </c>
      <c r="EF77" s="76">
        <v>70</v>
      </c>
      <c r="EG77" s="76">
        <v>0</v>
      </c>
      <c r="EH77" s="76">
        <v>28</v>
      </c>
      <c r="EI77" s="76">
        <v>42</v>
      </c>
      <c r="EJ77" s="76">
        <v>70</v>
      </c>
      <c r="EK77" s="76">
        <v>0</v>
      </c>
      <c r="EL77" s="76">
        <v>28</v>
      </c>
      <c r="EM77" s="76">
        <v>42</v>
      </c>
      <c r="EN77" s="76">
        <v>215</v>
      </c>
      <c r="EO77" s="76">
        <v>9</v>
      </c>
      <c r="EP77" s="76">
        <v>16</v>
      </c>
      <c r="EQ77" s="76">
        <v>9</v>
      </c>
      <c r="ER77" s="76">
        <v>88406</v>
      </c>
      <c r="ES77" s="76">
        <v>0</v>
      </c>
      <c r="ET77" s="76">
        <v>88406</v>
      </c>
      <c r="EU77" s="76">
        <v>1376</v>
      </c>
      <c r="EV77" s="76">
        <v>-1032</v>
      </c>
      <c r="EW77" s="76">
        <v>0</v>
      </c>
      <c r="EX77" s="76">
        <v>0</v>
      </c>
      <c r="EY77" s="76">
        <v>1363</v>
      </c>
      <c r="EZ77" s="76">
        <v>90113</v>
      </c>
      <c r="FA77" s="76">
        <v>15931</v>
      </c>
      <c r="FB77" s="76">
        <v>1707</v>
      </c>
      <c r="FC77" s="76">
        <v>0</v>
      </c>
      <c r="FD77" s="76">
        <v>0</v>
      </c>
      <c r="FE77" s="76">
        <v>-506</v>
      </c>
      <c r="FF77" s="76">
        <v>0</v>
      </c>
      <c r="FG77" s="76">
        <v>0</v>
      </c>
      <c r="FH77" s="76">
        <v>17132</v>
      </c>
      <c r="FI77" s="76">
        <v>72981</v>
      </c>
      <c r="FJ77" s="76">
        <v>72475</v>
      </c>
      <c r="FK77" s="76">
        <v>0</v>
      </c>
      <c r="FL77" s="76">
        <v>0</v>
      </c>
      <c r="FM77" s="76">
        <v>0</v>
      </c>
      <c r="FN77" s="76">
        <v>0</v>
      </c>
      <c r="FO77" s="76">
        <v>0</v>
      </c>
      <c r="FP77" s="76">
        <v>0</v>
      </c>
      <c r="FQ77" s="76">
        <v>0</v>
      </c>
      <c r="FR77" s="76">
        <v>0</v>
      </c>
      <c r="FS77" s="76">
        <v>0</v>
      </c>
      <c r="FT77" s="76">
        <v>164</v>
      </c>
      <c r="FU77" s="76">
        <v>149</v>
      </c>
      <c r="FV77" s="76">
        <v>15</v>
      </c>
      <c r="FW77" s="76">
        <v>196</v>
      </c>
      <c r="FX77" s="76">
        <v>464</v>
      </c>
      <c r="FY77" s="76">
        <v>-268</v>
      </c>
      <c r="FZ77" s="76">
        <v>0</v>
      </c>
      <c r="GA77" s="76">
        <v>0</v>
      </c>
      <c r="GB77" s="76">
        <v>0</v>
      </c>
      <c r="GC77" s="76">
        <v>360</v>
      </c>
      <c r="GD77" s="76">
        <v>613</v>
      </c>
      <c r="GE77" s="76">
        <v>-253</v>
      </c>
      <c r="GF77" s="76">
        <v>0</v>
      </c>
      <c r="GG77" s="76">
        <v>0</v>
      </c>
      <c r="GH77" s="76">
        <v>0</v>
      </c>
      <c r="GI77" s="76">
        <v>0</v>
      </c>
      <c r="GJ77" s="76">
        <v>0</v>
      </c>
      <c r="GK77" s="76">
        <v>0</v>
      </c>
      <c r="GL77" s="76">
        <v>0</v>
      </c>
      <c r="GM77" s="76">
        <v>186</v>
      </c>
      <c r="GN77" s="76">
        <v>53</v>
      </c>
      <c r="GO77" s="76">
        <v>0</v>
      </c>
      <c r="GP77" s="76">
        <v>333</v>
      </c>
      <c r="GQ77" s="76">
        <v>0</v>
      </c>
      <c r="GR77" s="76">
        <v>300</v>
      </c>
      <c r="GS77" s="76">
        <v>0</v>
      </c>
      <c r="GT77" s="76">
        <v>0</v>
      </c>
      <c r="GU77" s="76">
        <v>0</v>
      </c>
      <c r="GV77" s="76">
        <v>0</v>
      </c>
      <c r="GW77" s="76">
        <v>227</v>
      </c>
      <c r="GX77" s="76">
        <v>1099</v>
      </c>
      <c r="GY77" s="76">
        <v>565</v>
      </c>
      <c r="GZ77" s="76">
        <v>0</v>
      </c>
      <c r="HA77" s="76">
        <v>0</v>
      </c>
      <c r="HB77" s="76">
        <v>0</v>
      </c>
      <c r="HC77" s="76">
        <v>565</v>
      </c>
      <c r="HD77" s="76">
        <v>0</v>
      </c>
      <c r="HE77" s="76">
        <v>0</v>
      </c>
      <c r="HF77" s="76">
        <v>0</v>
      </c>
      <c r="HG77" s="76">
        <v>824</v>
      </c>
      <c r="HH77" s="76">
        <v>0</v>
      </c>
      <c r="HI77" s="76">
        <v>28</v>
      </c>
      <c r="HJ77" s="76">
        <v>0</v>
      </c>
      <c r="HK77" s="76">
        <v>0</v>
      </c>
      <c r="HL77" s="76">
        <v>0</v>
      </c>
      <c r="HM77" s="76">
        <v>852</v>
      </c>
      <c r="HN77" s="76">
        <v>1208</v>
      </c>
      <c r="HO77" s="76">
        <v>1736</v>
      </c>
      <c r="HP77" s="76">
        <v>0</v>
      </c>
      <c r="HQ77" s="76">
        <v>0</v>
      </c>
      <c r="HR77" s="76">
        <v>-5</v>
      </c>
      <c r="HS77" s="76">
        <v>0</v>
      </c>
      <c r="HT77" s="76">
        <v>1763</v>
      </c>
      <c r="HU77" s="76">
        <v>0</v>
      </c>
      <c r="HV77" s="76">
        <v>0</v>
      </c>
      <c r="HW77" s="76">
        <v>0</v>
      </c>
      <c r="HX77" s="76">
        <v>0</v>
      </c>
    </row>
    <row r="78" spans="1:232" x14ac:dyDescent="0.2">
      <c r="A78" s="74" t="s">
        <v>334</v>
      </c>
      <c r="B78" s="74" t="s">
        <v>335</v>
      </c>
      <c r="C78" s="75" t="s">
        <v>200</v>
      </c>
      <c r="D78" s="75">
        <v>12</v>
      </c>
      <c r="E78" s="76">
        <v>22589</v>
      </c>
      <c r="F78" s="76">
        <v>0</v>
      </c>
      <c r="G78" s="76">
        <v>-14085</v>
      </c>
      <c r="H78" s="76">
        <v>8504</v>
      </c>
      <c r="I78" s="76">
        <v>1427</v>
      </c>
      <c r="J78" s="76">
        <v>0</v>
      </c>
      <c r="K78" s="76">
        <v>0</v>
      </c>
      <c r="L78" s="76">
        <v>0</v>
      </c>
      <c r="M78" s="76">
        <v>0</v>
      </c>
      <c r="N78" s="76">
        <v>-1682</v>
      </c>
      <c r="O78" s="76">
        <v>0</v>
      </c>
      <c r="P78" s="76">
        <v>0</v>
      </c>
      <c r="Q78" s="76">
        <v>0</v>
      </c>
      <c r="R78" s="76">
        <v>0</v>
      </c>
      <c r="S78" s="76">
        <v>8249</v>
      </c>
      <c r="T78" s="76">
        <v>0</v>
      </c>
      <c r="U78" s="76">
        <v>8249</v>
      </c>
      <c r="V78" s="76">
        <v>0</v>
      </c>
      <c r="W78" s="76">
        <v>-887</v>
      </c>
      <c r="X78" s="76">
        <v>0</v>
      </c>
      <c r="Y78" s="76">
        <v>0</v>
      </c>
      <c r="Z78" s="76">
        <v>7362</v>
      </c>
      <c r="AA78" s="76">
        <v>22105</v>
      </c>
      <c r="AB78" s="76">
        <v>282</v>
      </c>
      <c r="AC78" s="76">
        <v>22387</v>
      </c>
      <c r="AD78" s="76">
        <v>0</v>
      </c>
      <c r="AE78" s="76">
        <v>0</v>
      </c>
      <c r="AF78" s="76">
        <v>0</v>
      </c>
      <c r="AG78" s="76">
        <v>0</v>
      </c>
      <c r="AH78" s="76">
        <v>22387</v>
      </c>
      <c r="AI78" s="76">
        <v>6707</v>
      </c>
      <c r="AJ78" s="76">
        <v>417</v>
      </c>
      <c r="AK78" s="76">
        <v>4953</v>
      </c>
      <c r="AL78" s="76">
        <v>525</v>
      </c>
      <c r="AM78" s="76">
        <v>200</v>
      </c>
      <c r="AN78" s="76">
        <v>166</v>
      </c>
      <c r="AO78" s="76">
        <v>1099</v>
      </c>
      <c r="AP78" s="76">
        <v>0</v>
      </c>
      <c r="AQ78" s="76">
        <v>0</v>
      </c>
      <c r="AR78" s="76">
        <v>14067</v>
      </c>
      <c r="AS78" s="76">
        <v>8320</v>
      </c>
      <c r="AT78" s="76">
        <v>282</v>
      </c>
      <c r="AU78" s="76">
        <v>49403</v>
      </c>
      <c r="AV78" s="76">
        <v>0</v>
      </c>
      <c r="AW78" s="76">
        <v>0</v>
      </c>
      <c r="AX78" s="76">
        <v>0</v>
      </c>
      <c r="AY78" s="76">
        <v>0</v>
      </c>
      <c r="AZ78" s="76">
        <v>0</v>
      </c>
      <c r="BA78" s="76">
        <v>0</v>
      </c>
      <c r="BB78" s="76">
        <v>0</v>
      </c>
      <c r="BC78" s="76">
        <v>0</v>
      </c>
      <c r="BD78" s="76">
        <v>0</v>
      </c>
      <c r="BE78" s="76">
        <v>49403</v>
      </c>
      <c r="BF78" s="76">
        <v>0</v>
      </c>
      <c r="BG78" s="76">
        <v>17174</v>
      </c>
      <c r="BH78" s="76">
        <v>3</v>
      </c>
      <c r="BI78" s="76">
        <v>0</v>
      </c>
      <c r="BJ78" s="76">
        <v>0</v>
      </c>
      <c r="BK78" s="76">
        <v>17177</v>
      </c>
      <c r="BL78" s="76">
        <v>0</v>
      </c>
      <c r="BM78" s="76">
        <v>0</v>
      </c>
      <c r="BN78" s="76">
        <v>0</v>
      </c>
      <c r="BO78" s="76">
        <v>14621</v>
      </c>
      <c r="BP78" s="76">
        <v>14621</v>
      </c>
      <c r="BQ78" s="76">
        <v>2556</v>
      </c>
      <c r="BR78" s="76">
        <v>51959</v>
      </c>
      <c r="BS78" s="76">
        <v>0</v>
      </c>
      <c r="BT78" s="76">
        <v>36437</v>
      </c>
      <c r="BU78" s="76">
        <v>0</v>
      </c>
      <c r="BV78" s="76">
        <v>0</v>
      </c>
      <c r="BW78" s="76">
        <v>0</v>
      </c>
      <c r="BX78" s="76">
        <v>0</v>
      </c>
      <c r="BY78" s="76">
        <v>0</v>
      </c>
      <c r="BZ78" s="76">
        <v>36437</v>
      </c>
      <c r="CA78" s="76">
        <v>6057</v>
      </c>
      <c r="CB78" s="76">
        <v>493</v>
      </c>
      <c r="CC78" s="76">
        <v>8972</v>
      </c>
      <c r="CD78" s="76">
        <v>8972</v>
      </c>
      <c r="CE78" s="76">
        <v>0</v>
      </c>
      <c r="CF78" s="76">
        <v>0</v>
      </c>
      <c r="CG78" s="76">
        <v>0</v>
      </c>
      <c r="CH78" s="76">
        <v>0</v>
      </c>
      <c r="CI78" s="76">
        <v>8972</v>
      </c>
      <c r="CJ78" s="76">
        <v>0</v>
      </c>
      <c r="CK78" s="76">
        <v>0</v>
      </c>
      <c r="CL78" s="76">
        <v>0</v>
      </c>
      <c r="CM78" s="76">
        <v>0</v>
      </c>
      <c r="CN78" s="76">
        <v>0</v>
      </c>
      <c r="CO78" s="76">
        <v>0</v>
      </c>
      <c r="CP78" s="76">
        <v>0</v>
      </c>
      <c r="CQ78" s="76">
        <v>0</v>
      </c>
      <c r="CR78" s="76">
        <v>0</v>
      </c>
      <c r="CS78" s="76">
        <v>0</v>
      </c>
      <c r="CT78" s="76">
        <v>0</v>
      </c>
      <c r="CU78" s="76">
        <v>0</v>
      </c>
      <c r="CV78" s="76">
        <v>0</v>
      </c>
      <c r="CW78" s="76">
        <v>0</v>
      </c>
      <c r="CX78" s="76">
        <v>0</v>
      </c>
      <c r="CY78" s="76">
        <v>0</v>
      </c>
      <c r="CZ78" s="76">
        <v>0</v>
      </c>
      <c r="DA78" s="76">
        <v>0</v>
      </c>
      <c r="DB78" s="76">
        <v>0</v>
      </c>
      <c r="DC78" s="76">
        <v>0</v>
      </c>
      <c r="DD78" s="76">
        <v>0</v>
      </c>
      <c r="DE78" s="76">
        <v>0</v>
      </c>
      <c r="DF78" s="76">
        <v>0</v>
      </c>
      <c r="DG78" s="76">
        <v>0</v>
      </c>
      <c r="DH78" s="76">
        <v>0</v>
      </c>
      <c r="DI78" s="76">
        <v>0</v>
      </c>
      <c r="DJ78" s="76">
        <v>0</v>
      </c>
      <c r="DK78" s="76">
        <v>0</v>
      </c>
      <c r="DL78" s="76">
        <v>0</v>
      </c>
      <c r="DM78" s="76">
        <v>0</v>
      </c>
      <c r="DN78" s="76">
        <v>0</v>
      </c>
      <c r="DO78" s="76">
        <v>0</v>
      </c>
      <c r="DP78" s="76">
        <v>0</v>
      </c>
      <c r="DQ78" s="76">
        <v>0</v>
      </c>
      <c r="DR78" s="76">
        <v>0</v>
      </c>
      <c r="DS78" s="76">
        <v>0</v>
      </c>
      <c r="DT78" s="76">
        <v>0</v>
      </c>
      <c r="DU78" s="76">
        <v>0</v>
      </c>
      <c r="DV78" s="76">
        <v>0</v>
      </c>
      <c r="DW78" s="76">
        <v>0</v>
      </c>
      <c r="DX78" s="76">
        <v>0</v>
      </c>
      <c r="DY78" s="76">
        <v>0</v>
      </c>
      <c r="DZ78" s="76">
        <v>0</v>
      </c>
      <c r="EA78" s="76">
        <v>0</v>
      </c>
      <c r="EB78" s="76">
        <v>202</v>
      </c>
      <c r="EC78" s="76">
        <v>0</v>
      </c>
      <c r="ED78" s="76">
        <v>18</v>
      </c>
      <c r="EE78" s="76">
        <v>184</v>
      </c>
      <c r="EF78" s="76">
        <v>202</v>
      </c>
      <c r="EG78" s="76">
        <v>0</v>
      </c>
      <c r="EH78" s="76">
        <v>18</v>
      </c>
      <c r="EI78" s="76">
        <v>184</v>
      </c>
      <c r="EJ78" s="76">
        <v>202</v>
      </c>
      <c r="EK78" s="76">
        <v>0</v>
      </c>
      <c r="EL78" s="76">
        <v>18</v>
      </c>
      <c r="EM78" s="76">
        <v>184</v>
      </c>
      <c r="EN78" s="76">
        <v>1654</v>
      </c>
      <c r="EO78" s="76">
        <v>597</v>
      </c>
      <c r="EP78" s="76">
        <v>309</v>
      </c>
      <c r="EQ78" s="76">
        <v>597</v>
      </c>
      <c r="ER78" s="76">
        <v>45681</v>
      </c>
      <c r="ES78" s="76">
        <v>0</v>
      </c>
      <c r="ET78" s="76">
        <v>45681</v>
      </c>
      <c r="EU78" s="76">
        <v>6492</v>
      </c>
      <c r="EV78" s="76">
        <v>-826</v>
      </c>
      <c r="EW78" s="76">
        <v>0</v>
      </c>
      <c r="EX78" s="76">
        <v>0</v>
      </c>
      <c r="EY78" s="76">
        <v>0</v>
      </c>
      <c r="EZ78" s="76">
        <v>51347</v>
      </c>
      <c r="FA78" s="76">
        <v>872</v>
      </c>
      <c r="FB78" s="76">
        <v>1105</v>
      </c>
      <c r="FC78" s="76">
        <v>0</v>
      </c>
      <c r="FD78" s="76">
        <v>0</v>
      </c>
      <c r="FE78" s="76">
        <v>-33</v>
      </c>
      <c r="FF78" s="76">
        <v>0</v>
      </c>
      <c r="FG78" s="76">
        <v>0</v>
      </c>
      <c r="FH78" s="76">
        <v>1944</v>
      </c>
      <c r="FI78" s="76">
        <v>49403</v>
      </c>
      <c r="FJ78" s="76">
        <v>44809</v>
      </c>
      <c r="FK78" s="76">
        <v>0</v>
      </c>
      <c r="FL78" s="76">
        <v>0</v>
      </c>
      <c r="FM78" s="76">
        <v>0</v>
      </c>
      <c r="FN78" s="76">
        <v>2220</v>
      </c>
      <c r="FO78" s="76">
        <v>793</v>
      </c>
      <c r="FP78" s="76">
        <v>1427</v>
      </c>
      <c r="FQ78" s="76">
        <v>0</v>
      </c>
      <c r="FR78" s="76">
        <v>0</v>
      </c>
      <c r="FS78" s="76">
        <v>0</v>
      </c>
      <c r="FT78" s="76">
        <v>0</v>
      </c>
      <c r="FU78" s="76">
        <v>0</v>
      </c>
      <c r="FV78" s="76">
        <v>0</v>
      </c>
      <c r="FW78" s="76">
        <v>0</v>
      </c>
      <c r="FX78" s="76">
        <v>0</v>
      </c>
      <c r="FY78" s="76">
        <v>0</v>
      </c>
      <c r="FZ78" s="76">
        <v>0</v>
      </c>
      <c r="GA78" s="76">
        <v>0</v>
      </c>
      <c r="GB78" s="76">
        <v>0</v>
      </c>
      <c r="GC78" s="76">
        <v>2220</v>
      </c>
      <c r="GD78" s="76">
        <v>793</v>
      </c>
      <c r="GE78" s="76">
        <v>1427</v>
      </c>
      <c r="GF78" s="76">
        <v>0</v>
      </c>
      <c r="GG78" s="76">
        <v>0</v>
      </c>
      <c r="GH78" s="76">
        <v>0</v>
      </c>
      <c r="GI78" s="76">
        <v>0</v>
      </c>
      <c r="GJ78" s="76">
        <v>0</v>
      </c>
      <c r="GK78" s="76">
        <v>0</v>
      </c>
      <c r="GL78" s="76">
        <v>0</v>
      </c>
      <c r="GM78" s="76">
        <v>0</v>
      </c>
      <c r="GN78" s="76">
        <v>59</v>
      </c>
      <c r="GO78" s="76">
        <v>14491</v>
      </c>
      <c r="GP78" s="76">
        <v>0</v>
      </c>
      <c r="GQ78" s="76">
        <v>0</v>
      </c>
      <c r="GR78" s="76">
        <v>35</v>
      </c>
      <c r="GS78" s="76">
        <v>0</v>
      </c>
      <c r="GT78" s="76">
        <v>0</v>
      </c>
      <c r="GU78" s="76">
        <v>0</v>
      </c>
      <c r="GV78" s="76">
        <v>0</v>
      </c>
      <c r="GW78" s="76">
        <v>36</v>
      </c>
      <c r="GX78" s="76">
        <v>14621</v>
      </c>
      <c r="GY78" s="76">
        <v>0</v>
      </c>
      <c r="GZ78" s="76">
        <v>0</v>
      </c>
      <c r="HA78" s="76">
        <v>0</v>
      </c>
      <c r="HB78" s="76">
        <v>0</v>
      </c>
      <c r="HC78" s="76">
        <v>0</v>
      </c>
      <c r="HD78" s="76">
        <v>0</v>
      </c>
      <c r="HE78" s="76">
        <v>493</v>
      </c>
      <c r="HF78" s="76">
        <v>493</v>
      </c>
      <c r="HG78" s="76">
        <v>1435</v>
      </c>
      <c r="HH78" s="76">
        <v>0</v>
      </c>
      <c r="HI78" s="76">
        <v>166</v>
      </c>
      <c r="HJ78" s="76">
        <v>0</v>
      </c>
      <c r="HK78" s="76">
        <v>81</v>
      </c>
      <c r="HL78" s="76">
        <v>0</v>
      </c>
      <c r="HM78" s="76">
        <v>1682</v>
      </c>
      <c r="HN78" s="76">
        <v>6492</v>
      </c>
      <c r="HO78" s="76">
        <v>1105</v>
      </c>
      <c r="HP78" s="76">
        <v>0</v>
      </c>
      <c r="HQ78" s="76">
        <v>14</v>
      </c>
      <c r="HR78" s="76">
        <v>-53</v>
      </c>
      <c r="HS78" s="76">
        <v>2</v>
      </c>
      <c r="HT78" s="76">
        <v>5811</v>
      </c>
      <c r="HU78" s="76">
        <v>0</v>
      </c>
      <c r="HV78" s="76">
        <v>0</v>
      </c>
      <c r="HW78" s="76">
        <v>-4</v>
      </c>
      <c r="HX78" s="76">
        <v>115</v>
      </c>
    </row>
    <row r="79" spans="1:232" x14ac:dyDescent="0.2">
      <c r="A79" s="74" t="s">
        <v>336</v>
      </c>
      <c r="B79" s="74" t="s">
        <v>337</v>
      </c>
      <c r="C79" s="75" t="s">
        <v>200</v>
      </c>
      <c r="D79" s="75">
        <v>12</v>
      </c>
      <c r="E79" s="76">
        <v>29909</v>
      </c>
      <c r="F79" s="76">
        <v>0</v>
      </c>
      <c r="G79" s="76">
        <v>-22280</v>
      </c>
      <c r="H79" s="76">
        <v>7629</v>
      </c>
      <c r="I79" s="76">
        <v>639</v>
      </c>
      <c r="J79" s="76">
        <v>0</v>
      </c>
      <c r="K79" s="76">
        <v>0</v>
      </c>
      <c r="L79" s="76">
        <v>0</v>
      </c>
      <c r="M79" s="76">
        <v>0</v>
      </c>
      <c r="N79" s="76">
        <v>-2637</v>
      </c>
      <c r="O79" s="76">
        <v>0</v>
      </c>
      <c r="P79" s="76">
        <v>0</v>
      </c>
      <c r="Q79" s="76">
        <v>0</v>
      </c>
      <c r="R79" s="76">
        <v>0</v>
      </c>
      <c r="S79" s="76">
        <v>5631</v>
      </c>
      <c r="T79" s="76">
        <v>0</v>
      </c>
      <c r="U79" s="76">
        <v>5631</v>
      </c>
      <c r="V79" s="76">
        <v>0</v>
      </c>
      <c r="W79" s="76">
        <v>-3750</v>
      </c>
      <c r="X79" s="76">
        <v>0</v>
      </c>
      <c r="Y79" s="76">
        <v>0</v>
      </c>
      <c r="Z79" s="76">
        <v>1881</v>
      </c>
      <c r="AA79" s="76">
        <v>28506</v>
      </c>
      <c r="AB79" s="76">
        <v>761</v>
      </c>
      <c r="AC79" s="76">
        <v>29267</v>
      </c>
      <c r="AD79" s="76">
        <v>0</v>
      </c>
      <c r="AE79" s="76">
        <v>0</v>
      </c>
      <c r="AF79" s="76">
        <v>0</v>
      </c>
      <c r="AG79" s="76">
        <v>0</v>
      </c>
      <c r="AH79" s="76">
        <v>29267</v>
      </c>
      <c r="AI79" s="76">
        <v>10656</v>
      </c>
      <c r="AJ79" s="76">
        <v>363</v>
      </c>
      <c r="AK79" s="76">
        <v>8234</v>
      </c>
      <c r="AL79" s="76">
        <v>1448</v>
      </c>
      <c r="AM79" s="76">
        <v>20</v>
      </c>
      <c r="AN79" s="76">
        <v>152</v>
      </c>
      <c r="AO79" s="76">
        <v>1289</v>
      </c>
      <c r="AP79" s="76">
        <v>0</v>
      </c>
      <c r="AQ79" s="76">
        <v>0</v>
      </c>
      <c r="AR79" s="76">
        <v>22162</v>
      </c>
      <c r="AS79" s="76">
        <v>7105</v>
      </c>
      <c r="AT79" s="76">
        <v>497</v>
      </c>
      <c r="AU79" s="76">
        <v>60736</v>
      </c>
      <c r="AV79" s="76">
        <v>0</v>
      </c>
      <c r="AW79" s="76">
        <v>0</v>
      </c>
      <c r="AX79" s="76">
        <v>0</v>
      </c>
      <c r="AY79" s="76">
        <v>0</v>
      </c>
      <c r="AZ79" s="76">
        <v>0</v>
      </c>
      <c r="BA79" s="76">
        <v>0</v>
      </c>
      <c r="BB79" s="76">
        <v>0</v>
      </c>
      <c r="BC79" s="76">
        <v>0</v>
      </c>
      <c r="BD79" s="76">
        <v>0</v>
      </c>
      <c r="BE79" s="76">
        <v>60736</v>
      </c>
      <c r="BF79" s="76">
        <v>0</v>
      </c>
      <c r="BG79" s="76">
        <v>7664</v>
      </c>
      <c r="BH79" s="76">
        <v>0</v>
      </c>
      <c r="BI79" s="76">
        <v>0</v>
      </c>
      <c r="BJ79" s="76">
        <v>0</v>
      </c>
      <c r="BK79" s="76">
        <v>7664</v>
      </c>
      <c r="BL79" s="76">
        <v>0</v>
      </c>
      <c r="BM79" s="76">
        <v>1</v>
      </c>
      <c r="BN79" s="76">
        <v>0</v>
      </c>
      <c r="BO79" s="76">
        <v>5177</v>
      </c>
      <c r="BP79" s="76">
        <v>5178</v>
      </c>
      <c r="BQ79" s="76">
        <v>2486</v>
      </c>
      <c r="BR79" s="76">
        <v>63222</v>
      </c>
      <c r="BS79" s="76">
        <v>0</v>
      </c>
      <c r="BT79" s="76">
        <v>51131</v>
      </c>
      <c r="BU79" s="76">
        <v>0</v>
      </c>
      <c r="BV79" s="76">
        <v>0</v>
      </c>
      <c r="BW79" s="76">
        <v>0</v>
      </c>
      <c r="BX79" s="76">
        <v>0</v>
      </c>
      <c r="BY79" s="76">
        <v>0</v>
      </c>
      <c r="BZ79" s="76">
        <v>51131</v>
      </c>
      <c r="CA79" s="76">
        <v>19470</v>
      </c>
      <c r="CB79" s="76">
        <v>0</v>
      </c>
      <c r="CC79" s="76">
        <v>-7379</v>
      </c>
      <c r="CD79" s="76">
        <v>-7379</v>
      </c>
      <c r="CE79" s="76">
        <v>0</v>
      </c>
      <c r="CF79" s="76">
        <v>0</v>
      </c>
      <c r="CG79" s="76">
        <v>0</v>
      </c>
      <c r="CH79" s="76">
        <v>0</v>
      </c>
      <c r="CI79" s="76">
        <v>-7379</v>
      </c>
      <c r="CJ79" s="76">
        <v>0</v>
      </c>
      <c r="CK79" s="76">
        <v>0</v>
      </c>
      <c r="CL79" s="76">
        <v>0</v>
      </c>
      <c r="CM79" s="76">
        <v>0</v>
      </c>
      <c r="CN79" s="76">
        <v>0</v>
      </c>
      <c r="CO79" s="76">
        <v>0</v>
      </c>
      <c r="CP79" s="76">
        <v>0</v>
      </c>
      <c r="CQ79" s="76">
        <v>0</v>
      </c>
      <c r="CR79" s="76">
        <v>0</v>
      </c>
      <c r="CS79" s="76">
        <v>0</v>
      </c>
      <c r="CT79" s="76">
        <v>0</v>
      </c>
      <c r="CU79" s="76">
        <v>0</v>
      </c>
      <c r="CV79" s="76">
        <v>0</v>
      </c>
      <c r="CW79" s="76">
        <v>0</v>
      </c>
      <c r="CX79" s="76">
        <v>0</v>
      </c>
      <c r="CY79" s="76">
        <v>0</v>
      </c>
      <c r="CZ79" s="76">
        <v>0</v>
      </c>
      <c r="DA79" s="76">
        <v>0</v>
      </c>
      <c r="DB79" s="76">
        <v>0</v>
      </c>
      <c r="DC79" s="76">
        <v>0</v>
      </c>
      <c r="DD79" s="76">
        <v>0</v>
      </c>
      <c r="DE79" s="76">
        <v>0</v>
      </c>
      <c r="DF79" s="76">
        <v>0</v>
      </c>
      <c r="DG79" s="76">
        <v>0</v>
      </c>
      <c r="DH79" s="76">
        <v>0</v>
      </c>
      <c r="DI79" s="76">
        <v>0</v>
      </c>
      <c r="DJ79" s="76">
        <v>0</v>
      </c>
      <c r="DK79" s="76">
        <v>0</v>
      </c>
      <c r="DL79" s="76">
        <v>0</v>
      </c>
      <c r="DM79" s="76">
        <v>0</v>
      </c>
      <c r="DN79" s="76">
        <v>0</v>
      </c>
      <c r="DO79" s="76">
        <v>0</v>
      </c>
      <c r="DP79" s="76">
        <v>0</v>
      </c>
      <c r="DQ79" s="76">
        <v>0</v>
      </c>
      <c r="DR79" s="76">
        <v>0</v>
      </c>
      <c r="DS79" s="76">
        <v>0</v>
      </c>
      <c r="DT79" s="76">
        <v>0</v>
      </c>
      <c r="DU79" s="76">
        <v>0</v>
      </c>
      <c r="DV79" s="76">
        <v>0</v>
      </c>
      <c r="DW79" s="76">
        <v>0</v>
      </c>
      <c r="DX79" s="76">
        <v>0</v>
      </c>
      <c r="DY79" s="76">
        <v>0</v>
      </c>
      <c r="DZ79" s="76">
        <v>0</v>
      </c>
      <c r="EA79" s="76">
        <v>0</v>
      </c>
      <c r="EB79" s="76">
        <v>642</v>
      </c>
      <c r="EC79" s="76">
        <v>0</v>
      </c>
      <c r="ED79" s="76">
        <v>118</v>
      </c>
      <c r="EE79" s="76">
        <v>524</v>
      </c>
      <c r="EF79" s="76">
        <v>642</v>
      </c>
      <c r="EG79" s="76">
        <v>0</v>
      </c>
      <c r="EH79" s="76">
        <v>118</v>
      </c>
      <c r="EI79" s="76">
        <v>524</v>
      </c>
      <c r="EJ79" s="76">
        <v>642</v>
      </c>
      <c r="EK79" s="76">
        <v>0</v>
      </c>
      <c r="EL79" s="76">
        <v>118</v>
      </c>
      <c r="EM79" s="76">
        <v>524</v>
      </c>
      <c r="EN79" s="76">
        <v>2278</v>
      </c>
      <c r="EO79" s="76">
        <v>816</v>
      </c>
      <c r="EP79" s="76">
        <v>566</v>
      </c>
      <c r="EQ79" s="76">
        <v>816</v>
      </c>
      <c r="ER79" s="76">
        <v>56762</v>
      </c>
      <c r="ES79" s="76">
        <v>0</v>
      </c>
      <c r="ET79" s="76">
        <v>56762</v>
      </c>
      <c r="EU79" s="76">
        <v>6864</v>
      </c>
      <c r="EV79" s="76">
        <v>-586</v>
      </c>
      <c r="EW79" s="76">
        <v>0</v>
      </c>
      <c r="EX79" s="76">
        <v>0</v>
      </c>
      <c r="EY79" s="76">
        <v>0</v>
      </c>
      <c r="EZ79" s="76">
        <v>63040</v>
      </c>
      <c r="FA79" s="76">
        <v>1029</v>
      </c>
      <c r="FB79" s="76">
        <v>1294</v>
      </c>
      <c r="FC79" s="76">
        <v>0</v>
      </c>
      <c r="FD79" s="76">
        <v>0</v>
      </c>
      <c r="FE79" s="76">
        <v>-19</v>
      </c>
      <c r="FF79" s="76">
        <v>0</v>
      </c>
      <c r="FG79" s="76">
        <v>0</v>
      </c>
      <c r="FH79" s="76">
        <v>2304</v>
      </c>
      <c r="FI79" s="76">
        <v>60736</v>
      </c>
      <c r="FJ79" s="76">
        <v>55733</v>
      </c>
      <c r="FK79" s="76">
        <v>0</v>
      </c>
      <c r="FL79" s="76">
        <v>0</v>
      </c>
      <c r="FM79" s="76">
        <v>0</v>
      </c>
      <c r="FN79" s="76">
        <v>1140</v>
      </c>
      <c r="FO79" s="76">
        <v>556</v>
      </c>
      <c r="FP79" s="76">
        <v>584</v>
      </c>
      <c r="FQ79" s="76">
        <v>0</v>
      </c>
      <c r="FR79" s="76">
        <v>0</v>
      </c>
      <c r="FS79" s="76">
        <v>0</v>
      </c>
      <c r="FT79" s="76">
        <v>66</v>
      </c>
      <c r="FU79" s="76">
        <v>11</v>
      </c>
      <c r="FV79" s="76">
        <v>55</v>
      </c>
      <c r="FW79" s="76">
        <v>0</v>
      </c>
      <c r="FX79" s="76">
        <v>0</v>
      </c>
      <c r="FY79" s="76">
        <v>0</v>
      </c>
      <c r="FZ79" s="76">
        <v>0</v>
      </c>
      <c r="GA79" s="76">
        <v>0</v>
      </c>
      <c r="GB79" s="76">
        <v>0</v>
      </c>
      <c r="GC79" s="76">
        <v>1206</v>
      </c>
      <c r="GD79" s="76">
        <v>567</v>
      </c>
      <c r="GE79" s="76">
        <v>639</v>
      </c>
      <c r="GF79" s="76">
        <v>0</v>
      </c>
      <c r="GG79" s="76">
        <v>0</v>
      </c>
      <c r="GH79" s="76">
        <v>0</v>
      </c>
      <c r="GI79" s="76">
        <v>0</v>
      </c>
      <c r="GJ79" s="76">
        <v>0</v>
      </c>
      <c r="GK79" s="76">
        <v>0</v>
      </c>
      <c r="GL79" s="76">
        <v>0</v>
      </c>
      <c r="GM79" s="76">
        <v>0</v>
      </c>
      <c r="GN79" s="76">
        <v>171</v>
      </c>
      <c r="GO79" s="76">
        <v>3437</v>
      </c>
      <c r="GP79" s="76">
        <v>0</v>
      </c>
      <c r="GQ79" s="76">
        <v>0</v>
      </c>
      <c r="GR79" s="76">
        <v>1506</v>
      </c>
      <c r="GS79" s="76">
        <v>0</v>
      </c>
      <c r="GT79" s="76">
        <v>0</v>
      </c>
      <c r="GU79" s="76">
        <v>0</v>
      </c>
      <c r="GV79" s="76">
        <v>0</v>
      </c>
      <c r="GW79" s="76">
        <v>63</v>
      </c>
      <c r="GX79" s="76">
        <v>5177</v>
      </c>
      <c r="GY79" s="76">
        <v>0</v>
      </c>
      <c r="GZ79" s="76">
        <v>0</v>
      </c>
      <c r="HA79" s="76">
        <v>0</v>
      </c>
      <c r="HB79" s="76">
        <v>0</v>
      </c>
      <c r="HC79" s="76">
        <v>0</v>
      </c>
      <c r="HD79" s="76">
        <v>0</v>
      </c>
      <c r="HE79" s="76">
        <v>0</v>
      </c>
      <c r="HF79" s="76">
        <v>0</v>
      </c>
      <c r="HG79" s="76">
        <v>2014</v>
      </c>
      <c r="HH79" s="76">
        <v>0</v>
      </c>
      <c r="HI79" s="76">
        <v>510</v>
      </c>
      <c r="HJ79" s="76">
        <v>0</v>
      </c>
      <c r="HK79" s="76">
        <v>113</v>
      </c>
      <c r="HL79" s="76">
        <v>0</v>
      </c>
      <c r="HM79" s="76">
        <v>2637</v>
      </c>
      <c r="HN79" s="76">
        <v>6864</v>
      </c>
      <c r="HO79" s="76">
        <v>1294</v>
      </c>
      <c r="HP79" s="76">
        <v>0</v>
      </c>
      <c r="HQ79" s="76">
        <v>0</v>
      </c>
      <c r="HR79" s="76">
        <v>-41</v>
      </c>
      <c r="HS79" s="76">
        <v>2</v>
      </c>
      <c r="HT79" s="76">
        <v>8183</v>
      </c>
      <c r="HU79" s="76">
        <v>0</v>
      </c>
      <c r="HV79" s="76">
        <v>0</v>
      </c>
      <c r="HW79" s="76">
        <v>-2</v>
      </c>
      <c r="HX79" s="76">
        <v>179</v>
      </c>
    </row>
    <row r="80" spans="1:232" x14ac:dyDescent="0.2">
      <c r="A80" s="74" t="s">
        <v>338</v>
      </c>
      <c r="B80" s="74" t="s">
        <v>339</v>
      </c>
      <c r="C80" s="75" t="s">
        <v>200</v>
      </c>
      <c r="D80" s="75">
        <v>12</v>
      </c>
      <c r="E80" s="76">
        <v>21164</v>
      </c>
      <c r="F80" s="76">
        <v>0</v>
      </c>
      <c r="G80" s="76">
        <v>-14888</v>
      </c>
      <c r="H80" s="76">
        <v>6276</v>
      </c>
      <c r="I80" s="76">
        <v>1347</v>
      </c>
      <c r="J80" s="76">
        <v>1724</v>
      </c>
      <c r="K80" s="76">
        <v>0</v>
      </c>
      <c r="L80" s="76">
        <v>0</v>
      </c>
      <c r="M80" s="76">
        <v>5</v>
      </c>
      <c r="N80" s="76">
        <v>-1928</v>
      </c>
      <c r="O80" s="76">
        <v>1782</v>
      </c>
      <c r="P80" s="76">
        <v>0</v>
      </c>
      <c r="Q80" s="76">
        <v>0</v>
      </c>
      <c r="R80" s="76">
        <v>0</v>
      </c>
      <c r="S80" s="76">
        <v>9206</v>
      </c>
      <c r="T80" s="76">
        <v>0</v>
      </c>
      <c r="U80" s="76">
        <v>9206</v>
      </c>
      <c r="V80" s="76">
        <v>0</v>
      </c>
      <c r="W80" s="76">
        <v>1487</v>
      </c>
      <c r="X80" s="76">
        <v>0</v>
      </c>
      <c r="Y80" s="76">
        <v>0</v>
      </c>
      <c r="Z80" s="76">
        <v>10693</v>
      </c>
      <c r="AA80" s="76">
        <v>14382</v>
      </c>
      <c r="AB80" s="76">
        <v>3920</v>
      </c>
      <c r="AC80" s="76">
        <v>18302</v>
      </c>
      <c r="AD80" s="76">
        <v>556</v>
      </c>
      <c r="AE80" s="76">
        <v>0</v>
      </c>
      <c r="AF80" s="76">
        <v>0</v>
      </c>
      <c r="AG80" s="76">
        <v>127</v>
      </c>
      <c r="AH80" s="76">
        <v>18985</v>
      </c>
      <c r="AI80" s="76">
        <v>3497</v>
      </c>
      <c r="AJ80" s="76">
        <v>4099</v>
      </c>
      <c r="AK80" s="76">
        <v>2888</v>
      </c>
      <c r="AL80" s="76">
        <v>385</v>
      </c>
      <c r="AM80" s="76">
        <v>302</v>
      </c>
      <c r="AN80" s="76">
        <v>64</v>
      </c>
      <c r="AO80" s="76">
        <v>2640</v>
      </c>
      <c r="AP80" s="76">
        <v>0</v>
      </c>
      <c r="AQ80" s="76">
        <v>0</v>
      </c>
      <c r="AR80" s="76">
        <v>13875</v>
      </c>
      <c r="AS80" s="76">
        <v>5110</v>
      </c>
      <c r="AT80" s="76">
        <v>87</v>
      </c>
      <c r="AU80" s="76">
        <v>135800</v>
      </c>
      <c r="AV80" s="76">
        <v>0</v>
      </c>
      <c r="AW80" s="76">
        <v>1467</v>
      </c>
      <c r="AX80" s="76">
        <v>0</v>
      </c>
      <c r="AY80" s="76">
        <v>0</v>
      </c>
      <c r="AZ80" s="76">
        <v>13347</v>
      </c>
      <c r="BA80" s="76">
        <v>0</v>
      </c>
      <c r="BB80" s="76">
        <v>0</v>
      </c>
      <c r="BC80" s="76">
        <v>0</v>
      </c>
      <c r="BD80" s="76">
        <v>0</v>
      </c>
      <c r="BE80" s="76">
        <v>150614</v>
      </c>
      <c r="BF80" s="76">
        <v>0</v>
      </c>
      <c r="BG80" s="76">
        <v>5075</v>
      </c>
      <c r="BH80" s="76">
        <v>5583</v>
      </c>
      <c r="BI80" s="76">
        <v>0</v>
      </c>
      <c r="BJ80" s="76">
        <v>4444</v>
      </c>
      <c r="BK80" s="76">
        <v>15102</v>
      </c>
      <c r="BL80" s="76">
        <v>0</v>
      </c>
      <c r="BM80" s="76">
        <v>0</v>
      </c>
      <c r="BN80" s="76">
        <v>556</v>
      </c>
      <c r="BO80" s="76">
        <v>7815</v>
      </c>
      <c r="BP80" s="76">
        <v>8371</v>
      </c>
      <c r="BQ80" s="76">
        <v>6731</v>
      </c>
      <c r="BR80" s="76">
        <v>157345</v>
      </c>
      <c r="BS80" s="76">
        <v>39500</v>
      </c>
      <c r="BT80" s="76">
        <v>0</v>
      </c>
      <c r="BU80" s="76">
        <v>0</v>
      </c>
      <c r="BV80" s="76">
        <v>53310</v>
      </c>
      <c r="BW80" s="76">
        <v>0</v>
      </c>
      <c r="BX80" s="76">
        <v>0</v>
      </c>
      <c r="BY80" s="76">
        <v>252</v>
      </c>
      <c r="BZ80" s="76">
        <v>93062</v>
      </c>
      <c r="CA80" s="76">
        <v>1031</v>
      </c>
      <c r="CB80" s="76">
        <v>0</v>
      </c>
      <c r="CC80" s="76">
        <v>63252</v>
      </c>
      <c r="CD80" s="76">
        <v>61470</v>
      </c>
      <c r="CE80" s="76">
        <v>1782</v>
      </c>
      <c r="CF80" s="76">
        <v>0</v>
      </c>
      <c r="CG80" s="76">
        <v>0</v>
      </c>
      <c r="CH80" s="76">
        <v>0</v>
      </c>
      <c r="CI80" s="76">
        <v>63252</v>
      </c>
      <c r="CJ80" s="76">
        <v>0</v>
      </c>
      <c r="CK80" s="76">
        <v>0</v>
      </c>
      <c r="CL80" s="76">
        <v>0</v>
      </c>
      <c r="CM80" s="76">
        <v>0</v>
      </c>
      <c r="CN80" s="76">
        <v>0</v>
      </c>
      <c r="CO80" s="76">
        <v>0</v>
      </c>
      <c r="CP80" s="76">
        <v>0</v>
      </c>
      <c r="CQ80" s="76">
        <v>0</v>
      </c>
      <c r="CR80" s="76">
        <v>0</v>
      </c>
      <c r="CS80" s="76">
        <v>0</v>
      </c>
      <c r="CT80" s="76">
        <v>0</v>
      </c>
      <c r="CU80" s="76">
        <v>0</v>
      </c>
      <c r="CV80" s="76">
        <v>0</v>
      </c>
      <c r="CW80" s="76">
        <v>0</v>
      </c>
      <c r="CX80" s="76">
        <v>0</v>
      </c>
      <c r="CY80" s="76">
        <v>0</v>
      </c>
      <c r="CZ80" s="76">
        <v>0</v>
      </c>
      <c r="DA80" s="76">
        <v>0</v>
      </c>
      <c r="DB80" s="76">
        <v>0</v>
      </c>
      <c r="DC80" s="76">
        <v>0</v>
      </c>
      <c r="DD80" s="76">
        <v>0</v>
      </c>
      <c r="DE80" s="76">
        <v>0</v>
      </c>
      <c r="DF80" s="76">
        <v>0</v>
      </c>
      <c r="DG80" s="76">
        <v>0</v>
      </c>
      <c r="DH80" s="76">
        <v>0</v>
      </c>
      <c r="DI80" s="76">
        <v>0</v>
      </c>
      <c r="DJ80" s="76">
        <v>0</v>
      </c>
      <c r="DK80" s="76">
        <v>0</v>
      </c>
      <c r="DL80" s="76">
        <v>0</v>
      </c>
      <c r="DM80" s="76">
        <v>0</v>
      </c>
      <c r="DN80" s="76">
        <v>0</v>
      </c>
      <c r="DO80" s="76">
        <v>0</v>
      </c>
      <c r="DP80" s="76">
        <v>0</v>
      </c>
      <c r="DQ80" s="76">
        <v>0</v>
      </c>
      <c r="DR80" s="76">
        <v>0</v>
      </c>
      <c r="DS80" s="76">
        <v>0</v>
      </c>
      <c r="DT80" s="76">
        <v>839</v>
      </c>
      <c r="DU80" s="76">
        <v>0</v>
      </c>
      <c r="DV80" s="76">
        <v>187</v>
      </c>
      <c r="DW80" s="76">
        <v>652</v>
      </c>
      <c r="DX80" s="76">
        <v>0</v>
      </c>
      <c r="DY80" s="76">
        <v>0</v>
      </c>
      <c r="DZ80" s="76">
        <v>0</v>
      </c>
      <c r="EA80" s="76">
        <v>0</v>
      </c>
      <c r="EB80" s="76">
        <v>1340</v>
      </c>
      <c r="EC80" s="76">
        <v>0</v>
      </c>
      <c r="ED80" s="76">
        <v>826</v>
      </c>
      <c r="EE80" s="76">
        <v>514</v>
      </c>
      <c r="EF80" s="76">
        <v>2179</v>
      </c>
      <c r="EG80" s="76">
        <v>0</v>
      </c>
      <c r="EH80" s="76">
        <v>1013</v>
      </c>
      <c r="EI80" s="76">
        <v>1166</v>
      </c>
      <c r="EJ80" s="76">
        <v>2179</v>
      </c>
      <c r="EK80" s="76">
        <v>0</v>
      </c>
      <c r="EL80" s="76">
        <v>1013</v>
      </c>
      <c r="EM80" s="76">
        <v>1166</v>
      </c>
      <c r="EN80" s="76">
        <v>890</v>
      </c>
      <c r="EO80" s="76">
        <v>344</v>
      </c>
      <c r="EP80" s="76">
        <v>104</v>
      </c>
      <c r="EQ80" s="76">
        <v>344</v>
      </c>
      <c r="ER80" s="76">
        <v>146908</v>
      </c>
      <c r="ES80" s="76">
        <v>0</v>
      </c>
      <c r="ET80" s="76">
        <v>146908</v>
      </c>
      <c r="EU80" s="76">
        <v>8235</v>
      </c>
      <c r="EV80" s="76">
        <v>-2717</v>
      </c>
      <c r="EW80" s="76">
        <v>0</v>
      </c>
      <c r="EX80" s="76">
        <v>0</v>
      </c>
      <c r="EY80" s="76">
        <v>0</v>
      </c>
      <c r="EZ80" s="76">
        <v>152426</v>
      </c>
      <c r="FA80" s="76">
        <v>14077</v>
      </c>
      <c r="FB80" s="76">
        <v>2640</v>
      </c>
      <c r="FC80" s="76">
        <v>0</v>
      </c>
      <c r="FD80" s="76">
        <v>0</v>
      </c>
      <c r="FE80" s="76">
        <v>-91</v>
      </c>
      <c r="FF80" s="76">
        <v>0</v>
      </c>
      <c r="FG80" s="76">
        <v>0</v>
      </c>
      <c r="FH80" s="76">
        <v>16626</v>
      </c>
      <c r="FI80" s="76">
        <v>135800</v>
      </c>
      <c r="FJ80" s="76">
        <v>132831</v>
      </c>
      <c r="FK80" s="76">
        <v>0</v>
      </c>
      <c r="FL80" s="76">
        <v>0</v>
      </c>
      <c r="FM80" s="76">
        <v>0</v>
      </c>
      <c r="FN80" s="76">
        <v>2600</v>
      </c>
      <c r="FO80" s="76">
        <v>1444</v>
      </c>
      <c r="FP80" s="76">
        <v>1156</v>
      </c>
      <c r="FQ80" s="76">
        <v>209</v>
      </c>
      <c r="FR80" s="76">
        <v>18</v>
      </c>
      <c r="FS80" s="76">
        <v>191</v>
      </c>
      <c r="FT80" s="76">
        <v>0</v>
      </c>
      <c r="FU80" s="76">
        <v>0</v>
      </c>
      <c r="FV80" s="76">
        <v>0</v>
      </c>
      <c r="FW80" s="76">
        <v>0</v>
      </c>
      <c r="FX80" s="76">
        <v>0</v>
      </c>
      <c r="FY80" s="76">
        <v>0</v>
      </c>
      <c r="FZ80" s="76">
        <v>2155</v>
      </c>
      <c r="GA80" s="76">
        <v>2155</v>
      </c>
      <c r="GB80" s="76">
        <v>0</v>
      </c>
      <c r="GC80" s="76">
        <v>4964</v>
      </c>
      <c r="GD80" s="76">
        <v>3617</v>
      </c>
      <c r="GE80" s="76">
        <v>1347</v>
      </c>
      <c r="GF80" s="76">
        <v>1824</v>
      </c>
      <c r="GG80" s="76">
        <v>32</v>
      </c>
      <c r="GH80" s="76">
        <v>0</v>
      </c>
      <c r="GI80" s="76">
        <v>0</v>
      </c>
      <c r="GJ80" s="76">
        <v>0</v>
      </c>
      <c r="GK80" s="76">
        <v>2588</v>
      </c>
      <c r="GL80" s="76">
        <v>4444</v>
      </c>
      <c r="GM80" s="76">
        <v>1295</v>
      </c>
      <c r="GN80" s="76">
        <v>655</v>
      </c>
      <c r="GO80" s="76">
        <v>1500</v>
      </c>
      <c r="GP80" s="76">
        <v>0</v>
      </c>
      <c r="GQ80" s="76">
        <v>0</v>
      </c>
      <c r="GR80" s="76">
        <v>2414</v>
      </c>
      <c r="GS80" s="76">
        <v>0</v>
      </c>
      <c r="GT80" s="76">
        <v>0</v>
      </c>
      <c r="GU80" s="76">
        <v>47</v>
      </c>
      <c r="GV80" s="76">
        <v>0</v>
      </c>
      <c r="GW80" s="76">
        <v>1904</v>
      </c>
      <c r="GX80" s="76">
        <v>7815</v>
      </c>
      <c r="GY80" s="76">
        <v>0</v>
      </c>
      <c r="GZ80" s="76">
        <v>0</v>
      </c>
      <c r="HA80" s="76">
        <v>252</v>
      </c>
      <c r="HB80" s="76">
        <v>0</v>
      </c>
      <c r="HC80" s="76">
        <v>252</v>
      </c>
      <c r="HD80" s="76">
        <v>0</v>
      </c>
      <c r="HE80" s="76">
        <v>0</v>
      </c>
      <c r="HF80" s="76">
        <v>0</v>
      </c>
      <c r="HG80" s="76">
        <v>1912</v>
      </c>
      <c r="HH80" s="76">
        <v>17</v>
      </c>
      <c r="HI80" s="76">
        <v>0</v>
      </c>
      <c r="HJ80" s="76">
        <v>0</v>
      </c>
      <c r="HK80" s="76">
        <v>0</v>
      </c>
      <c r="HL80" s="76">
        <v>-1</v>
      </c>
      <c r="HM80" s="76">
        <v>1928</v>
      </c>
      <c r="HN80" s="76">
        <v>6321</v>
      </c>
      <c r="HO80" s="76">
        <v>2820</v>
      </c>
      <c r="HP80" s="76">
        <v>0</v>
      </c>
      <c r="HQ80" s="76">
        <v>12</v>
      </c>
      <c r="HR80" s="76">
        <v>-18</v>
      </c>
      <c r="HS80" s="76">
        <v>17</v>
      </c>
      <c r="HT80" s="76">
        <v>3731</v>
      </c>
      <c r="HU80" s="76">
        <v>1</v>
      </c>
      <c r="HV80" s="76">
        <v>0</v>
      </c>
      <c r="HW80" s="76">
        <v>0</v>
      </c>
      <c r="HX80" s="76">
        <v>50</v>
      </c>
    </row>
    <row r="81" spans="1:232" x14ac:dyDescent="0.2">
      <c r="A81" s="74" t="s">
        <v>343</v>
      </c>
      <c r="B81" s="74" t="s">
        <v>344</v>
      </c>
      <c r="C81" s="75" t="s">
        <v>200</v>
      </c>
      <c r="D81" s="75">
        <v>12</v>
      </c>
      <c r="E81" s="76">
        <v>124597</v>
      </c>
      <c r="F81" s="76">
        <v>-19328</v>
      </c>
      <c r="G81" s="76">
        <v>-57674</v>
      </c>
      <c r="H81" s="76">
        <v>47595</v>
      </c>
      <c r="I81" s="76">
        <v>9873</v>
      </c>
      <c r="J81" s="76">
        <v>7279</v>
      </c>
      <c r="K81" s="76">
        <v>0</v>
      </c>
      <c r="L81" s="76">
        <v>0</v>
      </c>
      <c r="M81" s="76">
        <v>14601</v>
      </c>
      <c r="N81" s="76">
        <v>-109287</v>
      </c>
      <c r="O81" s="76">
        <v>7853</v>
      </c>
      <c r="P81" s="76">
        <v>98</v>
      </c>
      <c r="Q81" s="76">
        <v>0</v>
      </c>
      <c r="R81" s="76">
        <v>0</v>
      </c>
      <c r="S81" s="76">
        <v>-21988</v>
      </c>
      <c r="T81" s="76">
        <v>166</v>
      </c>
      <c r="U81" s="76">
        <v>-21822</v>
      </c>
      <c r="V81" s="76">
        <v>0</v>
      </c>
      <c r="W81" s="76">
        <v>0</v>
      </c>
      <c r="X81" s="76">
        <v>35567</v>
      </c>
      <c r="Y81" s="76">
        <v>0</v>
      </c>
      <c r="Z81" s="76">
        <v>13745</v>
      </c>
      <c r="AA81" s="76">
        <v>69333</v>
      </c>
      <c r="AB81" s="76">
        <v>8006</v>
      </c>
      <c r="AC81" s="76">
        <v>77339</v>
      </c>
      <c r="AD81" s="76">
        <v>217</v>
      </c>
      <c r="AE81" s="76">
        <v>0</v>
      </c>
      <c r="AF81" s="76">
        <v>140</v>
      </c>
      <c r="AG81" s="76">
        <v>2833</v>
      </c>
      <c r="AH81" s="76">
        <v>80529</v>
      </c>
      <c r="AI81" s="76">
        <v>16870</v>
      </c>
      <c r="AJ81" s="76">
        <v>8862</v>
      </c>
      <c r="AK81" s="76">
        <v>7273</v>
      </c>
      <c r="AL81" s="76">
        <v>4672</v>
      </c>
      <c r="AM81" s="76">
        <v>7</v>
      </c>
      <c r="AN81" s="76">
        <v>295</v>
      </c>
      <c r="AO81" s="76">
        <v>11071</v>
      </c>
      <c r="AP81" s="76">
        <v>0</v>
      </c>
      <c r="AQ81" s="76">
        <v>1</v>
      </c>
      <c r="AR81" s="76">
        <v>49051</v>
      </c>
      <c r="AS81" s="76">
        <v>31478</v>
      </c>
      <c r="AT81" s="76">
        <v>1638</v>
      </c>
      <c r="AU81" s="76">
        <v>1079542</v>
      </c>
      <c r="AV81" s="76">
        <v>0</v>
      </c>
      <c r="AW81" s="76">
        <v>23446</v>
      </c>
      <c r="AX81" s="76">
        <v>844</v>
      </c>
      <c r="AY81" s="76">
        <v>14619</v>
      </c>
      <c r="AZ81" s="76">
        <v>26585</v>
      </c>
      <c r="BA81" s="76">
        <v>0</v>
      </c>
      <c r="BB81" s="76">
        <v>0</v>
      </c>
      <c r="BC81" s="76">
        <v>1397</v>
      </c>
      <c r="BD81" s="76">
        <v>1857</v>
      </c>
      <c r="BE81" s="76">
        <v>1148290</v>
      </c>
      <c r="BF81" s="76">
        <v>13844</v>
      </c>
      <c r="BG81" s="76">
        <v>21851</v>
      </c>
      <c r="BH81" s="76">
        <v>14928</v>
      </c>
      <c r="BI81" s="76">
        <v>0</v>
      </c>
      <c r="BJ81" s="76">
        <v>0</v>
      </c>
      <c r="BK81" s="76">
        <v>50623</v>
      </c>
      <c r="BL81" s="76">
        <v>6095</v>
      </c>
      <c r="BM81" s="76">
        <v>0</v>
      </c>
      <c r="BN81" s="76">
        <v>247</v>
      </c>
      <c r="BO81" s="76">
        <v>32478</v>
      </c>
      <c r="BP81" s="76">
        <v>38820</v>
      </c>
      <c r="BQ81" s="76">
        <v>11803</v>
      </c>
      <c r="BR81" s="76">
        <v>1160093</v>
      </c>
      <c r="BS81" s="76">
        <v>373779</v>
      </c>
      <c r="BT81" s="76">
        <v>302310</v>
      </c>
      <c r="BU81" s="76">
        <v>0</v>
      </c>
      <c r="BV81" s="76">
        <v>49839</v>
      </c>
      <c r="BW81" s="76">
        <v>14619</v>
      </c>
      <c r="BX81" s="76">
        <v>0</v>
      </c>
      <c r="BY81" s="76">
        <v>35745</v>
      </c>
      <c r="BZ81" s="76">
        <v>776292</v>
      </c>
      <c r="CA81" s="76">
        <v>0</v>
      </c>
      <c r="CB81" s="76">
        <v>347</v>
      </c>
      <c r="CC81" s="76">
        <v>383454</v>
      </c>
      <c r="CD81" s="76">
        <v>203209</v>
      </c>
      <c r="CE81" s="76">
        <v>180245</v>
      </c>
      <c r="CF81" s="76">
        <v>0</v>
      </c>
      <c r="CG81" s="76">
        <v>0</v>
      </c>
      <c r="CH81" s="76">
        <v>0</v>
      </c>
      <c r="CI81" s="76">
        <v>383454</v>
      </c>
      <c r="CJ81" s="76">
        <v>37266</v>
      </c>
      <c r="CK81" s="76">
        <v>19328</v>
      </c>
      <c r="CL81" s="76">
        <v>3050</v>
      </c>
      <c r="CM81" s="76">
        <v>14888</v>
      </c>
      <c r="CN81" s="76">
        <v>0</v>
      </c>
      <c r="CO81" s="76">
        <v>0</v>
      </c>
      <c r="CP81" s="76">
        <v>0</v>
      </c>
      <c r="CQ81" s="76">
        <v>0</v>
      </c>
      <c r="CR81" s="76">
        <v>0</v>
      </c>
      <c r="CS81" s="76">
        <v>0</v>
      </c>
      <c r="CT81" s="76">
        <v>0</v>
      </c>
      <c r="CU81" s="76">
        <v>0</v>
      </c>
      <c r="CV81" s="76">
        <v>64</v>
      </c>
      <c r="CW81" s="76">
        <v>0</v>
      </c>
      <c r="CX81" s="76">
        <v>190</v>
      </c>
      <c r="CY81" s="76">
        <v>-126</v>
      </c>
      <c r="CZ81" s="76">
        <v>1238</v>
      </c>
      <c r="DA81" s="76">
        <v>0</v>
      </c>
      <c r="DB81" s="76">
        <v>1047</v>
      </c>
      <c r="DC81" s="76">
        <v>191</v>
      </c>
      <c r="DD81" s="76">
        <v>38568</v>
      </c>
      <c r="DE81" s="76">
        <v>19328</v>
      </c>
      <c r="DF81" s="76">
        <v>4287</v>
      </c>
      <c r="DG81" s="76">
        <v>14953</v>
      </c>
      <c r="DH81" s="76">
        <v>0</v>
      </c>
      <c r="DI81" s="76">
        <v>0</v>
      </c>
      <c r="DJ81" s="76">
        <v>0</v>
      </c>
      <c r="DK81" s="76">
        <v>0</v>
      </c>
      <c r="DL81" s="76">
        <v>0</v>
      </c>
      <c r="DM81" s="76">
        <v>0</v>
      </c>
      <c r="DN81" s="76">
        <v>0</v>
      </c>
      <c r="DO81" s="76">
        <v>0</v>
      </c>
      <c r="DP81" s="76">
        <v>0</v>
      </c>
      <c r="DQ81" s="76">
        <v>0</v>
      </c>
      <c r="DR81" s="76">
        <v>0</v>
      </c>
      <c r="DS81" s="76">
        <v>0</v>
      </c>
      <c r="DT81" s="76">
        <v>2350</v>
      </c>
      <c r="DU81" s="76">
        <v>0</v>
      </c>
      <c r="DV81" s="76">
        <v>729</v>
      </c>
      <c r="DW81" s="76">
        <v>1621</v>
      </c>
      <c r="DX81" s="76">
        <v>0</v>
      </c>
      <c r="DY81" s="76">
        <v>0</v>
      </c>
      <c r="DZ81" s="76">
        <v>0</v>
      </c>
      <c r="EA81" s="76">
        <v>0</v>
      </c>
      <c r="EB81" s="76">
        <v>3150</v>
      </c>
      <c r="EC81" s="76">
        <v>0</v>
      </c>
      <c r="ED81" s="76">
        <v>3607</v>
      </c>
      <c r="EE81" s="76">
        <v>-457</v>
      </c>
      <c r="EF81" s="76">
        <v>5500</v>
      </c>
      <c r="EG81" s="76">
        <v>0</v>
      </c>
      <c r="EH81" s="76">
        <v>4336</v>
      </c>
      <c r="EI81" s="76">
        <v>1164</v>
      </c>
      <c r="EJ81" s="76">
        <v>44068</v>
      </c>
      <c r="EK81" s="76">
        <v>19328</v>
      </c>
      <c r="EL81" s="76">
        <v>8623</v>
      </c>
      <c r="EM81" s="76">
        <v>16117</v>
      </c>
      <c r="EN81" s="76">
        <v>2773</v>
      </c>
      <c r="EO81" s="76">
        <v>795</v>
      </c>
      <c r="EP81" s="76">
        <v>255</v>
      </c>
      <c r="EQ81" s="76">
        <v>795</v>
      </c>
      <c r="ER81" s="76">
        <v>1050023</v>
      </c>
      <c r="ES81" s="76">
        <v>0</v>
      </c>
      <c r="ET81" s="76">
        <v>1050023</v>
      </c>
      <c r="EU81" s="76">
        <v>91935</v>
      </c>
      <c r="EV81" s="76">
        <v>-7171</v>
      </c>
      <c r="EW81" s="76">
        <v>0</v>
      </c>
      <c r="EX81" s="76">
        <v>0</v>
      </c>
      <c r="EY81" s="76">
        <v>-23625</v>
      </c>
      <c r="EZ81" s="76">
        <v>1111162</v>
      </c>
      <c r="FA81" s="76">
        <v>21294</v>
      </c>
      <c r="FB81" s="76">
        <v>11071</v>
      </c>
      <c r="FC81" s="76">
        <v>0</v>
      </c>
      <c r="FD81" s="76">
        <v>0</v>
      </c>
      <c r="FE81" s="76">
        <v>-291</v>
      </c>
      <c r="FF81" s="76">
        <v>0</v>
      </c>
      <c r="FG81" s="76">
        <v>-454</v>
      </c>
      <c r="FH81" s="76">
        <v>31620</v>
      </c>
      <c r="FI81" s="76">
        <v>1079542</v>
      </c>
      <c r="FJ81" s="76">
        <v>1028729</v>
      </c>
      <c r="FK81" s="76">
        <v>13498</v>
      </c>
      <c r="FL81" s="76">
        <v>7817</v>
      </c>
      <c r="FM81" s="76">
        <v>5681</v>
      </c>
      <c r="FN81" s="76">
        <v>0</v>
      </c>
      <c r="FO81" s="76">
        <v>0</v>
      </c>
      <c r="FP81" s="76">
        <v>0</v>
      </c>
      <c r="FQ81" s="76">
        <v>0</v>
      </c>
      <c r="FR81" s="76">
        <v>0</v>
      </c>
      <c r="FS81" s="76">
        <v>0</v>
      </c>
      <c r="FT81" s="76">
        <v>5683</v>
      </c>
      <c r="FU81" s="76">
        <v>2441</v>
      </c>
      <c r="FV81" s="76">
        <v>3242</v>
      </c>
      <c r="FW81" s="76">
        <v>0</v>
      </c>
      <c r="FX81" s="76">
        <v>0</v>
      </c>
      <c r="FY81" s="76">
        <v>0</v>
      </c>
      <c r="FZ81" s="76">
        <v>3532</v>
      </c>
      <c r="GA81" s="76">
        <v>2582</v>
      </c>
      <c r="GB81" s="76">
        <v>950</v>
      </c>
      <c r="GC81" s="76">
        <v>22713</v>
      </c>
      <c r="GD81" s="76">
        <v>12840</v>
      </c>
      <c r="GE81" s="76">
        <v>9873</v>
      </c>
      <c r="GF81" s="76">
        <v>0</v>
      </c>
      <c r="GG81" s="76">
        <v>0</v>
      </c>
      <c r="GH81" s="76">
        <v>0</v>
      </c>
      <c r="GI81" s="76">
        <v>0</v>
      </c>
      <c r="GJ81" s="76">
        <v>0</v>
      </c>
      <c r="GK81" s="76">
        <v>0</v>
      </c>
      <c r="GL81" s="76">
        <v>0</v>
      </c>
      <c r="GM81" s="76">
        <v>0</v>
      </c>
      <c r="GN81" s="76">
        <v>2382</v>
      </c>
      <c r="GO81" s="76">
        <v>8425</v>
      </c>
      <c r="GP81" s="76">
        <v>4632</v>
      </c>
      <c r="GQ81" s="76">
        <v>1399</v>
      </c>
      <c r="GR81" s="76">
        <v>12782</v>
      </c>
      <c r="GS81" s="76">
        <v>0</v>
      </c>
      <c r="GT81" s="76">
        <v>0</v>
      </c>
      <c r="GU81" s="76">
        <v>1903</v>
      </c>
      <c r="GV81" s="76">
        <v>0</v>
      </c>
      <c r="GW81" s="76">
        <v>955</v>
      </c>
      <c r="GX81" s="76">
        <v>32478</v>
      </c>
      <c r="GY81" s="76">
        <v>14058</v>
      </c>
      <c r="GZ81" s="76">
        <v>1085</v>
      </c>
      <c r="HA81" s="76">
        <v>12237</v>
      </c>
      <c r="HB81" s="76">
        <v>8365</v>
      </c>
      <c r="HC81" s="76">
        <v>35745</v>
      </c>
      <c r="HD81" s="76">
        <v>0</v>
      </c>
      <c r="HE81" s="76">
        <v>347</v>
      </c>
      <c r="HF81" s="76">
        <v>347</v>
      </c>
      <c r="HG81" s="76">
        <v>26109</v>
      </c>
      <c r="HH81" s="76">
        <v>156</v>
      </c>
      <c r="HI81" s="76">
        <v>240</v>
      </c>
      <c r="HJ81" s="76">
        <v>75</v>
      </c>
      <c r="HK81" s="76">
        <v>85212</v>
      </c>
      <c r="HL81" s="76">
        <v>-2505</v>
      </c>
      <c r="HM81" s="76">
        <v>109287</v>
      </c>
      <c r="HN81" s="76">
        <v>5709</v>
      </c>
      <c r="HO81" s="76">
        <v>12576</v>
      </c>
      <c r="HP81" s="76">
        <v>0</v>
      </c>
      <c r="HQ81" s="76">
        <v>213</v>
      </c>
      <c r="HR81" s="76">
        <v>-59</v>
      </c>
      <c r="HS81" s="76">
        <v>-93</v>
      </c>
      <c r="HT81" s="76">
        <v>13549</v>
      </c>
      <c r="HU81" s="76">
        <v>80</v>
      </c>
      <c r="HV81" s="76">
        <v>-1</v>
      </c>
      <c r="HW81" s="76">
        <v>92</v>
      </c>
      <c r="HX81" s="76">
        <v>1590</v>
      </c>
    </row>
    <row r="82" spans="1:232" x14ac:dyDescent="0.2">
      <c r="A82" s="74" t="s">
        <v>345</v>
      </c>
      <c r="B82" s="74" t="s">
        <v>346</v>
      </c>
      <c r="C82" s="75" t="s">
        <v>200</v>
      </c>
      <c r="D82" s="75">
        <v>12</v>
      </c>
      <c r="E82" s="76">
        <v>36129</v>
      </c>
      <c r="F82" s="76">
        <v>0</v>
      </c>
      <c r="G82" s="76">
        <v>-24489</v>
      </c>
      <c r="H82" s="76">
        <v>11640</v>
      </c>
      <c r="I82" s="76">
        <v>1430</v>
      </c>
      <c r="J82" s="76">
        <v>0</v>
      </c>
      <c r="K82" s="76">
        <v>0</v>
      </c>
      <c r="L82" s="76">
        <v>0</v>
      </c>
      <c r="M82" s="76">
        <v>66</v>
      </c>
      <c r="N82" s="76">
        <v>-4718</v>
      </c>
      <c r="O82" s="76">
        <v>212</v>
      </c>
      <c r="P82" s="76">
        <v>0</v>
      </c>
      <c r="Q82" s="76">
        <v>0</v>
      </c>
      <c r="R82" s="76">
        <v>0</v>
      </c>
      <c r="S82" s="76">
        <v>8630</v>
      </c>
      <c r="T82" s="76">
        <v>0</v>
      </c>
      <c r="U82" s="76">
        <v>8630</v>
      </c>
      <c r="V82" s="76">
        <v>0</v>
      </c>
      <c r="W82" s="76">
        <v>5155</v>
      </c>
      <c r="X82" s="76">
        <v>0</v>
      </c>
      <c r="Y82" s="76">
        <v>0</v>
      </c>
      <c r="Z82" s="76">
        <v>13785</v>
      </c>
      <c r="AA82" s="76">
        <v>31268</v>
      </c>
      <c r="AB82" s="76">
        <v>1101</v>
      </c>
      <c r="AC82" s="76">
        <v>32369</v>
      </c>
      <c r="AD82" s="76">
        <v>3339</v>
      </c>
      <c r="AE82" s="76">
        <v>0</v>
      </c>
      <c r="AF82" s="76">
        <v>0</v>
      </c>
      <c r="AG82" s="76">
        <v>0</v>
      </c>
      <c r="AH82" s="76">
        <v>35708</v>
      </c>
      <c r="AI82" s="76">
        <v>8028</v>
      </c>
      <c r="AJ82" s="76">
        <v>1319</v>
      </c>
      <c r="AK82" s="76">
        <v>4491</v>
      </c>
      <c r="AL82" s="76">
        <v>788</v>
      </c>
      <c r="AM82" s="76">
        <v>1345</v>
      </c>
      <c r="AN82" s="76">
        <v>178</v>
      </c>
      <c r="AO82" s="76">
        <v>5048</v>
      </c>
      <c r="AP82" s="76">
        <v>0</v>
      </c>
      <c r="AQ82" s="76">
        <v>2353</v>
      </c>
      <c r="AR82" s="76">
        <v>23550</v>
      </c>
      <c r="AS82" s="76">
        <v>12158</v>
      </c>
      <c r="AT82" s="76">
        <v>143</v>
      </c>
      <c r="AU82" s="76">
        <v>106442</v>
      </c>
      <c r="AV82" s="76">
        <v>0</v>
      </c>
      <c r="AW82" s="76">
        <v>8655</v>
      </c>
      <c r="AX82" s="76">
        <v>0</v>
      </c>
      <c r="AY82" s="76">
        <v>0</v>
      </c>
      <c r="AZ82" s="76">
        <v>4188</v>
      </c>
      <c r="BA82" s="76">
        <v>0</v>
      </c>
      <c r="BB82" s="76">
        <v>0</v>
      </c>
      <c r="BC82" s="76">
        <v>0</v>
      </c>
      <c r="BD82" s="76">
        <v>0</v>
      </c>
      <c r="BE82" s="76">
        <v>119285</v>
      </c>
      <c r="BF82" s="76">
        <v>416</v>
      </c>
      <c r="BG82" s="76">
        <v>2052</v>
      </c>
      <c r="BH82" s="76">
        <v>7140</v>
      </c>
      <c r="BI82" s="76">
        <v>0</v>
      </c>
      <c r="BJ82" s="76">
        <v>237</v>
      </c>
      <c r="BK82" s="76">
        <v>9845</v>
      </c>
      <c r="BL82" s="76">
        <v>5018</v>
      </c>
      <c r="BM82" s="76">
        <v>0</v>
      </c>
      <c r="BN82" s="76">
        <v>3356</v>
      </c>
      <c r="BO82" s="76">
        <v>8700</v>
      </c>
      <c r="BP82" s="76">
        <v>17074</v>
      </c>
      <c r="BQ82" s="76">
        <v>-7229</v>
      </c>
      <c r="BR82" s="76">
        <v>112056</v>
      </c>
      <c r="BS82" s="76">
        <v>68095</v>
      </c>
      <c r="BT82" s="76">
        <v>0</v>
      </c>
      <c r="BU82" s="76">
        <v>0</v>
      </c>
      <c r="BV82" s="76">
        <v>68568</v>
      </c>
      <c r="BW82" s="76">
        <v>0</v>
      </c>
      <c r="BX82" s="76">
        <v>0</v>
      </c>
      <c r="BY82" s="76">
        <v>1115</v>
      </c>
      <c r="BZ82" s="76">
        <v>137778</v>
      </c>
      <c r="CA82" s="76">
        <v>-6031</v>
      </c>
      <c r="CB82" s="76">
        <v>0</v>
      </c>
      <c r="CC82" s="76">
        <v>-19691</v>
      </c>
      <c r="CD82" s="76">
        <v>-19691</v>
      </c>
      <c r="CE82" s="76">
        <v>0</v>
      </c>
      <c r="CF82" s="76">
        <v>0</v>
      </c>
      <c r="CG82" s="76">
        <v>0</v>
      </c>
      <c r="CH82" s="76">
        <v>0</v>
      </c>
      <c r="CI82" s="76">
        <v>-19691</v>
      </c>
      <c r="CJ82" s="76">
        <v>0</v>
      </c>
      <c r="CK82" s="76">
        <v>0</v>
      </c>
      <c r="CL82" s="76">
        <v>0</v>
      </c>
      <c r="CM82" s="76">
        <v>0</v>
      </c>
      <c r="CN82" s="76">
        <v>77</v>
      </c>
      <c r="CO82" s="76">
        <v>0</v>
      </c>
      <c r="CP82" s="76">
        <v>77</v>
      </c>
      <c r="CQ82" s="76">
        <v>0</v>
      </c>
      <c r="CR82" s="76">
        <v>0</v>
      </c>
      <c r="CS82" s="76">
        <v>0</v>
      </c>
      <c r="CT82" s="76">
        <v>125</v>
      </c>
      <c r="CU82" s="76">
        <v>-125</v>
      </c>
      <c r="CV82" s="76">
        <v>0</v>
      </c>
      <c r="CW82" s="76">
        <v>0</v>
      </c>
      <c r="CX82" s="76">
        <v>0</v>
      </c>
      <c r="CY82" s="76">
        <v>0</v>
      </c>
      <c r="CZ82" s="76">
        <v>0</v>
      </c>
      <c r="DA82" s="76">
        <v>0</v>
      </c>
      <c r="DB82" s="76">
        <v>0</v>
      </c>
      <c r="DC82" s="76">
        <v>0</v>
      </c>
      <c r="DD82" s="76">
        <v>77</v>
      </c>
      <c r="DE82" s="76">
        <v>0</v>
      </c>
      <c r="DF82" s="76">
        <v>202</v>
      </c>
      <c r="DG82" s="76">
        <v>-125</v>
      </c>
      <c r="DH82" s="76">
        <v>0</v>
      </c>
      <c r="DI82" s="76">
        <v>0</v>
      </c>
      <c r="DJ82" s="76">
        <v>0</v>
      </c>
      <c r="DK82" s="76">
        <v>0</v>
      </c>
      <c r="DL82" s="76">
        <v>0</v>
      </c>
      <c r="DM82" s="76">
        <v>0</v>
      </c>
      <c r="DN82" s="76">
        <v>0</v>
      </c>
      <c r="DO82" s="76">
        <v>0</v>
      </c>
      <c r="DP82" s="76">
        <v>0</v>
      </c>
      <c r="DQ82" s="76">
        <v>0</v>
      </c>
      <c r="DR82" s="76">
        <v>0</v>
      </c>
      <c r="DS82" s="76">
        <v>0</v>
      </c>
      <c r="DT82" s="76">
        <v>146</v>
      </c>
      <c r="DU82" s="76">
        <v>0</v>
      </c>
      <c r="DV82" s="76">
        <v>21</v>
      </c>
      <c r="DW82" s="76">
        <v>125</v>
      </c>
      <c r="DX82" s="76">
        <v>0</v>
      </c>
      <c r="DY82" s="76">
        <v>0</v>
      </c>
      <c r="DZ82" s="76">
        <v>0</v>
      </c>
      <c r="EA82" s="76">
        <v>0</v>
      </c>
      <c r="EB82" s="76">
        <v>198</v>
      </c>
      <c r="EC82" s="76">
        <v>0</v>
      </c>
      <c r="ED82" s="76">
        <v>716</v>
      </c>
      <c r="EE82" s="76">
        <v>-518</v>
      </c>
      <c r="EF82" s="76">
        <v>344</v>
      </c>
      <c r="EG82" s="76">
        <v>0</v>
      </c>
      <c r="EH82" s="76">
        <v>737</v>
      </c>
      <c r="EI82" s="76">
        <v>-393</v>
      </c>
      <c r="EJ82" s="76">
        <v>421</v>
      </c>
      <c r="EK82" s="76">
        <v>0</v>
      </c>
      <c r="EL82" s="76">
        <v>939</v>
      </c>
      <c r="EM82" s="76">
        <v>-518</v>
      </c>
      <c r="EN82" s="76">
        <v>1511</v>
      </c>
      <c r="EO82" s="76">
        <v>578</v>
      </c>
      <c r="EP82" s="76">
        <v>274</v>
      </c>
      <c r="EQ82" s="76">
        <v>578</v>
      </c>
      <c r="ER82" s="76">
        <v>135766</v>
      </c>
      <c r="ES82" s="76">
        <v>0</v>
      </c>
      <c r="ET82" s="76">
        <v>135766</v>
      </c>
      <c r="EU82" s="76">
        <v>6065</v>
      </c>
      <c r="EV82" s="76">
        <v>-1752</v>
      </c>
      <c r="EW82" s="76">
        <v>0</v>
      </c>
      <c r="EX82" s="76">
        <v>0</v>
      </c>
      <c r="EY82" s="76">
        <v>29</v>
      </c>
      <c r="EZ82" s="76">
        <v>140108</v>
      </c>
      <c r="FA82" s="76">
        <v>29385</v>
      </c>
      <c r="FB82" s="76">
        <v>5048</v>
      </c>
      <c r="FC82" s="76">
        <v>0</v>
      </c>
      <c r="FD82" s="76">
        <v>0</v>
      </c>
      <c r="FE82" s="76">
        <v>-767</v>
      </c>
      <c r="FF82" s="76">
        <v>0</v>
      </c>
      <c r="FG82" s="76">
        <v>0</v>
      </c>
      <c r="FH82" s="76">
        <v>33666</v>
      </c>
      <c r="FI82" s="76">
        <v>106442</v>
      </c>
      <c r="FJ82" s="76">
        <v>106381</v>
      </c>
      <c r="FK82" s="76">
        <v>0</v>
      </c>
      <c r="FL82" s="76">
        <v>0</v>
      </c>
      <c r="FM82" s="76">
        <v>0</v>
      </c>
      <c r="FN82" s="76">
        <v>2849</v>
      </c>
      <c r="FO82" s="76">
        <v>1366</v>
      </c>
      <c r="FP82" s="76">
        <v>1483</v>
      </c>
      <c r="FQ82" s="76">
        <v>733</v>
      </c>
      <c r="FR82" s="76">
        <v>786</v>
      </c>
      <c r="FS82" s="76">
        <v>-53</v>
      </c>
      <c r="FT82" s="76">
        <v>0</v>
      </c>
      <c r="FU82" s="76">
        <v>0</v>
      </c>
      <c r="FV82" s="76">
        <v>0</v>
      </c>
      <c r="FW82" s="76">
        <v>0</v>
      </c>
      <c r="FX82" s="76">
        <v>0</v>
      </c>
      <c r="FY82" s="76">
        <v>0</v>
      </c>
      <c r="FZ82" s="76">
        <v>0</v>
      </c>
      <c r="GA82" s="76">
        <v>0</v>
      </c>
      <c r="GB82" s="76">
        <v>0</v>
      </c>
      <c r="GC82" s="76">
        <v>3582</v>
      </c>
      <c r="GD82" s="76">
        <v>2152</v>
      </c>
      <c r="GE82" s="76">
        <v>1430</v>
      </c>
      <c r="GF82" s="76">
        <v>0</v>
      </c>
      <c r="GG82" s="76">
        <v>0</v>
      </c>
      <c r="GH82" s="76">
        <v>0</v>
      </c>
      <c r="GI82" s="76">
        <v>0</v>
      </c>
      <c r="GJ82" s="76">
        <v>0</v>
      </c>
      <c r="GK82" s="76">
        <v>237</v>
      </c>
      <c r="GL82" s="76">
        <v>237</v>
      </c>
      <c r="GM82" s="76">
        <v>1241</v>
      </c>
      <c r="GN82" s="76">
        <v>965</v>
      </c>
      <c r="GO82" s="76">
        <v>652</v>
      </c>
      <c r="GP82" s="76">
        <v>0</v>
      </c>
      <c r="GQ82" s="76">
        <v>1499</v>
      </c>
      <c r="GR82" s="76">
        <v>2085</v>
      </c>
      <c r="GS82" s="76">
        <v>0</v>
      </c>
      <c r="GT82" s="76">
        <v>0</v>
      </c>
      <c r="GU82" s="76">
        <v>184</v>
      </c>
      <c r="GV82" s="76">
        <v>0</v>
      </c>
      <c r="GW82" s="76">
        <v>2074</v>
      </c>
      <c r="GX82" s="76">
        <v>8700</v>
      </c>
      <c r="GY82" s="76">
        <v>0</v>
      </c>
      <c r="GZ82" s="76">
        <v>0</v>
      </c>
      <c r="HA82" s="76">
        <v>1115</v>
      </c>
      <c r="HB82" s="76">
        <v>0</v>
      </c>
      <c r="HC82" s="76">
        <v>1115</v>
      </c>
      <c r="HD82" s="76">
        <v>0</v>
      </c>
      <c r="HE82" s="76">
        <v>0</v>
      </c>
      <c r="HF82" s="76">
        <v>0</v>
      </c>
      <c r="HG82" s="76">
        <v>4635</v>
      </c>
      <c r="HH82" s="76">
        <v>55</v>
      </c>
      <c r="HI82" s="76">
        <v>27</v>
      </c>
      <c r="HJ82" s="76">
        <v>6</v>
      </c>
      <c r="HK82" s="76">
        <v>16</v>
      </c>
      <c r="HL82" s="76">
        <v>-21</v>
      </c>
      <c r="HM82" s="76">
        <v>4718</v>
      </c>
      <c r="HN82" s="76">
        <v>1323</v>
      </c>
      <c r="HO82" s="76">
        <v>5737</v>
      </c>
      <c r="HP82" s="76">
        <v>451</v>
      </c>
      <c r="HQ82" s="76">
        <v>9</v>
      </c>
      <c r="HR82" s="76">
        <v>-68</v>
      </c>
      <c r="HS82" s="76">
        <v>24</v>
      </c>
      <c r="HT82" s="76">
        <v>7726</v>
      </c>
      <c r="HU82" s="76">
        <v>0</v>
      </c>
      <c r="HV82" s="76">
        <v>0</v>
      </c>
      <c r="HW82" s="76">
        <v>0</v>
      </c>
      <c r="HX82" s="76">
        <v>22</v>
      </c>
    </row>
    <row r="83" spans="1:232" x14ac:dyDescent="0.2">
      <c r="A83" s="74" t="s">
        <v>349</v>
      </c>
      <c r="B83" s="74" t="s">
        <v>348</v>
      </c>
      <c r="C83" s="75" t="s">
        <v>200</v>
      </c>
      <c r="D83" s="75">
        <v>12</v>
      </c>
      <c r="E83" s="76">
        <v>10214</v>
      </c>
      <c r="F83" s="76">
        <v>0</v>
      </c>
      <c r="G83" s="76">
        <v>-7132</v>
      </c>
      <c r="H83" s="76">
        <v>3082</v>
      </c>
      <c r="I83" s="76">
        <v>446</v>
      </c>
      <c r="J83" s="76">
        <v>0</v>
      </c>
      <c r="K83" s="76">
        <v>0</v>
      </c>
      <c r="L83" s="76">
        <v>0</v>
      </c>
      <c r="M83" s="76">
        <v>0</v>
      </c>
      <c r="N83" s="76">
        <v>-2169</v>
      </c>
      <c r="O83" s="76">
        <v>30</v>
      </c>
      <c r="P83" s="76">
        <v>0</v>
      </c>
      <c r="Q83" s="76">
        <v>0</v>
      </c>
      <c r="R83" s="76">
        <v>1895</v>
      </c>
      <c r="S83" s="76">
        <v>3284</v>
      </c>
      <c r="T83" s="76">
        <v>0</v>
      </c>
      <c r="U83" s="76">
        <v>3284</v>
      </c>
      <c r="V83" s="76">
        <v>0</v>
      </c>
      <c r="W83" s="76">
        <v>-1211</v>
      </c>
      <c r="X83" s="76">
        <v>0</v>
      </c>
      <c r="Y83" s="76">
        <v>0</v>
      </c>
      <c r="Z83" s="76">
        <v>2073</v>
      </c>
      <c r="AA83" s="76">
        <v>8777</v>
      </c>
      <c r="AB83" s="76">
        <v>337</v>
      </c>
      <c r="AC83" s="76">
        <v>9114</v>
      </c>
      <c r="AD83" s="76">
        <v>0</v>
      </c>
      <c r="AE83" s="76">
        <v>0</v>
      </c>
      <c r="AF83" s="76">
        <v>0</v>
      </c>
      <c r="AG83" s="76">
        <v>0</v>
      </c>
      <c r="AH83" s="76">
        <v>9114</v>
      </c>
      <c r="AI83" s="76">
        <v>2476</v>
      </c>
      <c r="AJ83" s="76">
        <v>92</v>
      </c>
      <c r="AK83" s="76">
        <v>1600</v>
      </c>
      <c r="AL83" s="76">
        <v>218</v>
      </c>
      <c r="AM83" s="76">
        <v>0</v>
      </c>
      <c r="AN83" s="76">
        <v>50</v>
      </c>
      <c r="AO83" s="76">
        <v>1371</v>
      </c>
      <c r="AP83" s="76">
        <v>0</v>
      </c>
      <c r="AQ83" s="76">
        <v>269</v>
      </c>
      <c r="AR83" s="76">
        <v>6076</v>
      </c>
      <c r="AS83" s="76">
        <v>3038</v>
      </c>
      <c r="AT83" s="76">
        <v>117</v>
      </c>
      <c r="AU83" s="76">
        <v>0</v>
      </c>
      <c r="AV83" s="76">
        <v>63516</v>
      </c>
      <c r="AW83" s="76">
        <v>959</v>
      </c>
      <c r="AX83" s="76">
        <v>0</v>
      </c>
      <c r="AY83" s="76">
        <v>0</v>
      </c>
      <c r="AZ83" s="76">
        <v>580</v>
      </c>
      <c r="BA83" s="76">
        <v>0</v>
      </c>
      <c r="BB83" s="76">
        <v>0</v>
      </c>
      <c r="BC83" s="76">
        <v>0</v>
      </c>
      <c r="BD83" s="76">
        <v>0</v>
      </c>
      <c r="BE83" s="76">
        <v>65055</v>
      </c>
      <c r="BF83" s="76">
        <v>0</v>
      </c>
      <c r="BG83" s="76">
        <v>678</v>
      </c>
      <c r="BH83" s="76">
        <v>304</v>
      </c>
      <c r="BI83" s="76">
        <v>0</v>
      </c>
      <c r="BJ83" s="76">
        <v>0</v>
      </c>
      <c r="BK83" s="76">
        <v>982</v>
      </c>
      <c r="BL83" s="76">
        <v>0</v>
      </c>
      <c r="BM83" s="76">
        <v>0</v>
      </c>
      <c r="BN83" s="76">
        <v>0</v>
      </c>
      <c r="BO83" s="76">
        <v>1333</v>
      </c>
      <c r="BP83" s="76">
        <v>1333</v>
      </c>
      <c r="BQ83" s="76">
        <v>-351</v>
      </c>
      <c r="BR83" s="76">
        <v>64704</v>
      </c>
      <c r="BS83" s="76">
        <v>42343</v>
      </c>
      <c r="BT83" s="76">
        <v>0</v>
      </c>
      <c r="BU83" s="76">
        <v>0</v>
      </c>
      <c r="BV83" s="76">
        <v>0</v>
      </c>
      <c r="BW83" s="76">
        <v>0</v>
      </c>
      <c r="BX83" s="76">
        <v>0</v>
      </c>
      <c r="BY83" s="76">
        <v>1097</v>
      </c>
      <c r="BZ83" s="76">
        <v>43440</v>
      </c>
      <c r="CA83" s="76">
        <v>2919</v>
      </c>
      <c r="CB83" s="76">
        <v>0</v>
      </c>
      <c r="CC83" s="76">
        <v>18345</v>
      </c>
      <c r="CD83" s="76">
        <v>18345</v>
      </c>
      <c r="CE83" s="76">
        <v>0</v>
      </c>
      <c r="CF83" s="76">
        <v>0</v>
      </c>
      <c r="CG83" s="76">
        <v>0</v>
      </c>
      <c r="CH83" s="76">
        <v>0</v>
      </c>
      <c r="CI83" s="76">
        <v>18345</v>
      </c>
      <c r="CJ83" s="76">
        <v>0</v>
      </c>
      <c r="CK83" s="76">
        <v>0</v>
      </c>
      <c r="CL83" s="76">
        <v>0</v>
      </c>
      <c r="CM83" s="76">
        <v>0</v>
      </c>
      <c r="CN83" s="76">
        <v>130</v>
      </c>
      <c r="CO83" s="76">
        <v>0</v>
      </c>
      <c r="CP83" s="76">
        <v>130</v>
      </c>
      <c r="CQ83" s="76">
        <v>0</v>
      </c>
      <c r="CR83" s="76">
        <v>0</v>
      </c>
      <c r="CS83" s="76">
        <v>0</v>
      </c>
      <c r="CT83" s="76">
        <v>0</v>
      </c>
      <c r="CU83" s="76">
        <v>0</v>
      </c>
      <c r="CV83" s="76">
        <v>0</v>
      </c>
      <c r="CW83" s="76">
        <v>0</v>
      </c>
      <c r="CX83" s="76">
        <v>0</v>
      </c>
      <c r="CY83" s="76">
        <v>0</v>
      </c>
      <c r="CZ83" s="76">
        <v>449</v>
      </c>
      <c r="DA83" s="76">
        <v>0</v>
      </c>
      <c r="DB83" s="76">
        <v>449</v>
      </c>
      <c r="DC83" s="76">
        <v>0</v>
      </c>
      <c r="DD83" s="76">
        <v>579</v>
      </c>
      <c r="DE83" s="76">
        <v>0</v>
      </c>
      <c r="DF83" s="76">
        <v>579</v>
      </c>
      <c r="DG83" s="76">
        <v>0</v>
      </c>
      <c r="DH83" s="76">
        <v>0</v>
      </c>
      <c r="DI83" s="76">
        <v>0</v>
      </c>
      <c r="DJ83" s="76">
        <v>0</v>
      </c>
      <c r="DK83" s="76">
        <v>0</v>
      </c>
      <c r="DL83" s="76">
        <v>0</v>
      </c>
      <c r="DM83" s="76">
        <v>0</v>
      </c>
      <c r="DN83" s="76">
        <v>0</v>
      </c>
      <c r="DO83" s="76">
        <v>0</v>
      </c>
      <c r="DP83" s="76">
        <v>0</v>
      </c>
      <c r="DQ83" s="76">
        <v>0</v>
      </c>
      <c r="DR83" s="76">
        <v>0</v>
      </c>
      <c r="DS83" s="76">
        <v>0</v>
      </c>
      <c r="DT83" s="76">
        <v>41</v>
      </c>
      <c r="DU83" s="76">
        <v>0</v>
      </c>
      <c r="DV83" s="76">
        <v>41</v>
      </c>
      <c r="DW83" s="76">
        <v>0</v>
      </c>
      <c r="DX83" s="76">
        <v>398</v>
      </c>
      <c r="DY83" s="76">
        <v>0</v>
      </c>
      <c r="DZ83" s="76">
        <v>436</v>
      </c>
      <c r="EA83" s="76">
        <v>-38</v>
      </c>
      <c r="EB83" s="76">
        <v>82</v>
      </c>
      <c r="EC83" s="76">
        <v>0</v>
      </c>
      <c r="ED83" s="76">
        <v>0</v>
      </c>
      <c r="EE83" s="76">
        <v>82</v>
      </c>
      <c r="EF83" s="76">
        <v>521</v>
      </c>
      <c r="EG83" s="76">
        <v>0</v>
      </c>
      <c r="EH83" s="76">
        <v>477</v>
      </c>
      <c r="EI83" s="76">
        <v>44</v>
      </c>
      <c r="EJ83" s="76">
        <v>1100</v>
      </c>
      <c r="EK83" s="76">
        <v>0</v>
      </c>
      <c r="EL83" s="76">
        <v>1056</v>
      </c>
      <c r="EM83" s="76">
        <v>44</v>
      </c>
      <c r="EN83" s="76">
        <v>155</v>
      </c>
      <c r="EO83" s="76">
        <v>86</v>
      </c>
      <c r="EP83" s="76">
        <v>21</v>
      </c>
      <c r="EQ83" s="76">
        <v>86</v>
      </c>
      <c r="ER83" s="76">
        <v>0</v>
      </c>
      <c r="ES83" s="76">
        <v>75869</v>
      </c>
      <c r="ET83" s="76">
        <v>75869</v>
      </c>
      <c r="EU83" s="76">
        <v>2422</v>
      </c>
      <c r="EV83" s="76">
        <v>-1201</v>
      </c>
      <c r="EW83" s="76">
        <v>0</v>
      </c>
      <c r="EX83" s="76">
        <v>0</v>
      </c>
      <c r="EY83" s="76">
        <v>1896</v>
      </c>
      <c r="EZ83" s="76">
        <v>78986</v>
      </c>
      <c r="FA83" s="76">
        <v>14525</v>
      </c>
      <c r="FB83" s="76">
        <v>1371</v>
      </c>
      <c r="FC83" s="76">
        <v>0</v>
      </c>
      <c r="FD83" s="76">
        <v>0</v>
      </c>
      <c r="FE83" s="76">
        <v>-426</v>
      </c>
      <c r="FF83" s="76">
        <v>0</v>
      </c>
      <c r="FG83" s="76">
        <v>0</v>
      </c>
      <c r="FH83" s="76">
        <v>15470</v>
      </c>
      <c r="FI83" s="76">
        <v>63516</v>
      </c>
      <c r="FJ83" s="76">
        <v>61344</v>
      </c>
      <c r="FK83" s="76">
        <v>88</v>
      </c>
      <c r="FL83" s="76">
        <v>81</v>
      </c>
      <c r="FM83" s="76">
        <v>7</v>
      </c>
      <c r="FN83" s="76">
        <v>273</v>
      </c>
      <c r="FO83" s="76">
        <v>232</v>
      </c>
      <c r="FP83" s="76">
        <v>41</v>
      </c>
      <c r="FQ83" s="76">
        <v>151</v>
      </c>
      <c r="FR83" s="76">
        <v>238</v>
      </c>
      <c r="FS83" s="76">
        <v>-87</v>
      </c>
      <c r="FT83" s="76">
        <v>0</v>
      </c>
      <c r="FU83" s="76">
        <v>0</v>
      </c>
      <c r="FV83" s="76">
        <v>0</v>
      </c>
      <c r="FW83" s="76">
        <v>747</v>
      </c>
      <c r="FX83" s="76">
        <v>262</v>
      </c>
      <c r="FY83" s="76">
        <v>485</v>
      </c>
      <c r="FZ83" s="76">
        <v>0</v>
      </c>
      <c r="GA83" s="76">
        <v>0</v>
      </c>
      <c r="GB83" s="76">
        <v>0</v>
      </c>
      <c r="GC83" s="76">
        <v>1259</v>
      </c>
      <c r="GD83" s="76">
        <v>813</v>
      </c>
      <c r="GE83" s="76">
        <v>446</v>
      </c>
      <c r="GF83" s="76">
        <v>0</v>
      </c>
      <c r="GG83" s="76">
        <v>0</v>
      </c>
      <c r="GH83" s="76">
        <v>0</v>
      </c>
      <c r="GI83" s="76">
        <v>0</v>
      </c>
      <c r="GJ83" s="76">
        <v>0</v>
      </c>
      <c r="GK83" s="76">
        <v>0</v>
      </c>
      <c r="GL83" s="76">
        <v>0</v>
      </c>
      <c r="GM83" s="76">
        <v>187</v>
      </c>
      <c r="GN83" s="76">
        <v>70</v>
      </c>
      <c r="GO83" s="76">
        <v>112</v>
      </c>
      <c r="GP83" s="76">
        <v>241</v>
      </c>
      <c r="GQ83" s="76">
        <v>79</v>
      </c>
      <c r="GR83" s="76">
        <v>526</v>
      </c>
      <c r="GS83" s="76">
        <v>0</v>
      </c>
      <c r="GT83" s="76">
        <v>0</v>
      </c>
      <c r="GU83" s="76">
        <v>0</v>
      </c>
      <c r="GV83" s="76">
        <v>0</v>
      </c>
      <c r="GW83" s="76">
        <v>118</v>
      </c>
      <c r="GX83" s="76">
        <v>1333</v>
      </c>
      <c r="GY83" s="76">
        <v>104</v>
      </c>
      <c r="GZ83" s="76">
        <v>316</v>
      </c>
      <c r="HA83" s="76">
        <v>86</v>
      </c>
      <c r="HB83" s="76">
        <v>591</v>
      </c>
      <c r="HC83" s="76">
        <v>1097</v>
      </c>
      <c r="HD83" s="76">
        <v>0</v>
      </c>
      <c r="HE83" s="76">
        <v>0</v>
      </c>
      <c r="HF83" s="76">
        <v>0</v>
      </c>
      <c r="HG83" s="76">
        <v>0</v>
      </c>
      <c r="HH83" s="76">
        <v>0</v>
      </c>
      <c r="HI83" s="76">
        <v>60</v>
      </c>
      <c r="HJ83" s="76">
        <v>0</v>
      </c>
      <c r="HK83" s="76">
        <v>2168</v>
      </c>
      <c r="HL83" s="76">
        <v>-59</v>
      </c>
      <c r="HM83" s="76">
        <v>2169</v>
      </c>
      <c r="HN83" s="76">
        <v>1083</v>
      </c>
      <c r="HO83" s="76">
        <v>1444</v>
      </c>
      <c r="HP83" s="76">
        <v>0</v>
      </c>
      <c r="HQ83" s="76">
        <v>17</v>
      </c>
      <c r="HR83" s="76">
        <v>-16</v>
      </c>
      <c r="HS83" s="76">
        <v>2</v>
      </c>
      <c r="HT83" s="76">
        <v>1812</v>
      </c>
      <c r="HU83" s="76">
        <v>0</v>
      </c>
      <c r="HV83" s="76">
        <v>0</v>
      </c>
      <c r="HW83" s="76">
        <v>0</v>
      </c>
      <c r="HX83" s="76">
        <v>9</v>
      </c>
    </row>
    <row r="84" spans="1:232" x14ac:dyDescent="0.2">
      <c r="A84" s="74" t="s">
        <v>350</v>
      </c>
      <c r="B84" s="74" t="s">
        <v>351</v>
      </c>
      <c r="C84" s="75" t="s">
        <v>200</v>
      </c>
      <c r="D84" s="75">
        <v>12</v>
      </c>
      <c r="E84" s="76">
        <v>84674</v>
      </c>
      <c r="F84" s="76">
        <v>-2854</v>
      </c>
      <c r="G84" s="76">
        <v>-50105</v>
      </c>
      <c r="H84" s="76">
        <v>31715</v>
      </c>
      <c r="I84" s="76">
        <v>2219</v>
      </c>
      <c r="J84" s="76">
        <v>979</v>
      </c>
      <c r="K84" s="76">
        <v>0</v>
      </c>
      <c r="L84" s="76">
        <v>0</v>
      </c>
      <c r="M84" s="76">
        <v>347</v>
      </c>
      <c r="N84" s="76">
        <v>-21306</v>
      </c>
      <c r="O84" s="76">
        <v>0</v>
      </c>
      <c r="P84" s="76">
        <v>0</v>
      </c>
      <c r="Q84" s="76">
        <v>0</v>
      </c>
      <c r="R84" s="76">
        <v>0</v>
      </c>
      <c r="S84" s="76">
        <v>13954</v>
      </c>
      <c r="T84" s="76">
        <v>0</v>
      </c>
      <c r="U84" s="76">
        <v>13954</v>
      </c>
      <c r="V84" s="76">
        <v>0</v>
      </c>
      <c r="W84" s="76">
        <v>-484</v>
      </c>
      <c r="X84" s="76">
        <v>0</v>
      </c>
      <c r="Y84" s="76">
        <v>0</v>
      </c>
      <c r="Z84" s="76">
        <v>13470</v>
      </c>
      <c r="AA84" s="76">
        <v>70335</v>
      </c>
      <c r="AB84" s="76">
        <v>6737</v>
      </c>
      <c r="AC84" s="76">
        <v>77072</v>
      </c>
      <c r="AD84" s="76">
        <v>2213</v>
      </c>
      <c r="AE84" s="76">
        <v>0</v>
      </c>
      <c r="AF84" s="76">
        <v>0</v>
      </c>
      <c r="AG84" s="76">
        <v>37</v>
      </c>
      <c r="AH84" s="76">
        <v>79322</v>
      </c>
      <c r="AI84" s="76">
        <v>17469</v>
      </c>
      <c r="AJ84" s="76">
        <v>6112</v>
      </c>
      <c r="AK84" s="76">
        <v>10379</v>
      </c>
      <c r="AL84" s="76">
        <v>3111</v>
      </c>
      <c r="AM84" s="76">
        <v>152</v>
      </c>
      <c r="AN84" s="76">
        <v>141</v>
      </c>
      <c r="AO84" s="76">
        <v>11786</v>
      </c>
      <c r="AP84" s="76">
        <v>198</v>
      </c>
      <c r="AQ84" s="76">
        <v>29</v>
      </c>
      <c r="AR84" s="76">
        <v>49377</v>
      </c>
      <c r="AS84" s="76">
        <v>29945</v>
      </c>
      <c r="AT84" s="76">
        <v>1011</v>
      </c>
      <c r="AU84" s="76">
        <v>675005</v>
      </c>
      <c r="AV84" s="76">
        <v>0</v>
      </c>
      <c r="AW84" s="76">
        <v>5712</v>
      </c>
      <c r="AX84" s="76">
        <v>0</v>
      </c>
      <c r="AY84" s="76">
        <v>6711</v>
      </c>
      <c r="AZ84" s="76">
        <v>1175</v>
      </c>
      <c r="BA84" s="76">
        <v>0</v>
      </c>
      <c r="BB84" s="76">
        <v>0</v>
      </c>
      <c r="BC84" s="76">
        <v>0</v>
      </c>
      <c r="BD84" s="76">
        <v>1450</v>
      </c>
      <c r="BE84" s="76">
        <v>690053</v>
      </c>
      <c r="BF84" s="76">
        <v>2149</v>
      </c>
      <c r="BG84" s="76">
        <v>1461</v>
      </c>
      <c r="BH84" s="76">
        <v>8231</v>
      </c>
      <c r="BI84" s="76">
        <v>26873</v>
      </c>
      <c r="BJ84" s="76">
        <v>3571</v>
      </c>
      <c r="BK84" s="76">
        <v>42285</v>
      </c>
      <c r="BL84" s="76">
        <v>13304</v>
      </c>
      <c r="BM84" s="76">
        <v>0</v>
      </c>
      <c r="BN84" s="76">
        <v>0</v>
      </c>
      <c r="BO84" s="76">
        <v>13747</v>
      </c>
      <c r="BP84" s="76">
        <v>27051</v>
      </c>
      <c r="BQ84" s="76">
        <v>15234</v>
      </c>
      <c r="BR84" s="76">
        <v>705287</v>
      </c>
      <c r="BS84" s="76">
        <v>386364</v>
      </c>
      <c r="BT84" s="76">
        <v>0</v>
      </c>
      <c r="BU84" s="76">
        <v>0</v>
      </c>
      <c r="BV84" s="76">
        <v>210966</v>
      </c>
      <c r="BW84" s="76">
        <v>6711</v>
      </c>
      <c r="BX84" s="76">
        <v>0</v>
      </c>
      <c r="BY84" s="76">
        <v>4748</v>
      </c>
      <c r="BZ84" s="76">
        <v>608789</v>
      </c>
      <c r="CA84" s="76">
        <v>6461</v>
      </c>
      <c r="CB84" s="76">
        <v>52</v>
      </c>
      <c r="CC84" s="76">
        <v>89985</v>
      </c>
      <c r="CD84" s="76">
        <v>88657</v>
      </c>
      <c r="CE84" s="76">
        <v>0</v>
      </c>
      <c r="CF84" s="76">
        <v>1328</v>
      </c>
      <c r="CG84" s="76">
        <v>0</v>
      </c>
      <c r="CH84" s="76">
        <v>0</v>
      </c>
      <c r="CI84" s="76">
        <v>89985</v>
      </c>
      <c r="CJ84" s="76">
        <v>3857</v>
      </c>
      <c r="CK84" s="76">
        <v>2854</v>
      </c>
      <c r="CL84" s="76">
        <v>0</v>
      </c>
      <c r="CM84" s="76">
        <v>1003</v>
      </c>
      <c r="CN84" s="76">
        <v>276</v>
      </c>
      <c r="CO84" s="76">
        <v>0</v>
      </c>
      <c r="CP84" s="76">
        <v>728</v>
      </c>
      <c r="CQ84" s="76">
        <v>-452</v>
      </c>
      <c r="CR84" s="76">
        <v>0</v>
      </c>
      <c r="CS84" s="76">
        <v>0</v>
      </c>
      <c r="CT84" s="76">
        <v>0</v>
      </c>
      <c r="CU84" s="76">
        <v>0</v>
      </c>
      <c r="CV84" s="76">
        <v>0</v>
      </c>
      <c r="CW84" s="76">
        <v>0</v>
      </c>
      <c r="CX84" s="76">
        <v>0</v>
      </c>
      <c r="CY84" s="76">
        <v>0</v>
      </c>
      <c r="CZ84" s="76">
        <v>1219</v>
      </c>
      <c r="DA84" s="76">
        <v>0</v>
      </c>
      <c r="DB84" s="76">
        <v>0</v>
      </c>
      <c r="DC84" s="76">
        <v>1219</v>
      </c>
      <c r="DD84" s="76">
        <v>5352</v>
      </c>
      <c r="DE84" s="76">
        <v>2854</v>
      </c>
      <c r="DF84" s="76">
        <v>728</v>
      </c>
      <c r="DG84" s="76">
        <v>1770</v>
      </c>
      <c r="DH84" s="76">
        <v>0</v>
      </c>
      <c r="DI84" s="76">
        <v>0</v>
      </c>
      <c r="DJ84" s="76">
        <v>0</v>
      </c>
      <c r="DK84" s="76">
        <v>0</v>
      </c>
      <c r="DL84" s="76">
        <v>0</v>
      </c>
      <c r="DM84" s="76">
        <v>0</v>
      </c>
      <c r="DN84" s="76">
        <v>0</v>
      </c>
      <c r="DO84" s="76">
        <v>0</v>
      </c>
      <c r="DP84" s="76">
        <v>0</v>
      </c>
      <c r="DQ84" s="76">
        <v>0</v>
      </c>
      <c r="DR84" s="76">
        <v>0</v>
      </c>
      <c r="DS84" s="76">
        <v>0</v>
      </c>
      <c r="DT84" s="76">
        <v>0</v>
      </c>
      <c r="DU84" s="76">
        <v>0</v>
      </c>
      <c r="DV84" s="76">
        <v>0</v>
      </c>
      <c r="DW84" s="76">
        <v>0</v>
      </c>
      <c r="DX84" s="76">
        <v>0</v>
      </c>
      <c r="DY84" s="76">
        <v>0</v>
      </c>
      <c r="DZ84" s="76">
        <v>0</v>
      </c>
      <c r="EA84" s="76">
        <v>0</v>
      </c>
      <c r="EB84" s="76">
        <v>0</v>
      </c>
      <c r="EC84" s="76">
        <v>0</v>
      </c>
      <c r="ED84" s="76">
        <v>0</v>
      </c>
      <c r="EE84" s="76">
        <v>0</v>
      </c>
      <c r="EF84" s="76">
        <v>0</v>
      </c>
      <c r="EG84" s="76">
        <v>0</v>
      </c>
      <c r="EH84" s="76">
        <v>0</v>
      </c>
      <c r="EI84" s="76">
        <v>0</v>
      </c>
      <c r="EJ84" s="76">
        <v>5352</v>
      </c>
      <c r="EK84" s="76">
        <v>2854</v>
      </c>
      <c r="EL84" s="76">
        <v>728</v>
      </c>
      <c r="EM84" s="76">
        <v>1770</v>
      </c>
      <c r="EN84" s="76">
        <v>2612</v>
      </c>
      <c r="EO84" s="76">
        <v>1571</v>
      </c>
      <c r="EP84" s="76">
        <v>1372</v>
      </c>
      <c r="EQ84" s="76">
        <v>1571</v>
      </c>
      <c r="ER84" s="76">
        <v>728383</v>
      </c>
      <c r="ES84" s="76">
        <v>0</v>
      </c>
      <c r="ET84" s="76">
        <v>728383</v>
      </c>
      <c r="EU84" s="76">
        <v>50778</v>
      </c>
      <c r="EV84" s="76">
        <v>-7730</v>
      </c>
      <c r="EW84" s="76">
        <v>0</v>
      </c>
      <c r="EX84" s="76">
        <v>0</v>
      </c>
      <c r="EY84" s="76">
        <v>0</v>
      </c>
      <c r="EZ84" s="76">
        <v>771431</v>
      </c>
      <c r="FA84" s="76">
        <v>85570</v>
      </c>
      <c r="FB84" s="76">
        <v>11787</v>
      </c>
      <c r="FC84" s="76">
        <v>198</v>
      </c>
      <c r="FD84" s="76">
        <v>0</v>
      </c>
      <c r="FE84" s="76">
        <v>-1129</v>
      </c>
      <c r="FF84" s="76">
        <v>0</v>
      </c>
      <c r="FG84" s="76">
        <v>0</v>
      </c>
      <c r="FH84" s="76">
        <v>96426</v>
      </c>
      <c r="FI84" s="76">
        <v>675005</v>
      </c>
      <c r="FJ84" s="76">
        <v>642813</v>
      </c>
      <c r="FK84" s="76">
        <v>2476</v>
      </c>
      <c r="FL84" s="76">
        <v>1570</v>
      </c>
      <c r="FM84" s="76">
        <v>906</v>
      </c>
      <c r="FN84" s="76">
        <v>1323</v>
      </c>
      <c r="FO84" s="76">
        <v>644</v>
      </c>
      <c r="FP84" s="76">
        <v>679</v>
      </c>
      <c r="FQ84" s="76">
        <v>126</v>
      </c>
      <c r="FR84" s="76">
        <v>124</v>
      </c>
      <c r="FS84" s="76">
        <v>2</v>
      </c>
      <c r="FT84" s="76">
        <v>1188</v>
      </c>
      <c r="FU84" s="76">
        <v>548</v>
      </c>
      <c r="FV84" s="76">
        <v>640</v>
      </c>
      <c r="FW84" s="76">
        <v>1332</v>
      </c>
      <c r="FX84" s="76">
        <v>1340</v>
      </c>
      <c r="FY84" s="76">
        <v>-8</v>
      </c>
      <c r="FZ84" s="76">
        <v>0</v>
      </c>
      <c r="GA84" s="76">
        <v>0</v>
      </c>
      <c r="GB84" s="76">
        <v>0</v>
      </c>
      <c r="GC84" s="76">
        <v>6445</v>
      </c>
      <c r="GD84" s="76">
        <v>4226</v>
      </c>
      <c r="GE84" s="76">
        <v>2219</v>
      </c>
      <c r="GF84" s="76">
        <v>1703</v>
      </c>
      <c r="GG84" s="76">
        <v>0</v>
      </c>
      <c r="GH84" s="76">
        <v>0</v>
      </c>
      <c r="GI84" s="76">
        <v>0</v>
      </c>
      <c r="GJ84" s="76">
        <v>0</v>
      </c>
      <c r="GK84" s="76">
        <v>1868</v>
      </c>
      <c r="GL84" s="76">
        <v>3571</v>
      </c>
      <c r="GM84" s="76">
        <v>3992</v>
      </c>
      <c r="GN84" s="76">
        <v>2654</v>
      </c>
      <c r="GO84" s="76">
        <v>1574</v>
      </c>
      <c r="GP84" s="76">
        <v>0</v>
      </c>
      <c r="GQ84" s="76">
        <v>396</v>
      </c>
      <c r="GR84" s="76">
        <v>4204</v>
      </c>
      <c r="GS84" s="76">
        <v>0</v>
      </c>
      <c r="GT84" s="76">
        <v>0</v>
      </c>
      <c r="GU84" s="76">
        <v>495</v>
      </c>
      <c r="GV84" s="76">
        <v>0</v>
      </c>
      <c r="GW84" s="76">
        <v>432</v>
      </c>
      <c r="GX84" s="76">
        <v>13747</v>
      </c>
      <c r="GY84" s="76">
        <v>1406</v>
      </c>
      <c r="GZ84" s="76">
        <v>0</v>
      </c>
      <c r="HA84" s="76">
        <v>3342</v>
      </c>
      <c r="HB84" s="76">
        <v>0</v>
      </c>
      <c r="HC84" s="76">
        <v>4748</v>
      </c>
      <c r="HD84" s="76">
        <v>0</v>
      </c>
      <c r="HE84" s="76">
        <v>52</v>
      </c>
      <c r="HF84" s="76">
        <v>52</v>
      </c>
      <c r="HG84" s="76">
        <v>21547</v>
      </c>
      <c r="HH84" s="76">
        <v>428</v>
      </c>
      <c r="HI84" s="76">
        <v>391</v>
      </c>
      <c r="HJ84" s="76">
        <v>4</v>
      </c>
      <c r="HK84" s="76">
        <v>0</v>
      </c>
      <c r="HL84" s="76">
        <v>-1064</v>
      </c>
      <c r="HM84" s="76">
        <v>21306</v>
      </c>
      <c r="HN84" s="76">
        <v>8206</v>
      </c>
      <c r="HO84" s="76">
        <v>11787</v>
      </c>
      <c r="HP84" s="76">
        <v>198</v>
      </c>
      <c r="HQ84" s="76">
        <v>331</v>
      </c>
      <c r="HR84" s="76">
        <v>-79</v>
      </c>
      <c r="HS84" s="76">
        <v>-38</v>
      </c>
      <c r="HT84" s="76">
        <v>16761</v>
      </c>
      <c r="HU84" s="76">
        <v>6</v>
      </c>
      <c r="HV84" s="76">
        <v>-2</v>
      </c>
      <c r="HW84" s="76">
        <v>18</v>
      </c>
      <c r="HX84" s="76">
        <v>692</v>
      </c>
    </row>
    <row r="85" spans="1:232" x14ac:dyDescent="0.2">
      <c r="A85" s="74" t="s">
        <v>352</v>
      </c>
      <c r="B85" s="74" t="s">
        <v>353</v>
      </c>
      <c r="C85" s="75" t="s">
        <v>200</v>
      </c>
      <c r="D85" s="75">
        <v>12</v>
      </c>
      <c r="E85" s="76">
        <v>3917</v>
      </c>
      <c r="F85" s="76">
        <v>0</v>
      </c>
      <c r="G85" s="76">
        <v>-2214</v>
      </c>
      <c r="H85" s="76">
        <v>1703</v>
      </c>
      <c r="I85" s="76">
        <v>4</v>
      </c>
      <c r="J85" s="76">
        <v>0</v>
      </c>
      <c r="K85" s="76">
        <v>0</v>
      </c>
      <c r="L85" s="76">
        <v>0</v>
      </c>
      <c r="M85" s="76">
        <v>6</v>
      </c>
      <c r="N85" s="76">
        <v>-16</v>
      </c>
      <c r="O85" s="76">
        <v>0</v>
      </c>
      <c r="P85" s="76">
        <v>0</v>
      </c>
      <c r="Q85" s="76">
        <v>0</v>
      </c>
      <c r="R85" s="76">
        <v>0</v>
      </c>
      <c r="S85" s="76">
        <v>1697</v>
      </c>
      <c r="T85" s="76">
        <v>0</v>
      </c>
      <c r="U85" s="76">
        <v>1697</v>
      </c>
      <c r="V85" s="76">
        <v>0</v>
      </c>
      <c r="W85" s="76">
        <v>0</v>
      </c>
      <c r="X85" s="76">
        <v>0</v>
      </c>
      <c r="Y85" s="76">
        <v>0</v>
      </c>
      <c r="Z85" s="76">
        <v>1697</v>
      </c>
      <c r="AA85" s="76">
        <v>3781</v>
      </c>
      <c r="AB85" s="76">
        <v>115</v>
      </c>
      <c r="AC85" s="76">
        <v>3896</v>
      </c>
      <c r="AD85" s="76">
        <v>21</v>
      </c>
      <c r="AE85" s="76">
        <v>0</v>
      </c>
      <c r="AF85" s="76">
        <v>0</v>
      </c>
      <c r="AG85" s="76">
        <v>0</v>
      </c>
      <c r="AH85" s="76">
        <v>3917</v>
      </c>
      <c r="AI85" s="76">
        <v>1056</v>
      </c>
      <c r="AJ85" s="76">
        <v>113</v>
      </c>
      <c r="AK85" s="76">
        <v>380</v>
      </c>
      <c r="AL85" s="76">
        <v>0</v>
      </c>
      <c r="AM85" s="76">
        <v>149</v>
      </c>
      <c r="AN85" s="76">
        <v>13</v>
      </c>
      <c r="AO85" s="76">
        <v>503</v>
      </c>
      <c r="AP85" s="76">
        <v>0</v>
      </c>
      <c r="AQ85" s="76">
        <v>0</v>
      </c>
      <c r="AR85" s="76">
        <v>2214</v>
      </c>
      <c r="AS85" s="76">
        <v>1703</v>
      </c>
      <c r="AT85" s="76">
        <v>24</v>
      </c>
      <c r="AU85" s="76">
        <v>23538</v>
      </c>
      <c r="AV85" s="76">
        <v>0</v>
      </c>
      <c r="AW85" s="76">
        <v>128</v>
      </c>
      <c r="AX85" s="76">
        <v>0</v>
      </c>
      <c r="AY85" s="76">
        <v>0</v>
      </c>
      <c r="AZ85" s="76">
        <v>0</v>
      </c>
      <c r="BA85" s="76">
        <v>0</v>
      </c>
      <c r="BB85" s="76">
        <v>0</v>
      </c>
      <c r="BC85" s="76">
        <v>0</v>
      </c>
      <c r="BD85" s="76">
        <v>0</v>
      </c>
      <c r="BE85" s="76">
        <v>23666</v>
      </c>
      <c r="BF85" s="76">
        <v>0</v>
      </c>
      <c r="BG85" s="76">
        <v>204</v>
      </c>
      <c r="BH85" s="76">
        <v>1258</v>
      </c>
      <c r="BI85" s="76">
        <v>513</v>
      </c>
      <c r="BJ85" s="76">
        <v>0</v>
      </c>
      <c r="BK85" s="76">
        <v>1975</v>
      </c>
      <c r="BL85" s="76">
        <v>0</v>
      </c>
      <c r="BM85" s="76">
        <v>0</v>
      </c>
      <c r="BN85" s="76">
        <v>21</v>
      </c>
      <c r="BO85" s="76">
        <v>497</v>
      </c>
      <c r="BP85" s="76">
        <v>518</v>
      </c>
      <c r="BQ85" s="76">
        <v>1457</v>
      </c>
      <c r="BR85" s="76">
        <v>25123</v>
      </c>
      <c r="BS85" s="76">
        <v>0</v>
      </c>
      <c r="BT85" s="76">
        <v>0</v>
      </c>
      <c r="BU85" s="76">
        <v>0</v>
      </c>
      <c r="BV85" s="76">
        <v>2054</v>
      </c>
      <c r="BW85" s="76">
        <v>0</v>
      </c>
      <c r="BX85" s="76">
        <v>0</v>
      </c>
      <c r="BY85" s="76">
        <v>0</v>
      </c>
      <c r="BZ85" s="76">
        <v>2054</v>
      </c>
      <c r="CA85" s="76">
        <v>470</v>
      </c>
      <c r="CB85" s="76">
        <v>0</v>
      </c>
      <c r="CC85" s="76">
        <v>22599</v>
      </c>
      <c r="CD85" s="76">
        <v>12074</v>
      </c>
      <c r="CE85" s="76">
        <v>10525</v>
      </c>
      <c r="CF85" s="76">
        <v>0</v>
      </c>
      <c r="CG85" s="76">
        <v>0</v>
      </c>
      <c r="CH85" s="76">
        <v>0</v>
      </c>
      <c r="CI85" s="76">
        <v>22599</v>
      </c>
      <c r="CJ85" s="76">
        <v>0</v>
      </c>
      <c r="CK85" s="76">
        <v>0</v>
      </c>
      <c r="CL85" s="76">
        <v>0</v>
      </c>
      <c r="CM85" s="76">
        <v>0</v>
      </c>
      <c r="CN85" s="76">
        <v>0</v>
      </c>
      <c r="CO85" s="76">
        <v>0</v>
      </c>
      <c r="CP85" s="76">
        <v>0</v>
      </c>
      <c r="CQ85" s="76">
        <v>0</v>
      </c>
      <c r="CR85" s="76">
        <v>0</v>
      </c>
      <c r="CS85" s="76">
        <v>0</v>
      </c>
      <c r="CT85" s="76">
        <v>0</v>
      </c>
      <c r="CU85" s="76">
        <v>0</v>
      </c>
      <c r="CV85" s="76">
        <v>0</v>
      </c>
      <c r="CW85" s="76">
        <v>0</v>
      </c>
      <c r="CX85" s="76">
        <v>0</v>
      </c>
      <c r="CY85" s="76">
        <v>0</v>
      </c>
      <c r="CZ85" s="76">
        <v>0</v>
      </c>
      <c r="DA85" s="76">
        <v>0</v>
      </c>
      <c r="DB85" s="76">
        <v>0</v>
      </c>
      <c r="DC85" s="76">
        <v>0</v>
      </c>
      <c r="DD85" s="76">
        <v>0</v>
      </c>
      <c r="DE85" s="76">
        <v>0</v>
      </c>
      <c r="DF85" s="76">
        <v>0</v>
      </c>
      <c r="DG85" s="76">
        <v>0</v>
      </c>
      <c r="DH85" s="76">
        <v>0</v>
      </c>
      <c r="DI85" s="76">
        <v>0</v>
      </c>
      <c r="DJ85" s="76">
        <v>0</v>
      </c>
      <c r="DK85" s="76">
        <v>0</v>
      </c>
      <c r="DL85" s="76">
        <v>0</v>
      </c>
      <c r="DM85" s="76">
        <v>0</v>
      </c>
      <c r="DN85" s="76">
        <v>0</v>
      </c>
      <c r="DO85" s="76">
        <v>0</v>
      </c>
      <c r="DP85" s="76">
        <v>0</v>
      </c>
      <c r="DQ85" s="76">
        <v>0</v>
      </c>
      <c r="DR85" s="76">
        <v>0</v>
      </c>
      <c r="DS85" s="76">
        <v>0</v>
      </c>
      <c r="DT85" s="76">
        <v>0</v>
      </c>
      <c r="DU85" s="76">
        <v>0</v>
      </c>
      <c r="DV85" s="76">
        <v>0</v>
      </c>
      <c r="DW85" s="76">
        <v>0</v>
      </c>
      <c r="DX85" s="76">
        <v>0</v>
      </c>
      <c r="DY85" s="76">
        <v>0</v>
      </c>
      <c r="DZ85" s="76">
        <v>0</v>
      </c>
      <c r="EA85" s="76">
        <v>0</v>
      </c>
      <c r="EB85" s="76">
        <v>0</v>
      </c>
      <c r="EC85" s="76">
        <v>0</v>
      </c>
      <c r="ED85" s="76">
        <v>0</v>
      </c>
      <c r="EE85" s="76">
        <v>0</v>
      </c>
      <c r="EF85" s="76">
        <v>0</v>
      </c>
      <c r="EG85" s="76">
        <v>0</v>
      </c>
      <c r="EH85" s="76">
        <v>0</v>
      </c>
      <c r="EI85" s="76">
        <v>0</v>
      </c>
      <c r="EJ85" s="76">
        <v>0</v>
      </c>
      <c r="EK85" s="76">
        <v>0</v>
      </c>
      <c r="EL85" s="76">
        <v>0</v>
      </c>
      <c r="EM85" s="76">
        <v>0</v>
      </c>
      <c r="EN85" s="76">
        <v>66</v>
      </c>
      <c r="EO85" s="76">
        <v>32</v>
      </c>
      <c r="EP85" s="76">
        <v>21</v>
      </c>
      <c r="EQ85" s="76">
        <v>32</v>
      </c>
      <c r="ER85" s="76">
        <v>25979</v>
      </c>
      <c r="ES85" s="76">
        <v>0</v>
      </c>
      <c r="ET85" s="76">
        <v>25979</v>
      </c>
      <c r="EU85" s="76">
        <v>3132</v>
      </c>
      <c r="EV85" s="76">
        <v>-76</v>
      </c>
      <c r="EW85" s="76">
        <v>0</v>
      </c>
      <c r="EX85" s="76">
        <v>0</v>
      </c>
      <c r="EY85" s="76">
        <v>0</v>
      </c>
      <c r="EZ85" s="76">
        <v>29035</v>
      </c>
      <c r="FA85" s="76">
        <v>5131</v>
      </c>
      <c r="FB85" s="76">
        <v>384</v>
      </c>
      <c r="FC85" s="76">
        <v>0</v>
      </c>
      <c r="FD85" s="76">
        <v>0</v>
      </c>
      <c r="FE85" s="76">
        <v>-18</v>
      </c>
      <c r="FF85" s="76">
        <v>0</v>
      </c>
      <c r="FG85" s="76">
        <v>0</v>
      </c>
      <c r="FH85" s="76">
        <v>5497</v>
      </c>
      <c r="FI85" s="76">
        <v>23538</v>
      </c>
      <c r="FJ85" s="76">
        <v>20848</v>
      </c>
      <c r="FK85" s="76">
        <v>0</v>
      </c>
      <c r="FL85" s="76">
        <v>0</v>
      </c>
      <c r="FM85" s="76">
        <v>0</v>
      </c>
      <c r="FN85" s="76">
        <v>0</v>
      </c>
      <c r="FO85" s="76">
        <v>0</v>
      </c>
      <c r="FP85" s="76">
        <v>0</v>
      </c>
      <c r="FQ85" s="76">
        <v>152</v>
      </c>
      <c r="FR85" s="76">
        <v>148</v>
      </c>
      <c r="FS85" s="76">
        <v>4</v>
      </c>
      <c r="FT85" s="76">
        <v>0</v>
      </c>
      <c r="FU85" s="76">
        <v>0</v>
      </c>
      <c r="FV85" s="76">
        <v>0</v>
      </c>
      <c r="FW85" s="76">
        <v>0</v>
      </c>
      <c r="FX85" s="76">
        <v>0</v>
      </c>
      <c r="FY85" s="76">
        <v>0</v>
      </c>
      <c r="FZ85" s="76">
        <v>0</v>
      </c>
      <c r="GA85" s="76">
        <v>0</v>
      </c>
      <c r="GB85" s="76">
        <v>0</v>
      </c>
      <c r="GC85" s="76">
        <v>152</v>
      </c>
      <c r="GD85" s="76">
        <v>148</v>
      </c>
      <c r="GE85" s="76">
        <v>4</v>
      </c>
      <c r="GF85" s="76">
        <v>0</v>
      </c>
      <c r="GG85" s="76">
        <v>0</v>
      </c>
      <c r="GH85" s="76">
        <v>0</v>
      </c>
      <c r="GI85" s="76">
        <v>0</v>
      </c>
      <c r="GJ85" s="76">
        <v>0</v>
      </c>
      <c r="GK85" s="76">
        <v>0</v>
      </c>
      <c r="GL85" s="76">
        <v>0</v>
      </c>
      <c r="GM85" s="76">
        <v>116</v>
      </c>
      <c r="GN85" s="76">
        <v>94</v>
      </c>
      <c r="GO85" s="76">
        <v>0</v>
      </c>
      <c r="GP85" s="76">
        <v>0</v>
      </c>
      <c r="GQ85" s="76">
        <v>16</v>
      </c>
      <c r="GR85" s="76">
        <v>89</v>
      </c>
      <c r="GS85" s="76">
        <v>0</v>
      </c>
      <c r="GT85" s="76">
        <v>0</v>
      </c>
      <c r="GU85" s="76">
        <v>82</v>
      </c>
      <c r="GV85" s="76">
        <v>0</v>
      </c>
      <c r="GW85" s="76">
        <v>100</v>
      </c>
      <c r="GX85" s="76">
        <v>497</v>
      </c>
      <c r="GY85" s="76">
        <v>0</v>
      </c>
      <c r="GZ85" s="76">
        <v>0</v>
      </c>
      <c r="HA85" s="76">
        <v>0</v>
      </c>
      <c r="HB85" s="76">
        <v>0</v>
      </c>
      <c r="HC85" s="76">
        <v>0</v>
      </c>
      <c r="HD85" s="76">
        <v>0</v>
      </c>
      <c r="HE85" s="76">
        <v>0</v>
      </c>
      <c r="HF85" s="76">
        <v>0</v>
      </c>
      <c r="HG85" s="76">
        <v>0</v>
      </c>
      <c r="HH85" s="76">
        <v>0</v>
      </c>
      <c r="HI85" s="76">
        <v>11</v>
      </c>
      <c r="HJ85" s="76">
        <v>0</v>
      </c>
      <c r="HK85" s="76">
        <v>5</v>
      </c>
      <c r="HL85" s="76">
        <v>0</v>
      </c>
      <c r="HM85" s="76">
        <v>16</v>
      </c>
      <c r="HN85" s="76">
        <v>345</v>
      </c>
      <c r="HO85" s="76">
        <v>530</v>
      </c>
      <c r="HP85" s="76">
        <v>0</v>
      </c>
      <c r="HQ85" s="76">
        <v>32</v>
      </c>
      <c r="HR85" s="76">
        <v>-2</v>
      </c>
      <c r="HS85" s="76">
        <v>0</v>
      </c>
      <c r="HT85" s="76">
        <v>1096</v>
      </c>
      <c r="HU85" s="76">
        <v>0</v>
      </c>
      <c r="HV85" s="76">
        <v>0</v>
      </c>
      <c r="HW85" s="76">
        <v>0</v>
      </c>
      <c r="HX85" s="76">
        <v>0</v>
      </c>
    </row>
    <row r="86" spans="1:232" x14ac:dyDescent="0.2">
      <c r="A86" s="71" t="s">
        <v>354</v>
      </c>
      <c r="B86" s="71" t="s">
        <v>355</v>
      </c>
      <c r="C86" s="72" t="s">
        <v>200</v>
      </c>
      <c r="D86" s="72">
        <v>12</v>
      </c>
      <c r="E86" s="73">
        <v>15300</v>
      </c>
      <c r="F86" s="73">
        <v>0</v>
      </c>
      <c r="G86" s="73">
        <v>-10055</v>
      </c>
      <c r="H86" s="73">
        <v>5245</v>
      </c>
      <c r="I86" s="73">
        <v>0</v>
      </c>
      <c r="J86" s="73">
        <v>150</v>
      </c>
      <c r="K86" s="73">
        <v>0</v>
      </c>
      <c r="L86" s="73">
        <v>0</v>
      </c>
      <c r="M86" s="73">
        <v>6</v>
      </c>
      <c r="N86" s="73">
        <v>-2442</v>
      </c>
      <c r="O86" s="73">
        <v>0</v>
      </c>
      <c r="P86" s="73">
        <v>0</v>
      </c>
      <c r="Q86" s="73">
        <v>0</v>
      </c>
      <c r="R86" s="73">
        <v>0</v>
      </c>
      <c r="S86" s="73">
        <v>2959</v>
      </c>
      <c r="T86" s="73">
        <v>0</v>
      </c>
      <c r="U86" s="73">
        <v>2959</v>
      </c>
      <c r="V86" s="73">
        <v>0</v>
      </c>
      <c r="W86" s="73">
        <v>0</v>
      </c>
      <c r="X86" s="73">
        <v>0</v>
      </c>
      <c r="Y86" s="73">
        <v>0</v>
      </c>
      <c r="Z86" s="73">
        <v>2959</v>
      </c>
      <c r="AA86" s="73">
        <v>11322</v>
      </c>
      <c r="AB86" s="73">
        <v>1987</v>
      </c>
      <c r="AC86" s="73">
        <v>13309</v>
      </c>
      <c r="AD86" s="73">
        <v>809</v>
      </c>
      <c r="AE86" s="73">
        <v>0</v>
      </c>
      <c r="AF86" s="73">
        <v>0</v>
      </c>
      <c r="AG86" s="73">
        <v>881</v>
      </c>
      <c r="AH86" s="73">
        <v>14999</v>
      </c>
      <c r="AI86" s="73">
        <v>2543</v>
      </c>
      <c r="AJ86" s="73">
        <v>1611</v>
      </c>
      <c r="AK86" s="73">
        <v>1851</v>
      </c>
      <c r="AL86" s="73">
        <v>1330</v>
      </c>
      <c r="AM86" s="73">
        <v>321</v>
      </c>
      <c r="AN86" s="73">
        <v>160</v>
      </c>
      <c r="AO86" s="73">
        <v>1767</v>
      </c>
      <c r="AP86" s="73">
        <v>0</v>
      </c>
      <c r="AQ86" s="73">
        <v>352</v>
      </c>
      <c r="AR86" s="73">
        <v>9935</v>
      </c>
      <c r="AS86" s="73">
        <v>5064</v>
      </c>
      <c r="AT86" s="73">
        <v>357</v>
      </c>
      <c r="AU86" s="73">
        <v>156836</v>
      </c>
      <c r="AV86" s="73">
        <v>0</v>
      </c>
      <c r="AW86" s="73">
        <v>1609</v>
      </c>
      <c r="AX86" s="73">
        <v>0</v>
      </c>
      <c r="AY86" s="73">
        <v>0</v>
      </c>
      <c r="AZ86" s="73">
        <v>0</v>
      </c>
      <c r="BA86" s="73">
        <v>0</v>
      </c>
      <c r="BB86" s="73">
        <v>0</v>
      </c>
      <c r="BC86" s="73">
        <v>0</v>
      </c>
      <c r="BD86" s="73">
        <v>0</v>
      </c>
      <c r="BE86" s="73">
        <v>158445</v>
      </c>
      <c r="BF86" s="73">
        <v>0</v>
      </c>
      <c r="BG86" s="73">
        <v>1641</v>
      </c>
      <c r="BH86" s="73">
        <v>1567</v>
      </c>
      <c r="BI86" s="73">
        <v>0</v>
      </c>
      <c r="BJ86" s="73">
        <v>0</v>
      </c>
      <c r="BK86" s="73">
        <v>3208</v>
      </c>
      <c r="BL86" s="73">
        <v>986</v>
      </c>
      <c r="BM86" s="73">
        <v>0</v>
      </c>
      <c r="BN86" s="73">
        <v>816</v>
      </c>
      <c r="BO86" s="73">
        <v>2517</v>
      </c>
      <c r="BP86" s="73">
        <v>4319</v>
      </c>
      <c r="BQ86" s="73">
        <v>-1111</v>
      </c>
      <c r="BR86" s="73">
        <v>157334</v>
      </c>
      <c r="BS86" s="73">
        <v>66168</v>
      </c>
      <c r="BT86" s="73">
        <v>0</v>
      </c>
      <c r="BU86" s="73">
        <v>0</v>
      </c>
      <c r="BV86" s="73">
        <v>70964</v>
      </c>
      <c r="BW86" s="73">
        <v>0</v>
      </c>
      <c r="BX86" s="73">
        <v>0</v>
      </c>
      <c r="BY86" s="73">
        <v>2284</v>
      </c>
      <c r="BZ86" s="73">
        <v>139416</v>
      </c>
      <c r="CA86" s="73">
        <v>0</v>
      </c>
      <c r="CB86" s="73">
        <v>94</v>
      </c>
      <c r="CC86" s="73">
        <v>17824</v>
      </c>
      <c r="CD86" s="73">
        <v>17824</v>
      </c>
      <c r="CE86" s="73">
        <v>0</v>
      </c>
      <c r="CF86" s="73">
        <v>0</v>
      </c>
      <c r="CG86" s="73">
        <v>0</v>
      </c>
      <c r="CH86" s="73">
        <v>0</v>
      </c>
      <c r="CI86" s="73">
        <v>17824</v>
      </c>
      <c r="CJ86" s="73">
        <v>0</v>
      </c>
      <c r="CK86" s="73">
        <v>0</v>
      </c>
      <c r="CL86" s="73">
        <v>0</v>
      </c>
      <c r="CM86" s="73">
        <v>0</v>
      </c>
      <c r="CN86" s="73">
        <v>43</v>
      </c>
      <c r="CO86" s="73">
        <v>0</v>
      </c>
      <c r="CP86" s="73">
        <v>0</v>
      </c>
      <c r="CQ86" s="73">
        <v>43</v>
      </c>
      <c r="CR86" s="73">
        <v>0</v>
      </c>
      <c r="CS86" s="73">
        <v>0</v>
      </c>
      <c r="CT86" s="73">
        <v>0</v>
      </c>
      <c r="CU86" s="73">
        <v>0</v>
      </c>
      <c r="CV86" s="73">
        <v>0</v>
      </c>
      <c r="CW86" s="73">
        <v>0</v>
      </c>
      <c r="CX86" s="73">
        <v>0</v>
      </c>
      <c r="CY86" s="73">
        <v>0</v>
      </c>
      <c r="CZ86" s="73">
        <v>252</v>
      </c>
      <c r="DA86" s="73">
        <v>0</v>
      </c>
      <c r="DB86" s="73">
        <v>118</v>
      </c>
      <c r="DC86" s="73">
        <v>134</v>
      </c>
      <c r="DD86" s="73">
        <v>295</v>
      </c>
      <c r="DE86" s="73">
        <v>0</v>
      </c>
      <c r="DF86" s="73">
        <v>118</v>
      </c>
      <c r="DG86" s="73">
        <v>177</v>
      </c>
      <c r="DH86" s="73">
        <v>0</v>
      </c>
      <c r="DI86" s="73">
        <v>0</v>
      </c>
      <c r="DJ86" s="73">
        <v>0</v>
      </c>
      <c r="DK86" s="73">
        <v>0</v>
      </c>
      <c r="DL86" s="73">
        <v>0</v>
      </c>
      <c r="DM86" s="73">
        <v>0</v>
      </c>
      <c r="DN86" s="73">
        <v>0</v>
      </c>
      <c r="DO86" s="73">
        <v>0</v>
      </c>
      <c r="DP86" s="73">
        <v>0</v>
      </c>
      <c r="DQ86" s="73">
        <v>0</v>
      </c>
      <c r="DR86" s="73">
        <v>0</v>
      </c>
      <c r="DS86" s="73">
        <v>0</v>
      </c>
      <c r="DT86" s="73">
        <v>0</v>
      </c>
      <c r="DU86" s="73">
        <v>0</v>
      </c>
      <c r="DV86" s="73">
        <v>0</v>
      </c>
      <c r="DW86" s="73">
        <v>0</v>
      </c>
      <c r="DX86" s="73">
        <v>0</v>
      </c>
      <c r="DY86" s="73">
        <v>0</v>
      </c>
      <c r="DZ86" s="73">
        <v>0</v>
      </c>
      <c r="EA86" s="73">
        <v>0</v>
      </c>
      <c r="EB86" s="73">
        <v>6</v>
      </c>
      <c r="EC86" s="73">
        <v>0</v>
      </c>
      <c r="ED86" s="73">
        <v>2</v>
      </c>
      <c r="EE86" s="73">
        <v>4</v>
      </c>
      <c r="EF86" s="73">
        <v>6</v>
      </c>
      <c r="EG86" s="73">
        <v>0</v>
      </c>
      <c r="EH86" s="73">
        <v>2</v>
      </c>
      <c r="EI86" s="73">
        <v>4</v>
      </c>
      <c r="EJ86" s="73">
        <v>301</v>
      </c>
      <c r="EK86" s="73">
        <v>0</v>
      </c>
      <c r="EL86" s="73">
        <v>120</v>
      </c>
      <c r="EM86" s="73">
        <v>181</v>
      </c>
      <c r="EN86" s="73">
        <v>805</v>
      </c>
      <c r="EO86" s="73">
        <v>326</v>
      </c>
      <c r="EP86" s="73">
        <v>42</v>
      </c>
      <c r="EQ86" s="73">
        <v>326</v>
      </c>
      <c r="ER86" s="73">
        <v>170197</v>
      </c>
      <c r="ES86" s="73">
        <v>0</v>
      </c>
      <c r="ET86" s="73">
        <v>170197</v>
      </c>
      <c r="EU86" s="73">
        <v>3374</v>
      </c>
      <c r="EV86" s="73">
        <v>-127</v>
      </c>
      <c r="EW86" s="73">
        <v>0</v>
      </c>
      <c r="EX86" s="73">
        <v>0</v>
      </c>
      <c r="EY86" s="73">
        <v>0</v>
      </c>
      <c r="EZ86" s="73">
        <v>173444</v>
      </c>
      <c r="FA86" s="73">
        <v>14930</v>
      </c>
      <c r="FB86" s="73">
        <v>1767</v>
      </c>
      <c r="FC86" s="73">
        <v>0</v>
      </c>
      <c r="FD86" s="73">
        <v>0</v>
      </c>
      <c r="FE86" s="73">
        <v>-89</v>
      </c>
      <c r="FF86" s="73">
        <v>0</v>
      </c>
      <c r="FG86" s="73">
        <v>0</v>
      </c>
      <c r="FH86" s="73">
        <v>16608</v>
      </c>
      <c r="FI86" s="73">
        <v>156836</v>
      </c>
      <c r="FJ86" s="73">
        <v>155267</v>
      </c>
      <c r="FK86" s="73">
        <v>0</v>
      </c>
      <c r="FL86" s="73">
        <v>0</v>
      </c>
      <c r="FM86" s="73">
        <v>0</v>
      </c>
      <c r="FN86" s="73">
        <v>0</v>
      </c>
      <c r="FO86" s="73">
        <v>0</v>
      </c>
      <c r="FP86" s="73">
        <v>0</v>
      </c>
      <c r="FQ86" s="73">
        <v>0</v>
      </c>
      <c r="FR86" s="73">
        <v>0</v>
      </c>
      <c r="FS86" s="73">
        <v>0</v>
      </c>
      <c r="FT86" s="73">
        <v>0</v>
      </c>
      <c r="FU86" s="73">
        <v>0</v>
      </c>
      <c r="FV86" s="73">
        <v>0</v>
      </c>
      <c r="FW86" s="73">
        <v>0</v>
      </c>
      <c r="FX86" s="73">
        <v>0</v>
      </c>
      <c r="FY86" s="73">
        <v>0</v>
      </c>
      <c r="FZ86" s="73">
        <v>0</v>
      </c>
      <c r="GA86" s="73">
        <v>0</v>
      </c>
      <c r="GB86" s="73">
        <v>0</v>
      </c>
      <c r="GC86" s="73">
        <v>0</v>
      </c>
      <c r="GD86" s="73">
        <v>0</v>
      </c>
      <c r="GE86" s="73">
        <v>0</v>
      </c>
      <c r="GF86" s="73">
        <v>0</v>
      </c>
      <c r="GG86" s="73">
        <v>0</v>
      </c>
      <c r="GH86" s="73">
        <v>0</v>
      </c>
      <c r="GI86" s="73">
        <v>0</v>
      </c>
      <c r="GJ86" s="73">
        <v>0</v>
      </c>
      <c r="GK86" s="73">
        <v>0</v>
      </c>
      <c r="GL86" s="73">
        <v>0</v>
      </c>
      <c r="GM86" s="73">
        <v>0</v>
      </c>
      <c r="GN86" s="73">
        <v>237</v>
      </c>
      <c r="GO86" s="73">
        <v>0</v>
      </c>
      <c r="GP86" s="73">
        <v>0</v>
      </c>
      <c r="GQ86" s="73">
        <v>0</v>
      </c>
      <c r="GR86" s="73">
        <v>1594</v>
      </c>
      <c r="GS86" s="73">
        <v>0</v>
      </c>
      <c r="GT86" s="73">
        <v>0</v>
      </c>
      <c r="GU86" s="73">
        <v>299</v>
      </c>
      <c r="GV86" s="73">
        <v>0</v>
      </c>
      <c r="GW86" s="73">
        <v>387</v>
      </c>
      <c r="GX86" s="73">
        <v>2517</v>
      </c>
      <c r="GY86" s="73">
        <v>255</v>
      </c>
      <c r="GZ86" s="73">
        <v>109</v>
      </c>
      <c r="HA86" s="73">
        <v>1920</v>
      </c>
      <c r="HB86" s="73">
        <v>0</v>
      </c>
      <c r="HC86" s="73">
        <v>2284</v>
      </c>
      <c r="HD86" s="73">
        <v>94</v>
      </c>
      <c r="HE86" s="73">
        <v>0</v>
      </c>
      <c r="HF86" s="73">
        <v>94</v>
      </c>
      <c r="HG86" s="73">
        <v>2417</v>
      </c>
      <c r="HH86" s="73">
        <v>10</v>
      </c>
      <c r="HI86" s="73">
        <v>46</v>
      </c>
      <c r="HJ86" s="73">
        <v>2</v>
      </c>
      <c r="HK86" s="73">
        <v>0</v>
      </c>
      <c r="HL86" s="73">
        <v>-33</v>
      </c>
      <c r="HM86" s="73">
        <v>2442</v>
      </c>
      <c r="HN86" s="73">
        <v>1065</v>
      </c>
      <c r="HO86" s="73">
        <v>1930</v>
      </c>
      <c r="HP86" s="73">
        <v>0</v>
      </c>
      <c r="HQ86" s="73">
        <v>37</v>
      </c>
      <c r="HR86" s="73">
        <v>0</v>
      </c>
      <c r="HS86" s="73">
        <v>-10</v>
      </c>
      <c r="HT86" s="73">
        <v>2153</v>
      </c>
      <c r="HU86" s="73">
        <v>0</v>
      </c>
      <c r="HV86" s="73">
        <v>0</v>
      </c>
      <c r="HW86" s="73">
        <v>0</v>
      </c>
      <c r="HX86" s="73">
        <v>0</v>
      </c>
    </row>
    <row r="87" spans="1:232" x14ac:dyDescent="0.2">
      <c r="A87" s="74" t="s">
        <v>356</v>
      </c>
      <c r="B87" s="74" t="s">
        <v>357</v>
      </c>
      <c r="C87" s="75" t="s">
        <v>200</v>
      </c>
      <c r="D87" s="75">
        <v>12</v>
      </c>
      <c r="E87" s="76">
        <v>5515</v>
      </c>
      <c r="F87" s="76">
        <v>0</v>
      </c>
      <c r="G87" s="76">
        <v>-4015</v>
      </c>
      <c r="H87" s="76">
        <v>1500</v>
      </c>
      <c r="I87" s="76">
        <v>26</v>
      </c>
      <c r="J87" s="76">
        <v>0</v>
      </c>
      <c r="K87" s="76">
        <v>-65</v>
      </c>
      <c r="L87" s="76">
        <v>0</v>
      </c>
      <c r="M87" s="76">
        <v>31</v>
      </c>
      <c r="N87" s="76">
        <v>-1288</v>
      </c>
      <c r="O87" s="76">
        <v>0</v>
      </c>
      <c r="P87" s="76">
        <v>0</v>
      </c>
      <c r="Q87" s="76">
        <v>0</v>
      </c>
      <c r="R87" s="76">
        <v>0</v>
      </c>
      <c r="S87" s="76">
        <v>204</v>
      </c>
      <c r="T87" s="76">
        <v>0</v>
      </c>
      <c r="U87" s="76">
        <v>204</v>
      </c>
      <c r="V87" s="76">
        <v>0</v>
      </c>
      <c r="W87" s="76">
        <v>0</v>
      </c>
      <c r="X87" s="76">
        <v>0</v>
      </c>
      <c r="Y87" s="76">
        <v>0</v>
      </c>
      <c r="Z87" s="76">
        <v>204</v>
      </c>
      <c r="AA87" s="76">
        <v>4782</v>
      </c>
      <c r="AB87" s="76">
        <v>206</v>
      </c>
      <c r="AC87" s="76">
        <v>4988</v>
      </c>
      <c r="AD87" s="76">
        <v>422</v>
      </c>
      <c r="AE87" s="76">
        <v>0</v>
      </c>
      <c r="AF87" s="76">
        <v>0</v>
      </c>
      <c r="AG87" s="76">
        <v>0</v>
      </c>
      <c r="AH87" s="76">
        <v>5410</v>
      </c>
      <c r="AI87" s="76">
        <v>901</v>
      </c>
      <c r="AJ87" s="76">
        <v>489</v>
      </c>
      <c r="AK87" s="76">
        <v>451</v>
      </c>
      <c r="AL87" s="76">
        <v>314</v>
      </c>
      <c r="AM87" s="76">
        <v>223</v>
      </c>
      <c r="AN87" s="76">
        <v>-22</v>
      </c>
      <c r="AO87" s="76">
        <v>1343</v>
      </c>
      <c r="AP87" s="76">
        <v>0</v>
      </c>
      <c r="AQ87" s="76">
        <v>0</v>
      </c>
      <c r="AR87" s="76">
        <v>3699</v>
      </c>
      <c r="AS87" s="76">
        <v>1711</v>
      </c>
      <c r="AT87" s="76">
        <v>15</v>
      </c>
      <c r="AU87" s="76">
        <v>77623</v>
      </c>
      <c r="AV87" s="76">
        <v>0</v>
      </c>
      <c r="AW87" s="76">
        <v>54</v>
      </c>
      <c r="AX87" s="76">
        <v>0</v>
      </c>
      <c r="AY87" s="76">
        <v>0</v>
      </c>
      <c r="AZ87" s="76">
        <v>0</v>
      </c>
      <c r="BA87" s="76">
        <v>0</v>
      </c>
      <c r="BB87" s="76">
        <v>0</v>
      </c>
      <c r="BC87" s="76">
        <v>0</v>
      </c>
      <c r="BD87" s="76">
        <v>0</v>
      </c>
      <c r="BE87" s="76">
        <v>77677</v>
      </c>
      <c r="BF87" s="76">
        <v>583</v>
      </c>
      <c r="BG87" s="76">
        <v>141</v>
      </c>
      <c r="BH87" s="76">
        <v>7652</v>
      </c>
      <c r="BI87" s="76">
        <v>0</v>
      </c>
      <c r="BJ87" s="76">
        <v>106</v>
      </c>
      <c r="BK87" s="76">
        <v>8482</v>
      </c>
      <c r="BL87" s="76">
        <v>1010</v>
      </c>
      <c r="BM87" s="76">
        <v>0</v>
      </c>
      <c r="BN87" s="76">
        <v>427</v>
      </c>
      <c r="BO87" s="76">
        <v>1314</v>
      </c>
      <c r="BP87" s="76">
        <v>2751</v>
      </c>
      <c r="BQ87" s="76">
        <v>5731</v>
      </c>
      <c r="BR87" s="76">
        <v>83408</v>
      </c>
      <c r="BS87" s="76">
        <v>33007</v>
      </c>
      <c r="BT87" s="76">
        <v>0</v>
      </c>
      <c r="BU87" s="76">
        <v>0</v>
      </c>
      <c r="BV87" s="76">
        <v>37492</v>
      </c>
      <c r="BW87" s="76">
        <v>0</v>
      </c>
      <c r="BX87" s="76">
        <v>0</v>
      </c>
      <c r="BY87" s="76">
        <v>0</v>
      </c>
      <c r="BZ87" s="76">
        <v>70499</v>
      </c>
      <c r="CA87" s="76">
        <v>117</v>
      </c>
      <c r="CB87" s="76">
        <v>0</v>
      </c>
      <c r="CC87" s="76">
        <v>12792</v>
      </c>
      <c r="CD87" s="76">
        <v>12792</v>
      </c>
      <c r="CE87" s="76">
        <v>0</v>
      </c>
      <c r="CF87" s="76">
        <v>0</v>
      </c>
      <c r="CG87" s="76">
        <v>0</v>
      </c>
      <c r="CH87" s="76">
        <v>0</v>
      </c>
      <c r="CI87" s="76">
        <v>12792</v>
      </c>
      <c r="CJ87" s="76">
        <v>0</v>
      </c>
      <c r="CK87" s="76">
        <v>0</v>
      </c>
      <c r="CL87" s="76">
        <v>0</v>
      </c>
      <c r="CM87" s="76">
        <v>0</v>
      </c>
      <c r="CN87" s="76">
        <v>0</v>
      </c>
      <c r="CO87" s="76">
        <v>0</v>
      </c>
      <c r="CP87" s="76">
        <v>0</v>
      </c>
      <c r="CQ87" s="76">
        <v>0</v>
      </c>
      <c r="CR87" s="76">
        <v>0</v>
      </c>
      <c r="CS87" s="76">
        <v>0</v>
      </c>
      <c r="CT87" s="76">
        <v>0</v>
      </c>
      <c r="CU87" s="76">
        <v>0</v>
      </c>
      <c r="CV87" s="76">
        <v>0</v>
      </c>
      <c r="CW87" s="76">
        <v>0</v>
      </c>
      <c r="CX87" s="76">
        <v>0</v>
      </c>
      <c r="CY87" s="76">
        <v>0</v>
      </c>
      <c r="CZ87" s="76">
        <v>105</v>
      </c>
      <c r="DA87" s="76">
        <v>0</v>
      </c>
      <c r="DB87" s="76">
        <v>317</v>
      </c>
      <c r="DC87" s="76">
        <v>-212</v>
      </c>
      <c r="DD87" s="76">
        <v>105</v>
      </c>
      <c r="DE87" s="76">
        <v>0</v>
      </c>
      <c r="DF87" s="76">
        <v>317</v>
      </c>
      <c r="DG87" s="76">
        <v>-212</v>
      </c>
      <c r="DH87" s="76">
        <v>0</v>
      </c>
      <c r="DI87" s="76">
        <v>0</v>
      </c>
      <c r="DJ87" s="76">
        <v>0</v>
      </c>
      <c r="DK87" s="76">
        <v>0</v>
      </c>
      <c r="DL87" s="76">
        <v>0</v>
      </c>
      <c r="DM87" s="76">
        <v>0</v>
      </c>
      <c r="DN87" s="76">
        <v>0</v>
      </c>
      <c r="DO87" s="76">
        <v>0</v>
      </c>
      <c r="DP87" s="76">
        <v>0</v>
      </c>
      <c r="DQ87" s="76">
        <v>0</v>
      </c>
      <c r="DR87" s="76">
        <v>0</v>
      </c>
      <c r="DS87" s="76">
        <v>0</v>
      </c>
      <c r="DT87" s="76">
        <v>0</v>
      </c>
      <c r="DU87" s="76">
        <v>0</v>
      </c>
      <c r="DV87" s="76">
        <v>0</v>
      </c>
      <c r="DW87" s="76">
        <v>0</v>
      </c>
      <c r="DX87" s="76">
        <v>0</v>
      </c>
      <c r="DY87" s="76">
        <v>0</v>
      </c>
      <c r="DZ87" s="76">
        <v>0</v>
      </c>
      <c r="EA87" s="76">
        <v>0</v>
      </c>
      <c r="EB87" s="76">
        <v>0</v>
      </c>
      <c r="EC87" s="76">
        <v>0</v>
      </c>
      <c r="ED87" s="76">
        <v>0</v>
      </c>
      <c r="EE87" s="76">
        <v>0</v>
      </c>
      <c r="EF87" s="76">
        <v>0</v>
      </c>
      <c r="EG87" s="76">
        <v>0</v>
      </c>
      <c r="EH87" s="76">
        <v>0</v>
      </c>
      <c r="EI87" s="76">
        <v>0</v>
      </c>
      <c r="EJ87" s="76">
        <v>105</v>
      </c>
      <c r="EK87" s="76">
        <v>0</v>
      </c>
      <c r="EL87" s="76">
        <v>317</v>
      </c>
      <c r="EM87" s="76">
        <v>-212</v>
      </c>
      <c r="EN87" s="76">
        <v>81</v>
      </c>
      <c r="EO87" s="76">
        <v>18</v>
      </c>
      <c r="EP87" s="76">
        <v>6</v>
      </c>
      <c r="EQ87" s="76">
        <v>18</v>
      </c>
      <c r="ER87" s="76">
        <v>86974</v>
      </c>
      <c r="ES87" s="76">
        <v>0</v>
      </c>
      <c r="ET87" s="76">
        <v>86974</v>
      </c>
      <c r="EU87" s="76">
        <v>2433</v>
      </c>
      <c r="EV87" s="76">
        <v>-214</v>
      </c>
      <c r="EW87" s="76">
        <v>0</v>
      </c>
      <c r="EX87" s="76">
        <v>0</v>
      </c>
      <c r="EY87" s="76">
        <v>0</v>
      </c>
      <c r="EZ87" s="76">
        <v>89193</v>
      </c>
      <c r="FA87" s="76">
        <v>10301</v>
      </c>
      <c r="FB87" s="76">
        <v>1343</v>
      </c>
      <c r="FC87" s="76">
        <v>0</v>
      </c>
      <c r="FD87" s="76">
        <v>0</v>
      </c>
      <c r="FE87" s="76">
        <v>-74</v>
      </c>
      <c r="FF87" s="76">
        <v>0</v>
      </c>
      <c r="FG87" s="76">
        <v>0</v>
      </c>
      <c r="FH87" s="76">
        <v>11570</v>
      </c>
      <c r="FI87" s="76">
        <v>77623</v>
      </c>
      <c r="FJ87" s="76">
        <v>76673</v>
      </c>
      <c r="FK87" s="76">
        <v>43</v>
      </c>
      <c r="FL87" s="76">
        <v>21</v>
      </c>
      <c r="FM87" s="76">
        <v>22</v>
      </c>
      <c r="FN87" s="76">
        <v>0</v>
      </c>
      <c r="FO87" s="76">
        <v>0</v>
      </c>
      <c r="FP87" s="76">
        <v>0</v>
      </c>
      <c r="FQ87" s="76">
        <v>0</v>
      </c>
      <c r="FR87" s="76">
        <v>0</v>
      </c>
      <c r="FS87" s="76">
        <v>0</v>
      </c>
      <c r="FT87" s="76">
        <v>4</v>
      </c>
      <c r="FU87" s="76">
        <v>1</v>
      </c>
      <c r="FV87" s="76">
        <v>3</v>
      </c>
      <c r="FW87" s="76">
        <v>0</v>
      </c>
      <c r="FX87" s="76">
        <v>0</v>
      </c>
      <c r="FY87" s="76">
        <v>0</v>
      </c>
      <c r="FZ87" s="76">
        <v>0</v>
      </c>
      <c r="GA87" s="76">
        <v>0</v>
      </c>
      <c r="GB87" s="76">
        <v>0</v>
      </c>
      <c r="GC87" s="76">
        <v>47</v>
      </c>
      <c r="GD87" s="76">
        <v>22</v>
      </c>
      <c r="GE87" s="76">
        <v>25</v>
      </c>
      <c r="GF87" s="76">
        <v>0</v>
      </c>
      <c r="GG87" s="76">
        <v>0</v>
      </c>
      <c r="GH87" s="76">
        <v>0</v>
      </c>
      <c r="GI87" s="76">
        <v>0</v>
      </c>
      <c r="GJ87" s="76">
        <v>0</v>
      </c>
      <c r="GK87" s="76">
        <v>106</v>
      </c>
      <c r="GL87" s="76">
        <v>106</v>
      </c>
      <c r="GM87" s="76">
        <v>115</v>
      </c>
      <c r="GN87" s="76">
        <v>0</v>
      </c>
      <c r="GO87" s="76">
        <v>0</v>
      </c>
      <c r="GP87" s="76">
        <v>33</v>
      </c>
      <c r="GQ87" s="76">
        <v>0</v>
      </c>
      <c r="GR87" s="76">
        <v>225</v>
      </c>
      <c r="GS87" s="76">
        <v>0</v>
      </c>
      <c r="GT87" s="76">
        <v>0</v>
      </c>
      <c r="GU87" s="76">
        <v>19</v>
      </c>
      <c r="GV87" s="76">
        <v>0</v>
      </c>
      <c r="GW87" s="76">
        <v>922</v>
      </c>
      <c r="GX87" s="76">
        <v>1314</v>
      </c>
      <c r="GY87" s="76">
        <v>0</v>
      </c>
      <c r="GZ87" s="76">
        <v>0</v>
      </c>
      <c r="HA87" s="76">
        <v>0</v>
      </c>
      <c r="HB87" s="76">
        <v>0</v>
      </c>
      <c r="HC87" s="76">
        <v>0</v>
      </c>
      <c r="HD87" s="76">
        <v>0</v>
      </c>
      <c r="HE87" s="76">
        <v>0</v>
      </c>
      <c r="HF87" s="76">
        <v>0</v>
      </c>
      <c r="HG87" s="76">
        <v>1294</v>
      </c>
      <c r="HH87" s="76">
        <v>-6</v>
      </c>
      <c r="HI87" s="76">
        <v>0</v>
      </c>
      <c r="HJ87" s="76">
        <v>0</v>
      </c>
      <c r="HK87" s="76">
        <v>0</v>
      </c>
      <c r="HL87" s="76">
        <v>0</v>
      </c>
      <c r="HM87" s="76">
        <v>1288</v>
      </c>
      <c r="HN87" s="76">
        <v>210</v>
      </c>
      <c r="HO87" s="76">
        <v>1352</v>
      </c>
      <c r="HP87" s="76">
        <v>0</v>
      </c>
      <c r="HQ87" s="76">
        <v>10</v>
      </c>
      <c r="HR87" s="76">
        <v>0</v>
      </c>
      <c r="HS87" s="76">
        <v>8</v>
      </c>
      <c r="HT87" s="76">
        <v>1187</v>
      </c>
      <c r="HU87" s="76">
        <v>0</v>
      </c>
      <c r="HV87" s="76">
        <v>0</v>
      </c>
      <c r="HW87" s="76">
        <v>0</v>
      </c>
      <c r="HX87" s="76">
        <v>0</v>
      </c>
    </row>
    <row r="88" spans="1:232" x14ac:dyDescent="0.2">
      <c r="A88" s="74" t="s">
        <v>360</v>
      </c>
      <c r="B88" s="74" t="s">
        <v>359</v>
      </c>
      <c r="C88" s="75" t="s">
        <v>200</v>
      </c>
      <c r="D88" s="75">
        <v>12</v>
      </c>
      <c r="E88" s="76">
        <v>23614</v>
      </c>
      <c r="F88" s="76">
        <v>-2634</v>
      </c>
      <c r="G88" s="76">
        <v>-16079</v>
      </c>
      <c r="H88" s="76">
        <v>4901</v>
      </c>
      <c r="I88" s="76">
        <v>628</v>
      </c>
      <c r="J88" s="76">
        <v>0</v>
      </c>
      <c r="K88" s="76">
        <v>0</v>
      </c>
      <c r="L88" s="76">
        <v>0</v>
      </c>
      <c r="M88" s="76">
        <v>22</v>
      </c>
      <c r="N88" s="76">
        <v>-2557</v>
      </c>
      <c r="O88" s="76">
        <v>0</v>
      </c>
      <c r="P88" s="76">
        <v>0</v>
      </c>
      <c r="Q88" s="76">
        <v>0</v>
      </c>
      <c r="R88" s="76">
        <v>0</v>
      </c>
      <c r="S88" s="76">
        <v>2994</v>
      </c>
      <c r="T88" s="76">
        <v>0</v>
      </c>
      <c r="U88" s="76">
        <v>2994</v>
      </c>
      <c r="V88" s="76">
        <v>0</v>
      </c>
      <c r="W88" s="76">
        <v>0</v>
      </c>
      <c r="X88" s="76">
        <v>0</v>
      </c>
      <c r="Y88" s="76">
        <v>0</v>
      </c>
      <c r="Z88" s="76">
        <v>2994</v>
      </c>
      <c r="AA88" s="76">
        <v>15034</v>
      </c>
      <c r="AB88" s="76">
        <v>2276</v>
      </c>
      <c r="AC88" s="76">
        <v>17310</v>
      </c>
      <c r="AD88" s="76">
        <v>922</v>
      </c>
      <c r="AE88" s="76">
        <v>0</v>
      </c>
      <c r="AF88" s="76">
        <v>0</v>
      </c>
      <c r="AG88" s="76">
        <v>0</v>
      </c>
      <c r="AH88" s="76">
        <v>18232</v>
      </c>
      <c r="AI88" s="76">
        <v>4834</v>
      </c>
      <c r="AJ88" s="76">
        <v>2898</v>
      </c>
      <c r="AK88" s="76">
        <v>1751</v>
      </c>
      <c r="AL88" s="76">
        <v>624</v>
      </c>
      <c r="AM88" s="76">
        <v>1605</v>
      </c>
      <c r="AN88" s="76">
        <v>93</v>
      </c>
      <c r="AO88" s="76">
        <v>3059</v>
      </c>
      <c r="AP88" s="76">
        <v>0</v>
      </c>
      <c r="AQ88" s="76">
        <v>472</v>
      </c>
      <c r="AR88" s="76">
        <v>15336</v>
      </c>
      <c r="AS88" s="76">
        <v>2896</v>
      </c>
      <c r="AT88" s="76">
        <v>221</v>
      </c>
      <c r="AU88" s="76">
        <v>183620</v>
      </c>
      <c r="AV88" s="76">
        <v>0</v>
      </c>
      <c r="AW88" s="76">
        <v>3376</v>
      </c>
      <c r="AX88" s="76">
        <v>0</v>
      </c>
      <c r="AY88" s="76">
        <v>0</v>
      </c>
      <c r="AZ88" s="76">
        <v>0</v>
      </c>
      <c r="BA88" s="76">
        <v>0</v>
      </c>
      <c r="BB88" s="76">
        <v>0</v>
      </c>
      <c r="BC88" s="76">
        <v>0</v>
      </c>
      <c r="BD88" s="76">
        <v>0</v>
      </c>
      <c r="BE88" s="76">
        <v>186996</v>
      </c>
      <c r="BF88" s="76">
        <v>1885</v>
      </c>
      <c r="BG88" s="76">
        <v>170</v>
      </c>
      <c r="BH88" s="76">
        <v>16023</v>
      </c>
      <c r="BI88" s="76">
        <v>795</v>
      </c>
      <c r="BJ88" s="76">
        <v>2364</v>
      </c>
      <c r="BK88" s="76">
        <v>21237</v>
      </c>
      <c r="BL88" s="76">
        <v>1206</v>
      </c>
      <c r="BM88" s="76">
        <v>0</v>
      </c>
      <c r="BN88" s="76">
        <v>922</v>
      </c>
      <c r="BO88" s="76">
        <v>5423</v>
      </c>
      <c r="BP88" s="76">
        <v>7551</v>
      </c>
      <c r="BQ88" s="76">
        <v>13686</v>
      </c>
      <c r="BR88" s="76">
        <v>200682</v>
      </c>
      <c r="BS88" s="76">
        <v>52109</v>
      </c>
      <c r="BT88" s="76">
        <v>0</v>
      </c>
      <c r="BU88" s="76">
        <v>0</v>
      </c>
      <c r="BV88" s="76">
        <v>82422</v>
      </c>
      <c r="BW88" s="76">
        <v>0</v>
      </c>
      <c r="BX88" s="76">
        <v>0</v>
      </c>
      <c r="BY88" s="76">
        <v>657</v>
      </c>
      <c r="BZ88" s="76">
        <v>135188</v>
      </c>
      <c r="CA88" s="76">
        <v>2718</v>
      </c>
      <c r="CB88" s="76">
        <v>2069</v>
      </c>
      <c r="CC88" s="76">
        <v>60707</v>
      </c>
      <c r="CD88" s="76">
        <v>60707</v>
      </c>
      <c r="CE88" s="76">
        <v>0</v>
      </c>
      <c r="CF88" s="76">
        <v>0</v>
      </c>
      <c r="CG88" s="76">
        <v>0</v>
      </c>
      <c r="CH88" s="76">
        <v>0</v>
      </c>
      <c r="CI88" s="76">
        <v>60707</v>
      </c>
      <c r="CJ88" s="76">
        <v>4059</v>
      </c>
      <c r="CK88" s="76">
        <v>2634</v>
      </c>
      <c r="CL88" s="76">
        <v>0</v>
      </c>
      <c r="CM88" s="76">
        <v>1425</v>
      </c>
      <c r="CN88" s="76">
        <v>0</v>
      </c>
      <c r="CO88" s="76">
        <v>0</v>
      </c>
      <c r="CP88" s="76">
        <v>0</v>
      </c>
      <c r="CQ88" s="76">
        <v>0</v>
      </c>
      <c r="CR88" s="76">
        <v>0</v>
      </c>
      <c r="CS88" s="76">
        <v>0</v>
      </c>
      <c r="CT88" s="76">
        <v>0</v>
      </c>
      <c r="CU88" s="76">
        <v>0</v>
      </c>
      <c r="CV88" s="76">
        <v>0</v>
      </c>
      <c r="CW88" s="76">
        <v>0</v>
      </c>
      <c r="CX88" s="76">
        <v>0</v>
      </c>
      <c r="CY88" s="76">
        <v>0</v>
      </c>
      <c r="CZ88" s="76">
        <v>206</v>
      </c>
      <c r="DA88" s="76">
        <v>0</v>
      </c>
      <c r="DB88" s="76">
        <v>120</v>
      </c>
      <c r="DC88" s="76">
        <v>86</v>
      </c>
      <c r="DD88" s="76">
        <v>4265</v>
      </c>
      <c r="DE88" s="76">
        <v>2634</v>
      </c>
      <c r="DF88" s="76">
        <v>120</v>
      </c>
      <c r="DG88" s="76">
        <v>1511</v>
      </c>
      <c r="DH88" s="76">
        <v>0</v>
      </c>
      <c r="DI88" s="76">
        <v>0</v>
      </c>
      <c r="DJ88" s="76">
        <v>0</v>
      </c>
      <c r="DK88" s="76">
        <v>0</v>
      </c>
      <c r="DL88" s="76">
        <v>0</v>
      </c>
      <c r="DM88" s="76">
        <v>0</v>
      </c>
      <c r="DN88" s="76">
        <v>0</v>
      </c>
      <c r="DO88" s="76">
        <v>0</v>
      </c>
      <c r="DP88" s="76">
        <v>0</v>
      </c>
      <c r="DQ88" s="76">
        <v>0</v>
      </c>
      <c r="DR88" s="76">
        <v>0</v>
      </c>
      <c r="DS88" s="76">
        <v>0</v>
      </c>
      <c r="DT88" s="76">
        <v>1117</v>
      </c>
      <c r="DU88" s="76">
        <v>0</v>
      </c>
      <c r="DV88" s="76">
        <v>623</v>
      </c>
      <c r="DW88" s="76">
        <v>494</v>
      </c>
      <c r="DX88" s="76">
        <v>0</v>
      </c>
      <c r="DY88" s="76">
        <v>0</v>
      </c>
      <c r="DZ88" s="76">
        <v>0</v>
      </c>
      <c r="EA88" s="76">
        <v>0</v>
      </c>
      <c r="EB88" s="76">
        <v>0</v>
      </c>
      <c r="EC88" s="76">
        <v>0</v>
      </c>
      <c r="ED88" s="76">
        <v>0</v>
      </c>
      <c r="EE88" s="76">
        <v>0</v>
      </c>
      <c r="EF88" s="76">
        <v>1117</v>
      </c>
      <c r="EG88" s="76">
        <v>0</v>
      </c>
      <c r="EH88" s="76">
        <v>623</v>
      </c>
      <c r="EI88" s="76">
        <v>494</v>
      </c>
      <c r="EJ88" s="76">
        <v>5382</v>
      </c>
      <c r="EK88" s="76">
        <v>2634</v>
      </c>
      <c r="EL88" s="76">
        <v>743</v>
      </c>
      <c r="EM88" s="76">
        <v>2005</v>
      </c>
      <c r="EN88" s="76">
        <v>204</v>
      </c>
      <c r="EO88" s="76">
        <v>273</v>
      </c>
      <c r="EP88" s="76">
        <v>61</v>
      </c>
      <c r="EQ88" s="76">
        <v>246</v>
      </c>
      <c r="ER88" s="76">
        <v>202596</v>
      </c>
      <c r="ES88" s="76">
        <v>0</v>
      </c>
      <c r="ET88" s="76">
        <v>202596</v>
      </c>
      <c r="EU88" s="76">
        <v>11120</v>
      </c>
      <c r="EV88" s="76">
        <v>-782</v>
      </c>
      <c r="EW88" s="76">
        <v>0</v>
      </c>
      <c r="EX88" s="76">
        <v>0</v>
      </c>
      <c r="EY88" s="76">
        <v>1612</v>
      </c>
      <c r="EZ88" s="76">
        <v>214546</v>
      </c>
      <c r="FA88" s="76">
        <v>28469</v>
      </c>
      <c r="FB88" s="76">
        <v>3038</v>
      </c>
      <c r="FC88" s="76">
        <v>0</v>
      </c>
      <c r="FD88" s="76">
        <v>0</v>
      </c>
      <c r="FE88" s="76">
        <v>-69</v>
      </c>
      <c r="FF88" s="76">
        <v>0</v>
      </c>
      <c r="FG88" s="76">
        <v>-512</v>
      </c>
      <c r="FH88" s="76">
        <v>30926</v>
      </c>
      <c r="FI88" s="76">
        <v>183620</v>
      </c>
      <c r="FJ88" s="76">
        <v>174127</v>
      </c>
      <c r="FK88" s="76">
        <v>1397</v>
      </c>
      <c r="FL88" s="76">
        <v>766</v>
      </c>
      <c r="FM88" s="76">
        <v>631</v>
      </c>
      <c r="FN88" s="76">
        <v>0</v>
      </c>
      <c r="FO88" s="76">
        <v>0</v>
      </c>
      <c r="FP88" s="76">
        <v>0</v>
      </c>
      <c r="FQ88" s="76">
        <v>0</v>
      </c>
      <c r="FR88" s="76">
        <v>0</v>
      </c>
      <c r="FS88" s="76">
        <v>0</v>
      </c>
      <c r="FT88" s="76">
        <v>0</v>
      </c>
      <c r="FU88" s="76">
        <v>0</v>
      </c>
      <c r="FV88" s="76">
        <v>0</v>
      </c>
      <c r="FW88" s="76">
        <v>0</v>
      </c>
      <c r="FX88" s="76">
        <v>0</v>
      </c>
      <c r="FY88" s="76">
        <v>0</v>
      </c>
      <c r="FZ88" s="76">
        <v>38</v>
      </c>
      <c r="GA88" s="76">
        <v>41</v>
      </c>
      <c r="GB88" s="76">
        <v>-3</v>
      </c>
      <c r="GC88" s="76">
        <v>1435</v>
      </c>
      <c r="GD88" s="76">
        <v>807</v>
      </c>
      <c r="GE88" s="76">
        <v>628</v>
      </c>
      <c r="GF88" s="76">
        <v>61</v>
      </c>
      <c r="GG88" s="76">
        <v>6</v>
      </c>
      <c r="GH88" s="76">
        <v>0</v>
      </c>
      <c r="GI88" s="76">
        <v>0</v>
      </c>
      <c r="GJ88" s="76">
        <v>0</v>
      </c>
      <c r="GK88" s="76">
        <v>2297</v>
      </c>
      <c r="GL88" s="76">
        <v>2364</v>
      </c>
      <c r="GM88" s="76">
        <v>292</v>
      </c>
      <c r="GN88" s="76">
        <v>990</v>
      </c>
      <c r="GO88" s="76">
        <v>0</v>
      </c>
      <c r="GP88" s="76">
        <v>0</v>
      </c>
      <c r="GQ88" s="76">
        <v>0</v>
      </c>
      <c r="GR88" s="76">
        <v>1469</v>
      </c>
      <c r="GS88" s="76">
        <v>0</v>
      </c>
      <c r="GT88" s="76">
        <v>0</v>
      </c>
      <c r="GU88" s="76">
        <v>0</v>
      </c>
      <c r="GV88" s="76">
        <v>0</v>
      </c>
      <c r="GW88" s="76">
        <v>2672</v>
      </c>
      <c r="GX88" s="76">
        <v>5423</v>
      </c>
      <c r="GY88" s="76">
        <v>657</v>
      </c>
      <c r="GZ88" s="76">
        <v>0</v>
      </c>
      <c r="HA88" s="76">
        <v>0</v>
      </c>
      <c r="HB88" s="76">
        <v>0</v>
      </c>
      <c r="HC88" s="76">
        <v>657</v>
      </c>
      <c r="HD88" s="76">
        <v>0</v>
      </c>
      <c r="HE88" s="76">
        <v>2069</v>
      </c>
      <c r="HF88" s="76">
        <v>2069</v>
      </c>
      <c r="HG88" s="76">
        <v>2692</v>
      </c>
      <c r="HH88" s="76">
        <v>0</v>
      </c>
      <c r="HI88" s="76">
        <v>64</v>
      </c>
      <c r="HJ88" s="76">
        <v>0</v>
      </c>
      <c r="HK88" s="76">
        <v>0</v>
      </c>
      <c r="HL88" s="76">
        <v>-199</v>
      </c>
      <c r="HM88" s="76">
        <v>2557</v>
      </c>
      <c r="HN88" s="76">
        <v>2191</v>
      </c>
      <c r="HO88" s="76">
        <v>3454</v>
      </c>
      <c r="HP88" s="76">
        <v>0</v>
      </c>
      <c r="HQ88" s="76">
        <v>110</v>
      </c>
      <c r="HR88" s="76">
        <v>-14</v>
      </c>
      <c r="HS88" s="76">
        <v>-28</v>
      </c>
      <c r="HT88" s="76">
        <v>4456</v>
      </c>
      <c r="HU88" s="76">
        <v>0</v>
      </c>
      <c r="HV88" s="76">
        <v>0</v>
      </c>
      <c r="HW88" s="76">
        <v>-12</v>
      </c>
      <c r="HX88" s="76">
        <v>160</v>
      </c>
    </row>
    <row r="89" spans="1:232" x14ac:dyDescent="0.2">
      <c r="A89" s="74" t="s">
        <v>361</v>
      </c>
      <c r="B89" s="74" t="s">
        <v>362</v>
      </c>
      <c r="C89" s="75" t="s">
        <v>200</v>
      </c>
      <c r="D89" s="75">
        <v>12</v>
      </c>
      <c r="E89" s="76">
        <v>53127</v>
      </c>
      <c r="F89" s="76">
        <v>-73</v>
      </c>
      <c r="G89" s="76">
        <v>-34484</v>
      </c>
      <c r="H89" s="76">
        <v>18570</v>
      </c>
      <c r="I89" s="76">
        <v>211</v>
      </c>
      <c r="J89" s="76">
        <v>19</v>
      </c>
      <c r="K89" s="76">
        <v>0</v>
      </c>
      <c r="L89" s="76">
        <v>0</v>
      </c>
      <c r="M89" s="76">
        <v>60</v>
      </c>
      <c r="N89" s="76">
        <v>-4415</v>
      </c>
      <c r="O89" s="76">
        <v>0</v>
      </c>
      <c r="P89" s="76">
        <v>0</v>
      </c>
      <c r="Q89" s="76">
        <v>0</v>
      </c>
      <c r="R89" s="76">
        <v>0</v>
      </c>
      <c r="S89" s="76">
        <v>14445</v>
      </c>
      <c r="T89" s="76">
        <v>0</v>
      </c>
      <c r="U89" s="76">
        <v>14445</v>
      </c>
      <c r="V89" s="76">
        <v>0</v>
      </c>
      <c r="W89" s="76">
        <v>3086</v>
      </c>
      <c r="X89" s="76">
        <v>0</v>
      </c>
      <c r="Y89" s="76">
        <v>0</v>
      </c>
      <c r="Z89" s="76">
        <v>17531</v>
      </c>
      <c r="AA89" s="76">
        <v>48951</v>
      </c>
      <c r="AB89" s="76">
        <v>1755</v>
      </c>
      <c r="AC89" s="76">
        <v>50706</v>
      </c>
      <c r="AD89" s="76">
        <v>26</v>
      </c>
      <c r="AE89" s="76">
        <v>0</v>
      </c>
      <c r="AF89" s="76">
        <v>0</v>
      </c>
      <c r="AG89" s="76">
        <v>0</v>
      </c>
      <c r="AH89" s="76">
        <v>50732</v>
      </c>
      <c r="AI89" s="76">
        <v>5551</v>
      </c>
      <c r="AJ89" s="76">
        <v>2556</v>
      </c>
      <c r="AK89" s="76">
        <v>8018</v>
      </c>
      <c r="AL89" s="76">
        <v>1627</v>
      </c>
      <c r="AM89" s="76">
        <v>6856</v>
      </c>
      <c r="AN89" s="76">
        <v>-36</v>
      </c>
      <c r="AO89" s="76">
        <v>7634</v>
      </c>
      <c r="AP89" s="76">
        <v>0</v>
      </c>
      <c r="AQ89" s="76">
        <v>0</v>
      </c>
      <c r="AR89" s="76">
        <v>32206</v>
      </c>
      <c r="AS89" s="76">
        <v>18526</v>
      </c>
      <c r="AT89" s="76">
        <v>941</v>
      </c>
      <c r="AU89" s="76">
        <v>326151</v>
      </c>
      <c r="AV89" s="76">
        <v>0</v>
      </c>
      <c r="AW89" s="76">
        <v>11653</v>
      </c>
      <c r="AX89" s="76">
        <v>0</v>
      </c>
      <c r="AY89" s="76">
        <v>342</v>
      </c>
      <c r="AZ89" s="76">
        <v>0</v>
      </c>
      <c r="BA89" s="76">
        <v>0</v>
      </c>
      <c r="BB89" s="76">
        <v>0</v>
      </c>
      <c r="BC89" s="76">
        <v>0</v>
      </c>
      <c r="BD89" s="76">
        <v>0</v>
      </c>
      <c r="BE89" s="76">
        <v>338146</v>
      </c>
      <c r="BF89" s="76">
        <v>0</v>
      </c>
      <c r="BG89" s="76">
        <v>3590</v>
      </c>
      <c r="BH89" s="76">
        <v>12640</v>
      </c>
      <c r="BI89" s="76">
        <v>0</v>
      </c>
      <c r="BJ89" s="76">
        <v>6010</v>
      </c>
      <c r="BK89" s="76">
        <v>22240</v>
      </c>
      <c r="BL89" s="76">
        <v>466</v>
      </c>
      <c r="BM89" s="76">
        <v>0</v>
      </c>
      <c r="BN89" s="76">
        <v>26</v>
      </c>
      <c r="BO89" s="76">
        <v>6322</v>
      </c>
      <c r="BP89" s="76">
        <v>6814</v>
      </c>
      <c r="BQ89" s="76">
        <v>15426</v>
      </c>
      <c r="BR89" s="76">
        <v>353572</v>
      </c>
      <c r="BS89" s="76">
        <v>89444</v>
      </c>
      <c r="BT89" s="76">
        <v>0</v>
      </c>
      <c r="BU89" s="76">
        <v>0</v>
      </c>
      <c r="BV89" s="76">
        <v>3392</v>
      </c>
      <c r="BW89" s="76">
        <v>0</v>
      </c>
      <c r="BX89" s="76">
        <v>0</v>
      </c>
      <c r="BY89" s="76">
        <v>405</v>
      </c>
      <c r="BZ89" s="76">
        <v>93241</v>
      </c>
      <c r="CA89" s="76">
        <v>10405</v>
      </c>
      <c r="CB89" s="76">
        <v>0</v>
      </c>
      <c r="CC89" s="76">
        <v>249926</v>
      </c>
      <c r="CD89" s="76">
        <v>127643</v>
      </c>
      <c r="CE89" s="76">
        <v>122283</v>
      </c>
      <c r="CF89" s="76">
        <v>0</v>
      </c>
      <c r="CG89" s="76">
        <v>0</v>
      </c>
      <c r="CH89" s="76">
        <v>0</v>
      </c>
      <c r="CI89" s="76">
        <v>249926</v>
      </c>
      <c r="CJ89" s="76">
        <v>0</v>
      </c>
      <c r="CK89" s="76">
        <v>73</v>
      </c>
      <c r="CL89" s="76">
        <v>0</v>
      </c>
      <c r="CM89" s="76">
        <v>-73</v>
      </c>
      <c r="CN89" s="76">
        <v>583</v>
      </c>
      <c r="CO89" s="76">
        <v>0</v>
      </c>
      <c r="CP89" s="76">
        <v>501</v>
      </c>
      <c r="CQ89" s="76">
        <v>82</v>
      </c>
      <c r="CR89" s="76">
        <v>0</v>
      </c>
      <c r="CS89" s="76">
        <v>0</v>
      </c>
      <c r="CT89" s="76">
        <v>0</v>
      </c>
      <c r="CU89" s="76">
        <v>0</v>
      </c>
      <c r="CV89" s="76">
        <v>112</v>
      </c>
      <c r="CW89" s="76">
        <v>0</v>
      </c>
      <c r="CX89" s="76">
        <v>118</v>
      </c>
      <c r="CY89" s="76">
        <v>-6</v>
      </c>
      <c r="CZ89" s="76">
        <v>1098</v>
      </c>
      <c r="DA89" s="76">
        <v>0</v>
      </c>
      <c r="DB89" s="76">
        <v>1550</v>
      </c>
      <c r="DC89" s="76">
        <v>-452</v>
      </c>
      <c r="DD89" s="76">
        <v>1793</v>
      </c>
      <c r="DE89" s="76">
        <v>73</v>
      </c>
      <c r="DF89" s="76">
        <v>2169</v>
      </c>
      <c r="DG89" s="76">
        <v>-449</v>
      </c>
      <c r="DH89" s="76">
        <v>0</v>
      </c>
      <c r="DI89" s="76">
        <v>0</v>
      </c>
      <c r="DJ89" s="76">
        <v>0</v>
      </c>
      <c r="DK89" s="76">
        <v>0</v>
      </c>
      <c r="DL89" s="76">
        <v>0</v>
      </c>
      <c r="DM89" s="76">
        <v>0</v>
      </c>
      <c r="DN89" s="76">
        <v>0</v>
      </c>
      <c r="DO89" s="76">
        <v>0</v>
      </c>
      <c r="DP89" s="76">
        <v>0</v>
      </c>
      <c r="DQ89" s="76">
        <v>0</v>
      </c>
      <c r="DR89" s="76">
        <v>0</v>
      </c>
      <c r="DS89" s="76">
        <v>0</v>
      </c>
      <c r="DT89" s="76">
        <v>0</v>
      </c>
      <c r="DU89" s="76">
        <v>0</v>
      </c>
      <c r="DV89" s="76">
        <v>0</v>
      </c>
      <c r="DW89" s="76">
        <v>0</v>
      </c>
      <c r="DX89" s="76">
        <v>0</v>
      </c>
      <c r="DY89" s="76">
        <v>0</v>
      </c>
      <c r="DZ89" s="76">
        <v>0</v>
      </c>
      <c r="EA89" s="76">
        <v>0</v>
      </c>
      <c r="EB89" s="76">
        <v>602</v>
      </c>
      <c r="EC89" s="76">
        <v>0</v>
      </c>
      <c r="ED89" s="76">
        <v>109</v>
      </c>
      <c r="EE89" s="76">
        <v>493</v>
      </c>
      <c r="EF89" s="76">
        <v>602</v>
      </c>
      <c r="EG89" s="76">
        <v>0</v>
      </c>
      <c r="EH89" s="76">
        <v>109</v>
      </c>
      <c r="EI89" s="76">
        <v>493</v>
      </c>
      <c r="EJ89" s="76">
        <v>2395</v>
      </c>
      <c r="EK89" s="76">
        <v>73</v>
      </c>
      <c r="EL89" s="76">
        <v>2278</v>
      </c>
      <c r="EM89" s="76">
        <v>44</v>
      </c>
      <c r="EN89" s="76">
        <v>3847</v>
      </c>
      <c r="EO89" s="76">
        <v>721</v>
      </c>
      <c r="EP89" s="76">
        <v>290</v>
      </c>
      <c r="EQ89" s="76">
        <v>688</v>
      </c>
      <c r="ER89" s="76">
        <v>17071</v>
      </c>
      <c r="ES89" s="76">
        <v>327985</v>
      </c>
      <c r="ET89" s="76">
        <v>345056</v>
      </c>
      <c r="EU89" s="76">
        <v>8199</v>
      </c>
      <c r="EV89" s="76">
        <v>-2415</v>
      </c>
      <c r="EW89" s="76">
        <v>0</v>
      </c>
      <c r="EX89" s="76">
        <v>0</v>
      </c>
      <c r="EY89" s="76">
        <v>0</v>
      </c>
      <c r="EZ89" s="76">
        <v>350840</v>
      </c>
      <c r="FA89" s="76">
        <v>17765</v>
      </c>
      <c r="FB89" s="76">
        <v>7442</v>
      </c>
      <c r="FC89" s="76">
        <v>0</v>
      </c>
      <c r="FD89" s="76">
        <v>0</v>
      </c>
      <c r="FE89" s="76">
        <v>-518</v>
      </c>
      <c r="FF89" s="76">
        <v>0</v>
      </c>
      <c r="FG89" s="76">
        <v>0</v>
      </c>
      <c r="FH89" s="76">
        <v>24689</v>
      </c>
      <c r="FI89" s="76">
        <v>326151</v>
      </c>
      <c r="FJ89" s="76">
        <v>327291</v>
      </c>
      <c r="FK89" s="76">
        <v>31</v>
      </c>
      <c r="FL89" s="76">
        <v>17</v>
      </c>
      <c r="FM89" s="76">
        <v>14</v>
      </c>
      <c r="FN89" s="76">
        <v>1783</v>
      </c>
      <c r="FO89" s="76">
        <v>1660</v>
      </c>
      <c r="FP89" s="76">
        <v>123</v>
      </c>
      <c r="FQ89" s="76">
        <v>0</v>
      </c>
      <c r="FR89" s="76">
        <v>0</v>
      </c>
      <c r="FS89" s="76">
        <v>0</v>
      </c>
      <c r="FT89" s="76">
        <v>138</v>
      </c>
      <c r="FU89" s="76">
        <v>64</v>
      </c>
      <c r="FV89" s="76">
        <v>74</v>
      </c>
      <c r="FW89" s="76">
        <v>0</v>
      </c>
      <c r="FX89" s="76">
        <v>0</v>
      </c>
      <c r="FY89" s="76">
        <v>0</v>
      </c>
      <c r="FZ89" s="76">
        <v>0</v>
      </c>
      <c r="GA89" s="76">
        <v>0</v>
      </c>
      <c r="GB89" s="76">
        <v>0</v>
      </c>
      <c r="GC89" s="76">
        <v>1952</v>
      </c>
      <c r="GD89" s="76">
        <v>1741</v>
      </c>
      <c r="GE89" s="76">
        <v>211</v>
      </c>
      <c r="GF89" s="76">
        <v>5547</v>
      </c>
      <c r="GG89" s="76">
        <v>0</v>
      </c>
      <c r="GH89" s="76">
        <v>0</v>
      </c>
      <c r="GI89" s="76">
        <v>0</v>
      </c>
      <c r="GJ89" s="76">
        <v>0</v>
      </c>
      <c r="GK89" s="76">
        <v>463</v>
      </c>
      <c r="GL89" s="76">
        <v>6010</v>
      </c>
      <c r="GM89" s="76">
        <v>0</v>
      </c>
      <c r="GN89" s="76">
        <v>812</v>
      </c>
      <c r="GO89" s="76">
        <v>2345</v>
      </c>
      <c r="GP89" s="76">
        <v>0</v>
      </c>
      <c r="GQ89" s="76">
        <v>0</v>
      </c>
      <c r="GR89" s="76">
        <v>789</v>
      </c>
      <c r="GS89" s="76">
        <v>0</v>
      </c>
      <c r="GT89" s="76">
        <v>0</v>
      </c>
      <c r="GU89" s="76">
        <v>0</v>
      </c>
      <c r="GV89" s="76">
        <v>0</v>
      </c>
      <c r="GW89" s="76">
        <v>2376</v>
      </c>
      <c r="GX89" s="76">
        <v>6322</v>
      </c>
      <c r="GY89" s="76">
        <v>81</v>
      </c>
      <c r="GZ89" s="76">
        <v>324</v>
      </c>
      <c r="HA89" s="76">
        <v>0</v>
      </c>
      <c r="HB89" s="76">
        <v>0</v>
      </c>
      <c r="HC89" s="76">
        <v>405</v>
      </c>
      <c r="HD89" s="76">
        <v>0</v>
      </c>
      <c r="HE89" s="76">
        <v>0</v>
      </c>
      <c r="HF89" s="76">
        <v>0</v>
      </c>
      <c r="HG89" s="76">
        <v>3966</v>
      </c>
      <c r="HH89" s="76">
        <v>112</v>
      </c>
      <c r="HI89" s="76">
        <v>411</v>
      </c>
      <c r="HJ89" s="76">
        <v>0</v>
      </c>
      <c r="HK89" s="76">
        <v>20</v>
      </c>
      <c r="HL89" s="76">
        <v>-94</v>
      </c>
      <c r="HM89" s="76">
        <v>4415</v>
      </c>
      <c r="HN89" s="76">
        <v>7052</v>
      </c>
      <c r="HO89" s="76">
        <v>8479</v>
      </c>
      <c r="HP89" s="76">
        <v>0</v>
      </c>
      <c r="HQ89" s="76">
        <v>65</v>
      </c>
      <c r="HR89" s="76">
        <v>-60</v>
      </c>
      <c r="HS89" s="76">
        <v>-12</v>
      </c>
      <c r="HT89" s="76">
        <v>11357</v>
      </c>
      <c r="HU89" s="76">
        <v>0</v>
      </c>
      <c r="HV89" s="76">
        <v>0</v>
      </c>
      <c r="HW89" s="76">
        <v>0</v>
      </c>
      <c r="HX89" s="76">
        <v>8</v>
      </c>
    </row>
    <row r="90" spans="1:232" x14ac:dyDescent="0.2">
      <c r="A90" s="74" t="s">
        <v>365</v>
      </c>
      <c r="B90" s="74" t="s">
        <v>364</v>
      </c>
      <c r="C90" s="75" t="s">
        <v>200</v>
      </c>
      <c r="D90" s="75">
        <v>12</v>
      </c>
      <c r="E90" s="76">
        <v>37458</v>
      </c>
      <c r="F90" s="76">
        <v>-2412</v>
      </c>
      <c r="G90" s="76">
        <v>-25083</v>
      </c>
      <c r="H90" s="76">
        <v>9963</v>
      </c>
      <c r="I90" s="76">
        <v>1759</v>
      </c>
      <c r="J90" s="76">
        <v>118</v>
      </c>
      <c r="K90" s="76">
        <v>0</v>
      </c>
      <c r="L90" s="76">
        <v>0</v>
      </c>
      <c r="M90" s="76">
        <v>79</v>
      </c>
      <c r="N90" s="76">
        <v>-6706</v>
      </c>
      <c r="O90" s="76">
        <v>0</v>
      </c>
      <c r="P90" s="76">
        <v>0</v>
      </c>
      <c r="Q90" s="76">
        <v>0</v>
      </c>
      <c r="R90" s="76">
        <v>0</v>
      </c>
      <c r="S90" s="76">
        <v>5213</v>
      </c>
      <c r="T90" s="76">
        <v>0</v>
      </c>
      <c r="U90" s="76">
        <v>5213</v>
      </c>
      <c r="V90" s="76">
        <v>6743</v>
      </c>
      <c r="W90" s="76">
        <v>0</v>
      </c>
      <c r="X90" s="76">
        <v>0</v>
      </c>
      <c r="Y90" s="76">
        <v>0</v>
      </c>
      <c r="Z90" s="76">
        <v>11956</v>
      </c>
      <c r="AA90" s="76">
        <v>21761</v>
      </c>
      <c r="AB90" s="76">
        <v>2286</v>
      </c>
      <c r="AC90" s="76">
        <v>24047</v>
      </c>
      <c r="AD90" s="76">
        <v>1944</v>
      </c>
      <c r="AE90" s="76">
        <v>0</v>
      </c>
      <c r="AF90" s="76">
        <v>0</v>
      </c>
      <c r="AG90" s="76">
        <v>3898</v>
      </c>
      <c r="AH90" s="76">
        <v>29889</v>
      </c>
      <c r="AI90" s="76">
        <v>3691</v>
      </c>
      <c r="AJ90" s="76">
        <v>2229</v>
      </c>
      <c r="AK90" s="76">
        <v>4636</v>
      </c>
      <c r="AL90" s="76">
        <v>1126</v>
      </c>
      <c r="AM90" s="76">
        <v>288</v>
      </c>
      <c r="AN90" s="76">
        <v>174</v>
      </c>
      <c r="AO90" s="76">
        <v>4874</v>
      </c>
      <c r="AP90" s="76">
        <v>0</v>
      </c>
      <c r="AQ90" s="76">
        <v>3456</v>
      </c>
      <c r="AR90" s="76">
        <v>20474</v>
      </c>
      <c r="AS90" s="76">
        <v>9415</v>
      </c>
      <c r="AT90" s="76">
        <v>201</v>
      </c>
      <c r="AU90" s="76">
        <v>330370</v>
      </c>
      <c r="AV90" s="76">
        <v>0</v>
      </c>
      <c r="AW90" s="76">
        <v>1468</v>
      </c>
      <c r="AX90" s="76">
        <v>0</v>
      </c>
      <c r="AY90" s="76">
        <v>1971</v>
      </c>
      <c r="AZ90" s="76">
        <v>47590</v>
      </c>
      <c r="BA90" s="76">
        <v>0</v>
      </c>
      <c r="BB90" s="76">
        <v>0</v>
      </c>
      <c r="BC90" s="76">
        <v>0</v>
      </c>
      <c r="BD90" s="76">
        <v>2500</v>
      </c>
      <c r="BE90" s="76">
        <v>383899</v>
      </c>
      <c r="BF90" s="76">
        <v>3507</v>
      </c>
      <c r="BG90" s="76">
        <v>1110</v>
      </c>
      <c r="BH90" s="76">
        <v>2783</v>
      </c>
      <c r="BI90" s="76">
        <v>5362</v>
      </c>
      <c r="BJ90" s="76">
        <v>2406</v>
      </c>
      <c r="BK90" s="76">
        <v>15168</v>
      </c>
      <c r="BL90" s="76">
        <v>3673</v>
      </c>
      <c r="BM90" s="76">
        <v>0</v>
      </c>
      <c r="BN90" s="76">
        <v>1994</v>
      </c>
      <c r="BO90" s="76">
        <v>10605</v>
      </c>
      <c r="BP90" s="76">
        <v>16272</v>
      </c>
      <c r="BQ90" s="76">
        <v>-1104</v>
      </c>
      <c r="BR90" s="76">
        <v>382795</v>
      </c>
      <c r="BS90" s="76">
        <v>176648</v>
      </c>
      <c r="BT90" s="76">
        <v>0</v>
      </c>
      <c r="BU90" s="76">
        <v>0</v>
      </c>
      <c r="BV90" s="76">
        <v>142958</v>
      </c>
      <c r="BW90" s="76">
        <v>1971</v>
      </c>
      <c r="BX90" s="76">
        <v>0</v>
      </c>
      <c r="BY90" s="76">
        <v>1012</v>
      </c>
      <c r="BZ90" s="76">
        <v>322589</v>
      </c>
      <c r="CA90" s="76">
        <v>2710</v>
      </c>
      <c r="CB90" s="76">
        <v>47</v>
      </c>
      <c r="CC90" s="76">
        <v>57449</v>
      </c>
      <c r="CD90" s="76">
        <v>39508</v>
      </c>
      <c r="CE90" s="76">
        <v>17941</v>
      </c>
      <c r="CF90" s="76">
        <v>0</v>
      </c>
      <c r="CG90" s="76">
        <v>0</v>
      </c>
      <c r="CH90" s="76">
        <v>0</v>
      </c>
      <c r="CI90" s="76">
        <v>57449</v>
      </c>
      <c r="CJ90" s="76">
        <v>2474</v>
      </c>
      <c r="CK90" s="76">
        <v>2412</v>
      </c>
      <c r="CL90" s="76">
        <v>0</v>
      </c>
      <c r="CM90" s="76">
        <v>62</v>
      </c>
      <c r="CN90" s="76">
        <v>526</v>
      </c>
      <c r="CO90" s="76">
        <v>0</v>
      </c>
      <c r="CP90" s="76">
        <v>602</v>
      </c>
      <c r="CQ90" s="76">
        <v>-76</v>
      </c>
      <c r="CR90" s="76">
        <v>0</v>
      </c>
      <c r="CS90" s="76">
        <v>0</v>
      </c>
      <c r="CT90" s="76">
        <v>375</v>
      </c>
      <c r="CU90" s="76">
        <v>-375</v>
      </c>
      <c r="CV90" s="76">
        <v>332</v>
      </c>
      <c r="CW90" s="76">
        <v>0</v>
      </c>
      <c r="CX90" s="76">
        <v>551</v>
      </c>
      <c r="CY90" s="76">
        <v>-219</v>
      </c>
      <c r="CZ90" s="76">
        <v>66</v>
      </c>
      <c r="DA90" s="76">
        <v>0</v>
      </c>
      <c r="DB90" s="76">
        <v>66</v>
      </c>
      <c r="DC90" s="76">
        <v>0</v>
      </c>
      <c r="DD90" s="76">
        <v>3398</v>
      </c>
      <c r="DE90" s="76">
        <v>2412</v>
      </c>
      <c r="DF90" s="76">
        <v>1594</v>
      </c>
      <c r="DG90" s="76">
        <v>-608</v>
      </c>
      <c r="DH90" s="76">
        <v>0</v>
      </c>
      <c r="DI90" s="76">
        <v>0</v>
      </c>
      <c r="DJ90" s="76">
        <v>0</v>
      </c>
      <c r="DK90" s="76">
        <v>0</v>
      </c>
      <c r="DL90" s="76">
        <v>0</v>
      </c>
      <c r="DM90" s="76">
        <v>0</v>
      </c>
      <c r="DN90" s="76">
        <v>0</v>
      </c>
      <c r="DO90" s="76">
        <v>0</v>
      </c>
      <c r="DP90" s="76">
        <v>2047</v>
      </c>
      <c r="DQ90" s="76">
        <v>0</v>
      </c>
      <c r="DR90" s="76">
        <v>2441</v>
      </c>
      <c r="DS90" s="76">
        <v>-394</v>
      </c>
      <c r="DT90" s="76">
        <v>1998</v>
      </c>
      <c r="DU90" s="76">
        <v>0</v>
      </c>
      <c r="DV90" s="76">
        <v>475</v>
      </c>
      <c r="DW90" s="76">
        <v>1523</v>
      </c>
      <c r="DX90" s="76">
        <v>0</v>
      </c>
      <c r="DY90" s="76">
        <v>0</v>
      </c>
      <c r="DZ90" s="76">
        <v>0</v>
      </c>
      <c r="EA90" s="76">
        <v>0</v>
      </c>
      <c r="EB90" s="76">
        <v>126</v>
      </c>
      <c r="EC90" s="76">
        <v>0</v>
      </c>
      <c r="ED90" s="76">
        <v>99</v>
      </c>
      <c r="EE90" s="76">
        <v>27</v>
      </c>
      <c r="EF90" s="76">
        <v>4171</v>
      </c>
      <c r="EG90" s="76">
        <v>0</v>
      </c>
      <c r="EH90" s="76">
        <v>3015</v>
      </c>
      <c r="EI90" s="76">
        <v>1156</v>
      </c>
      <c r="EJ90" s="76">
        <v>7569</v>
      </c>
      <c r="EK90" s="76">
        <v>2412</v>
      </c>
      <c r="EL90" s="76">
        <v>4609</v>
      </c>
      <c r="EM90" s="76">
        <v>548</v>
      </c>
      <c r="EN90" s="76">
        <v>1399</v>
      </c>
      <c r="EO90" s="76">
        <v>150</v>
      </c>
      <c r="EP90" s="76">
        <v>289</v>
      </c>
      <c r="EQ90" s="76">
        <v>150</v>
      </c>
      <c r="ER90" s="76">
        <v>378647</v>
      </c>
      <c r="ES90" s="76">
        <v>0</v>
      </c>
      <c r="ET90" s="76">
        <v>378647</v>
      </c>
      <c r="EU90" s="76">
        <v>10730</v>
      </c>
      <c r="EV90" s="76">
        <v>-3466</v>
      </c>
      <c r="EW90" s="76">
        <v>0</v>
      </c>
      <c r="EX90" s="76">
        <v>0</v>
      </c>
      <c r="EY90" s="76">
        <v>0</v>
      </c>
      <c r="EZ90" s="76">
        <v>385911</v>
      </c>
      <c r="FA90" s="76">
        <v>51873</v>
      </c>
      <c r="FB90" s="76">
        <v>4874</v>
      </c>
      <c r="FC90" s="76">
        <v>0</v>
      </c>
      <c r="FD90" s="76">
        <v>0</v>
      </c>
      <c r="FE90" s="76">
        <v>-1206</v>
      </c>
      <c r="FF90" s="76">
        <v>0</v>
      </c>
      <c r="FG90" s="76">
        <v>0</v>
      </c>
      <c r="FH90" s="76">
        <v>55541</v>
      </c>
      <c r="FI90" s="76">
        <v>330370</v>
      </c>
      <c r="FJ90" s="76">
        <v>326774</v>
      </c>
      <c r="FK90" s="76">
        <v>1739</v>
      </c>
      <c r="FL90" s="76">
        <v>1032</v>
      </c>
      <c r="FM90" s="76">
        <v>707</v>
      </c>
      <c r="FN90" s="76">
        <v>0</v>
      </c>
      <c r="FO90" s="76">
        <v>0</v>
      </c>
      <c r="FP90" s="76">
        <v>0</v>
      </c>
      <c r="FQ90" s="76">
        <v>0</v>
      </c>
      <c r="FR90" s="76">
        <v>0</v>
      </c>
      <c r="FS90" s="76">
        <v>0</v>
      </c>
      <c r="FT90" s="76">
        <v>2149</v>
      </c>
      <c r="FU90" s="76">
        <v>1097</v>
      </c>
      <c r="FV90" s="76">
        <v>1052</v>
      </c>
      <c r="FW90" s="76">
        <v>0</v>
      </c>
      <c r="FX90" s="76">
        <v>0</v>
      </c>
      <c r="FY90" s="76">
        <v>0</v>
      </c>
      <c r="FZ90" s="76">
        <v>0</v>
      </c>
      <c r="GA90" s="76">
        <v>0</v>
      </c>
      <c r="GB90" s="76">
        <v>0</v>
      </c>
      <c r="GC90" s="76">
        <v>3888</v>
      </c>
      <c r="GD90" s="76">
        <v>2129</v>
      </c>
      <c r="GE90" s="76">
        <v>1759</v>
      </c>
      <c r="GF90" s="76">
        <v>1616</v>
      </c>
      <c r="GG90" s="76">
        <v>0</v>
      </c>
      <c r="GH90" s="76">
        <v>0</v>
      </c>
      <c r="GI90" s="76">
        <v>0</v>
      </c>
      <c r="GJ90" s="76">
        <v>0</v>
      </c>
      <c r="GK90" s="76">
        <v>790</v>
      </c>
      <c r="GL90" s="76">
        <v>2406</v>
      </c>
      <c r="GM90" s="76">
        <v>738</v>
      </c>
      <c r="GN90" s="76">
        <v>0</v>
      </c>
      <c r="GO90" s="76">
        <v>0</v>
      </c>
      <c r="GP90" s="76">
        <v>0</v>
      </c>
      <c r="GQ90" s="76">
        <v>0</v>
      </c>
      <c r="GR90" s="76">
        <v>9038</v>
      </c>
      <c r="GS90" s="76">
        <v>0</v>
      </c>
      <c r="GT90" s="76">
        <v>0</v>
      </c>
      <c r="GU90" s="76">
        <v>0</v>
      </c>
      <c r="GV90" s="76">
        <v>0</v>
      </c>
      <c r="GW90" s="76">
        <v>829</v>
      </c>
      <c r="GX90" s="76">
        <v>10605</v>
      </c>
      <c r="GY90" s="76">
        <v>1012</v>
      </c>
      <c r="GZ90" s="76">
        <v>0</v>
      </c>
      <c r="HA90" s="76">
        <v>0</v>
      </c>
      <c r="HB90" s="76">
        <v>0</v>
      </c>
      <c r="HC90" s="76">
        <v>1012</v>
      </c>
      <c r="HD90" s="76">
        <v>0</v>
      </c>
      <c r="HE90" s="76">
        <v>47</v>
      </c>
      <c r="HF90" s="76">
        <v>47</v>
      </c>
      <c r="HG90" s="76">
        <v>6503</v>
      </c>
      <c r="HH90" s="76">
        <v>0</v>
      </c>
      <c r="HI90" s="76">
        <v>56</v>
      </c>
      <c r="HJ90" s="76">
        <v>0</v>
      </c>
      <c r="HK90" s="76">
        <v>147</v>
      </c>
      <c r="HL90" s="76">
        <v>0</v>
      </c>
      <c r="HM90" s="76">
        <v>6706</v>
      </c>
      <c r="HN90" s="76">
        <v>3066</v>
      </c>
      <c r="HO90" s="76">
        <v>5232</v>
      </c>
      <c r="HP90" s="76">
        <v>0</v>
      </c>
      <c r="HQ90" s="76">
        <v>50</v>
      </c>
      <c r="HR90" s="76">
        <v>-19</v>
      </c>
      <c r="HS90" s="76">
        <v>0</v>
      </c>
      <c r="HT90" s="76">
        <v>4041</v>
      </c>
      <c r="HU90" s="76">
        <v>0</v>
      </c>
      <c r="HV90" s="76">
        <v>-2</v>
      </c>
      <c r="HW90" s="76">
        <v>0</v>
      </c>
      <c r="HX90" s="76">
        <v>309</v>
      </c>
    </row>
    <row r="91" spans="1:232" x14ac:dyDescent="0.2">
      <c r="A91" s="71" t="s">
        <v>66</v>
      </c>
      <c r="B91" s="71" t="s">
        <v>65</v>
      </c>
      <c r="C91" s="72" t="s">
        <v>200</v>
      </c>
      <c r="D91" s="72">
        <v>12</v>
      </c>
      <c r="E91" s="73">
        <v>12787</v>
      </c>
      <c r="F91" s="73">
        <v>0</v>
      </c>
      <c r="G91" s="73">
        <v>-9117</v>
      </c>
      <c r="H91" s="73">
        <v>3670</v>
      </c>
      <c r="I91" s="73">
        <v>63</v>
      </c>
      <c r="J91" s="73">
        <v>0</v>
      </c>
      <c r="K91" s="73">
        <v>0</v>
      </c>
      <c r="L91" s="73">
        <v>0</v>
      </c>
      <c r="M91" s="73">
        <v>21</v>
      </c>
      <c r="N91" s="73">
        <v>-3627</v>
      </c>
      <c r="O91" s="73">
        <v>0</v>
      </c>
      <c r="P91" s="73">
        <v>0</v>
      </c>
      <c r="Q91" s="73">
        <v>0</v>
      </c>
      <c r="R91" s="73">
        <v>0</v>
      </c>
      <c r="S91" s="73">
        <v>127</v>
      </c>
      <c r="T91" s="73">
        <v>0</v>
      </c>
      <c r="U91" s="73">
        <v>127</v>
      </c>
      <c r="V91" s="73">
        <v>0</v>
      </c>
      <c r="W91" s="73">
        <v>-580</v>
      </c>
      <c r="X91" s="73">
        <v>0</v>
      </c>
      <c r="Y91" s="73">
        <v>0</v>
      </c>
      <c r="Z91" s="73">
        <v>-453</v>
      </c>
      <c r="AA91" s="73">
        <v>10110</v>
      </c>
      <c r="AB91" s="73">
        <v>884</v>
      </c>
      <c r="AC91" s="73">
        <v>10994</v>
      </c>
      <c r="AD91" s="73">
        <v>693</v>
      </c>
      <c r="AE91" s="73">
        <v>0</v>
      </c>
      <c r="AF91" s="73">
        <v>0</v>
      </c>
      <c r="AG91" s="73">
        <v>9</v>
      </c>
      <c r="AH91" s="73">
        <v>11696</v>
      </c>
      <c r="AI91" s="73">
        <v>1855</v>
      </c>
      <c r="AJ91" s="73">
        <v>710</v>
      </c>
      <c r="AK91" s="73">
        <v>2168</v>
      </c>
      <c r="AL91" s="73">
        <v>241</v>
      </c>
      <c r="AM91" s="73">
        <v>1151</v>
      </c>
      <c r="AN91" s="73">
        <v>356</v>
      </c>
      <c r="AO91" s="73">
        <v>1822</v>
      </c>
      <c r="AP91" s="73">
        <v>0</v>
      </c>
      <c r="AQ91" s="73">
        <v>0</v>
      </c>
      <c r="AR91" s="73">
        <v>8303</v>
      </c>
      <c r="AS91" s="73">
        <v>3393</v>
      </c>
      <c r="AT91" s="73">
        <v>63</v>
      </c>
      <c r="AU91" s="73">
        <v>140427</v>
      </c>
      <c r="AV91" s="73">
        <v>0</v>
      </c>
      <c r="AW91" s="73">
        <v>0</v>
      </c>
      <c r="AX91" s="73">
        <v>0</v>
      </c>
      <c r="AY91" s="73">
        <v>0</v>
      </c>
      <c r="AZ91" s="73">
        <v>0</v>
      </c>
      <c r="BA91" s="73">
        <v>0</v>
      </c>
      <c r="BB91" s="73">
        <v>0</v>
      </c>
      <c r="BC91" s="73">
        <v>0</v>
      </c>
      <c r="BD91" s="73">
        <v>0</v>
      </c>
      <c r="BE91" s="73">
        <v>140427</v>
      </c>
      <c r="BF91" s="73">
        <v>0</v>
      </c>
      <c r="BG91" s="73">
        <v>153</v>
      </c>
      <c r="BH91" s="73">
        <v>5423</v>
      </c>
      <c r="BI91" s="73">
        <v>0</v>
      </c>
      <c r="BJ91" s="73">
        <v>903</v>
      </c>
      <c r="BK91" s="73">
        <v>6479</v>
      </c>
      <c r="BL91" s="73">
        <v>8695</v>
      </c>
      <c r="BM91" s="73">
        <v>0</v>
      </c>
      <c r="BN91" s="73">
        <v>762</v>
      </c>
      <c r="BO91" s="73">
        <v>4270</v>
      </c>
      <c r="BP91" s="73">
        <v>13727</v>
      </c>
      <c r="BQ91" s="73">
        <v>-7248</v>
      </c>
      <c r="BR91" s="73">
        <v>133179</v>
      </c>
      <c r="BS91" s="73">
        <v>53454</v>
      </c>
      <c r="BT91" s="73">
        <v>3000</v>
      </c>
      <c r="BU91" s="73">
        <v>0</v>
      </c>
      <c r="BV91" s="73">
        <v>59958</v>
      </c>
      <c r="BW91" s="73">
        <v>0</v>
      </c>
      <c r="BX91" s="73">
        <v>0</v>
      </c>
      <c r="BY91" s="73">
        <v>209</v>
      </c>
      <c r="BZ91" s="73">
        <v>116621</v>
      </c>
      <c r="CA91" s="73">
        <v>1532</v>
      </c>
      <c r="CB91" s="73">
        <v>0</v>
      </c>
      <c r="CC91" s="73">
        <v>15026</v>
      </c>
      <c r="CD91" s="73">
        <v>15026</v>
      </c>
      <c r="CE91" s="73">
        <v>0</v>
      </c>
      <c r="CF91" s="73">
        <v>0</v>
      </c>
      <c r="CG91" s="73">
        <v>0</v>
      </c>
      <c r="CH91" s="73">
        <v>0</v>
      </c>
      <c r="CI91" s="73">
        <v>15026</v>
      </c>
      <c r="CJ91" s="73">
        <v>0</v>
      </c>
      <c r="CK91" s="73">
        <v>0</v>
      </c>
      <c r="CL91" s="73">
        <v>0</v>
      </c>
      <c r="CM91" s="73">
        <v>0</v>
      </c>
      <c r="CN91" s="73">
        <v>0</v>
      </c>
      <c r="CO91" s="73">
        <v>0</v>
      </c>
      <c r="CP91" s="73">
        <v>0</v>
      </c>
      <c r="CQ91" s="73">
        <v>0</v>
      </c>
      <c r="CR91" s="73">
        <v>0</v>
      </c>
      <c r="CS91" s="73">
        <v>0</v>
      </c>
      <c r="CT91" s="73">
        <v>0</v>
      </c>
      <c r="CU91" s="73">
        <v>0</v>
      </c>
      <c r="CV91" s="73">
        <v>0</v>
      </c>
      <c r="CW91" s="73">
        <v>0</v>
      </c>
      <c r="CX91" s="73">
        <v>0</v>
      </c>
      <c r="CY91" s="73">
        <v>0</v>
      </c>
      <c r="CZ91" s="73">
        <v>266</v>
      </c>
      <c r="DA91" s="73">
        <v>0</v>
      </c>
      <c r="DB91" s="73">
        <v>256</v>
      </c>
      <c r="DC91" s="73">
        <v>10</v>
      </c>
      <c r="DD91" s="73">
        <v>266</v>
      </c>
      <c r="DE91" s="73">
        <v>0</v>
      </c>
      <c r="DF91" s="73">
        <v>256</v>
      </c>
      <c r="DG91" s="73">
        <v>10</v>
      </c>
      <c r="DH91" s="73">
        <v>0</v>
      </c>
      <c r="DI91" s="73">
        <v>0</v>
      </c>
      <c r="DJ91" s="73">
        <v>0</v>
      </c>
      <c r="DK91" s="73">
        <v>0</v>
      </c>
      <c r="DL91" s="73">
        <v>0</v>
      </c>
      <c r="DM91" s="73">
        <v>0</v>
      </c>
      <c r="DN91" s="73">
        <v>0</v>
      </c>
      <c r="DO91" s="73">
        <v>0</v>
      </c>
      <c r="DP91" s="73">
        <v>668</v>
      </c>
      <c r="DQ91" s="73">
        <v>0</v>
      </c>
      <c r="DR91" s="73">
        <v>418</v>
      </c>
      <c r="DS91" s="73">
        <v>250</v>
      </c>
      <c r="DT91" s="73">
        <v>0</v>
      </c>
      <c r="DU91" s="73">
        <v>0</v>
      </c>
      <c r="DV91" s="73">
        <v>0</v>
      </c>
      <c r="DW91" s="73">
        <v>0</v>
      </c>
      <c r="DX91" s="73">
        <v>0</v>
      </c>
      <c r="DY91" s="73">
        <v>0</v>
      </c>
      <c r="DZ91" s="73">
        <v>0</v>
      </c>
      <c r="EA91" s="73">
        <v>0</v>
      </c>
      <c r="EB91" s="73">
        <v>157</v>
      </c>
      <c r="EC91" s="73">
        <v>0</v>
      </c>
      <c r="ED91" s="73">
        <v>140</v>
      </c>
      <c r="EE91" s="73">
        <v>17</v>
      </c>
      <c r="EF91" s="73">
        <v>825</v>
      </c>
      <c r="EG91" s="73">
        <v>0</v>
      </c>
      <c r="EH91" s="73">
        <v>558</v>
      </c>
      <c r="EI91" s="73">
        <v>267</v>
      </c>
      <c r="EJ91" s="73">
        <v>1091</v>
      </c>
      <c r="EK91" s="73">
        <v>0</v>
      </c>
      <c r="EL91" s="73">
        <v>814</v>
      </c>
      <c r="EM91" s="73">
        <v>277</v>
      </c>
      <c r="EN91" s="73">
        <v>537</v>
      </c>
      <c r="EO91" s="73">
        <v>237</v>
      </c>
      <c r="EP91" s="73">
        <v>384</v>
      </c>
      <c r="EQ91" s="73">
        <v>237</v>
      </c>
      <c r="ER91" s="73">
        <v>156400</v>
      </c>
      <c r="ES91" s="73">
        <v>0</v>
      </c>
      <c r="ET91" s="73">
        <v>156400</v>
      </c>
      <c r="EU91" s="73">
        <v>1183</v>
      </c>
      <c r="EV91" s="73">
        <v>-624</v>
      </c>
      <c r="EW91" s="73">
        <v>0</v>
      </c>
      <c r="EX91" s="73">
        <v>0</v>
      </c>
      <c r="EY91" s="73">
        <v>0</v>
      </c>
      <c r="EZ91" s="73">
        <v>156959</v>
      </c>
      <c r="FA91" s="73">
        <v>14851</v>
      </c>
      <c r="FB91" s="73">
        <v>1822</v>
      </c>
      <c r="FC91" s="73">
        <v>0</v>
      </c>
      <c r="FD91" s="73">
        <v>0</v>
      </c>
      <c r="FE91" s="73">
        <v>-141</v>
      </c>
      <c r="FF91" s="73">
        <v>0</v>
      </c>
      <c r="FG91" s="73">
        <v>0</v>
      </c>
      <c r="FH91" s="73">
        <v>16532</v>
      </c>
      <c r="FI91" s="73">
        <v>140427</v>
      </c>
      <c r="FJ91" s="73">
        <v>141549</v>
      </c>
      <c r="FK91" s="73">
        <v>489</v>
      </c>
      <c r="FL91" s="73">
        <v>426</v>
      </c>
      <c r="FM91" s="73">
        <v>63</v>
      </c>
      <c r="FN91" s="73">
        <v>0</v>
      </c>
      <c r="FO91" s="73">
        <v>0</v>
      </c>
      <c r="FP91" s="73">
        <v>0</v>
      </c>
      <c r="FQ91" s="73">
        <v>0</v>
      </c>
      <c r="FR91" s="73">
        <v>0</v>
      </c>
      <c r="FS91" s="73">
        <v>0</v>
      </c>
      <c r="FT91" s="73">
        <v>0</v>
      </c>
      <c r="FU91" s="73">
        <v>0</v>
      </c>
      <c r="FV91" s="73">
        <v>0</v>
      </c>
      <c r="FW91" s="73">
        <v>0</v>
      </c>
      <c r="FX91" s="73">
        <v>0</v>
      </c>
      <c r="FY91" s="73">
        <v>0</v>
      </c>
      <c r="FZ91" s="73">
        <v>0</v>
      </c>
      <c r="GA91" s="73">
        <v>0</v>
      </c>
      <c r="GB91" s="73">
        <v>0</v>
      </c>
      <c r="GC91" s="73">
        <v>489</v>
      </c>
      <c r="GD91" s="73">
        <v>426</v>
      </c>
      <c r="GE91" s="73">
        <v>63</v>
      </c>
      <c r="GF91" s="73">
        <v>55</v>
      </c>
      <c r="GG91" s="73">
        <v>0</v>
      </c>
      <c r="GH91" s="73">
        <v>0</v>
      </c>
      <c r="GI91" s="73">
        <v>0</v>
      </c>
      <c r="GJ91" s="73">
        <v>0</v>
      </c>
      <c r="GK91" s="73">
        <v>848</v>
      </c>
      <c r="GL91" s="73">
        <v>903</v>
      </c>
      <c r="GM91" s="73">
        <v>0</v>
      </c>
      <c r="GN91" s="73">
        <v>495</v>
      </c>
      <c r="GO91" s="73">
        <v>1863</v>
      </c>
      <c r="GP91" s="73">
        <v>75</v>
      </c>
      <c r="GQ91" s="73">
        <v>0</v>
      </c>
      <c r="GR91" s="73">
        <v>1819</v>
      </c>
      <c r="GS91" s="73">
        <v>0</v>
      </c>
      <c r="GT91" s="73">
        <v>0</v>
      </c>
      <c r="GU91" s="73">
        <v>0</v>
      </c>
      <c r="GV91" s="73">
        <v>0</v>
      </c>
      <c r="GW91" s="73">
        <v>18</v>
      </c>
      <c r="GX91" s="73">
        <v>4270</v>
      </c>
      <c r="GY91" s="73">
        <v>209</v>
      </c>
      <c r="GZ91" s="73">
        <v>0</v>
      </c>
      <c r="HA91" s="73">
        <v>0</v>
      </c>
      <c r="HB91" s="73">
        <v>0</v>
      </c>
      <c r="HC91" s="73">
        <v>209</v>
      </c>
      <c r="HD91" s="73">
        <v>0</v>
      </c>
      <c r="HE91" s="73">
        <v>0</v>
      </c>
      <c r="HF91" s="73">
        <v>0</v>
      </c>
      <c r="HG91" s="73">
        <v>3485</v>
      </c>
      <c r="HH91" s="73">
        <v>0</v>
      </c>
      <c r="HI91" s="73">
        <v>42</v>
      </c>
      <c r="HJ91" s="73">
        <v>0</v>
      </c>
      <c r="HK91" s="73">
        <v>100</v>
      </c>
      <c r="HL91" s="73">
        <v>0</v>
      </c>
      <c r="HM91" s="73">
        <v>3627</v>
      </c>
      <c r="HN91" s="73">
        <v>1183</v>
      </c>
      <c r="HO91" s="73">
        <v>1882</v>
      </c>
      <c r="HP91" s="73">
        <v>0</v>
      </c>
      <c r="HQ91" s="73">
        <v>0</v>
      </c>
      <c r="HR91" s="73">
        <v>-7</v>
      </c>
      <c r="HS91" s="73">
        <v>0</v>
      </c>
      <c r="HT91" s="73">
        <v>2314</v>
      </c>
      <c r="HU91" s="73">
        <v>0</v>
      </c>
      <c r="HV91" s="73">
        <v>0</v>
      </c>
      <c r="HW91" s="73">
        <v>0</v>
      </c>
      <c r="HX91" s="73">
        <v>0</v>
      </c>
    </row>
    <row r="92" spans="1:232" x14ac:dyDescent="0.2">
      <c r="A92" s="74" t="s">
        <v>368</v>
      </c>
      <c r="B92" s="74" t="s">
        <v>367</v>
      </c>
      <c r="C92" s="75" t="s">
        <v>200</v>
      </c>
      <c r="D92" s="75">
        <v>12</v>
      </c>
      <c r="E92" s="76">
        <v>198179</v>
      </c>
      <c r="F92" s="76">
        <v>0</v>
      </c>
      <c r="G92" s="76">
        <v>-138523</v>
      </c>
      <c r="H92" s="76">
        <v>59656</v>
      </c>
      <c r="I92" s="76">
        <v>34194</v>
      </c>
      <c r="J92" s="76">
        <v>14880</v>
      </c>
      <c r="K92" s="76">
        <v>0</v>
      </c>
      <c r="L92" s="76">
        <v>0</v>
      </c>
      <c r="M92" s="76">
        <v>9262</v>
      </c>
      <c r="N92" s="76">
        <v>-24966</v>
      </c>
      <c r="O92" s="76">
        <v>1549</v>
      </c>
      <c r="P92" s="76">
        <v>0</v>
      </c>
      <c r="Q92" s="76">
        <v>0</v>
      </c>
      <c r="R92" s="76">
        <v>0</v>
      </c>
      <c r="S92" s="76">
        <v>94575</v>
      </c>
      <c r="T92" s="76">
        <v>0</v>
      </c>
      <c r="U92" s="76">
        <v>94575</v>
      </c>
      <c r="V92" s="76">
        <v>0</v>
      </c>
      <c r="W92" s="76">
        <v>267</v>
      </c>
      <c r="X92" s="76">
        <v>-296</v>
      </c>
      <c r="Y92" s="76">
        <v>0</v>
      </c>
      <c r="Z92" s="76">
        <v>94546</v>
      </c>
      <c r="AA92" s="76">
        <v>135080</v>
      </c>
      <c r="AB92" s="76">
        <v>12401</v>
      </c>
      <c r="AC92" s="76">
        <v>147481</v>
      </c>
      <c r="AD92" s="76">
        <v>9649</v>
      </c>
      <c r="AE92" s="76">
        <v>0</v>
      </c>
      <c r="AF92" s="76">
        <v>34126</v>
      </c>
      <c r="AG92" s="76">
        <v>2830</v>
      </c>
      <c r="AH92" s="76">
        <v>194086</v>
      </c>
      <c r="AI92" s="76">
        <v>29987</v>
      </c>
      <c r="AJ92" s="76">
        <v>10133</v>
      </c>
      <c r="AK92" s="76">
        <v>19128</v>
      </c>
      <c r="AL92" s="76">
        <v>15102</v>
      </c>
      <c r="AM92" s="76">
        <v>0</v>
      </c>
      <c r="AN92" s="76">
        <v>794</v>
      </c>
      <c r="AO92" s="76">
        <v>26408</v>
      </c>
      <c r="AP92" s="76">
        <v>1394</v>
      </c>
      <c r="AQ92" s="76">
        <v>31891</v>
      </c>
      <c r="AR92" s="76">
        <v>134837</v>
      </c>
      <c r="AS92" s="76">
        <v>59249</v>
      </c>
      <c r="AT92" s="76">
        <v>1732</v>
      </c>
      <c r="AU92" s="76">
        <v>2262746</v>
      </c>
      <c r="AV92" s="76">
        <v>0</v>
      </c>
      <c r="AW92" s="76">
        <v>18294</v>
      </c>
      <c r="AX92" s="76">
        <v>0</v>
      </c>
      <c r="AY92" s="76">
        <v>0</v>
      </c>
      <c r="AZ92" s="76">
        <v>9102</v>
      </c>
      <c r="BA92" s="76">
        <v>0</v>
      </c>
      <c r="BB92" s="76">
        <v>0</v>
      </c>
      <c r="BC92" s="76">
        <v>23061</v>
      </c>
      <c r="BD92" s="76">
        <v>1932</v>
      </c>
      <c r="BE92" s="76">
        <v>2315135</v>
      </c>
      <c r="BF92" s="76">
        <v>1920</v>
      </c>
      <c r="BG92" s="76">
        <v>32293</v>
      </c>
      <c r="BH92" s="76">
        <v>34129</v>
      </c>
      <c r="BI92" s="76">
        <v>0</v>
      </c>
      <c r="BJ92" s="76">
        <v>204653</v>
      </c>
      <c r="BK92" s="76">
        <v>272995</v>
      </c>
      <c r="BL92" s="76">
        <v>7732</v>
      </c>
      <c r="BM92" s="76">
        <v>358</v>
      </c>
      <c r="BN92" s="76">
        <v>0</v>
      </c>
      <c r="BO92" s="76">
        <v>61085</v>
      </c>
      <c r="BP92" s="76">
        <v>69175</v>
      </c>
      <c r="BQ92" s="76">
        <v>203820</v>
      </c>
      <c r="BR92" s="76">
        <v>2518955</v>
      </c>
      <c r="BS92" s="76">
        <v>781374</v>
      </c>
      <c r="BT92" s="76">
        <v>0</v>
      </c>
      <c r="BU92" s="76">
        <v>0</v>
      </c>
      <c r="BV92" s="76">
        <v>1075896</v>
      </c>
      <c r="BW92" s="76">
        <v>0</v>
      </c>
      <c r="BX92" s="76">
        <v>5410</v>
      </c>
      <c r="BY92" s="76">
        <v>32693</v>
      </c>
      <c r="BZ92" s="76">
        <v>1895373</v>
      </c>
      <c r="CA92" s="76">
        <v>1232</v>
      </c>
      <c r="CB92" s="76">
        <v>0</v>
      </c>
      <c r="CC92" s="76">
        <v>622350</v>
      </c>
      <c r="CD92" s="76">
        <v>627078</v>
      </c>
      <c r="CE92" s="76">
        <v>0</v>
      </c>
      <c r="CF92" s="76">
        <v>0</v>
      </c>
      <c r="CG92" s="76">
        <v>-4729</v>
      </c>
      <c r="CH92" s="76">
        <v>0</v>
      </c>
      <c r="CI92" s="76">
        <v>622349</v>
      </c>
      <c r="CJ92" s="76">
        <v>0</v>
      </c>
      <c r="CK92" s="76">
        <v>0</v>
      </c>
      <c r="CL92" s="76">
        <v>0</v>
      </c>
      <c r="CM92" s="76">
        <v>0</v>
      </c>
      <c r="CN92" s="76">
        <v>0</v>
      </c>
      <c r="CO92" s="76">
        <v>0</v>
      </c>
      <c r="CP92" s="76">
        <v>0</v>
      </c>
      <c r="CQ92" s="76">
        <v>0</v>
      </c>
      <c r="CR92" s="76">
        <v>0</v>
      </c>
      <c r="CS92" s="76">
        <v>0</v>
      </c>
      <c r="CT92" s="76">
        <v>0</v>
      </c>
      <c r="CU92" s="76">
        <v>0</v>
      </c>
      <c r="CV92" s="76">
        <v>0</v>
      </c>
      <c r="CW92" s="76">
        <v>0</v>
      </c>
      <c r="CX92" s="76">
        <v>0</v>
      </c>
      <c r="CY92" s="76">
        <v>0</v>
      </c>
      <c r="CZ92" s="76">
        <v>2996</v>
      </c>
      <c r="DA92" s="76">
        <v>0</v>
      </c>
      <c r="DB92" s="76">
        <v>3013</v>
      </c>
      <c r="DC92" s="76">
        <v>-17</v>
      </c>
      <c r="DD92" s="76">
        <v>2996</v>
      </c>
      <c r="DE92" s="76">
        <v>0</v>
      </c>
      <c r="DF92" s="76">
        <v>3013</v>
      </c>
      <c r="DG92" s="76">
        <v>-17</v>
      </c>
      <c r="DH92" s="76">
        <v>0</v>
      </c>
      <c r="DI92" s="76">
        <v>0</v>
      </c>
      <c r="DJ92" s="76">
        <v>0</v>
      </c>
      <c r="DK92" s="76">
        <v>0</v>
      </c>
      <c r="DL92" s="76">
        <v>0</v>
      </c>
      <c r="DM92" s="76">
        <v>0</v>
      </c>
      <c r="DN92" s="76">
        <v>0</v>
      </c>
      <c r="DO92" s="76">
        <v>0</v>
      </c>
      <c r="DP92" s="76">
        <v>0</v>
      </c>
      <c r="DQ92" s="76">
        <v>0</v>
      </c>
      <c r="DR92" s="76">
        <v>0</v>
      </c>
      <c r="DS92" s="76">
        <v>0</v>
      </c>
      <c r="DT92" s="76">
        <v>0</v>
      </c>
      <c r="DU92" s="76">
        <v>0</v>
      </c>
      <c r="DV92" s="76">
        <v>0</v>
      </c>
      <c r="DW92" s="76">
        <v>0</v>
      </c>
      <c r="DX92" s="76">
        <v>0</v>
      </c>
      <c r="DY92" s="76">
        <v>0</v>
      </c>
      <c r="DZ92" s="76">
        <v>0</v>
      </c>
      <c r="EA92" s="76">
        <v>0</v>
      </c>
      <c r="EB92" s="76">
        <v>1097</v>
      </c>
      <c r="EC92" s="76">
        <v>0</v>
      </c>
      <c r="ED92" s="76">
        <v>673</v>
      </c>
      <c r="EE92" s="76">
        <v>424</v>
      </c>
      <c r="EF92" s="76">
        <v>1097</v>
      </c>
      <c r="EG92" s="76">
        <v>0</v>
      </c>
      <c r="EH92" s="76">
        <v>673</v>
      </c>
      <c r="EI92" s="76">
        <v>424</v>
      </c>
      <c r="EJ92" s="76">
        <v>4093</v>
      </c>
      <c r="EK92" s="76">
        <v>0</v>
      </c>
      <c r="EL92" s="76">
        <v>3686</v>
      </c>
      <c r="EM92" s="76">
        <v>407</v>
      </c>
      <c r="EN92" s="76">
        <v>6020</v>
      </c>
      <c r="EO92" s="76">
        <v>2752</v>
      </c>
      <c r="EP92" s="76">
        <v>2946</v>
      </c>
      <c r="EQ92" s="76">
        <v>2752</v>
      </c>
      <c r="ER92" s="76">
        <v>2326227</v>
      </c>
      <c r="ES92" s="76">
        <v>0</v>
      </c>
      <c r="ET92" s="76">
        <v>2326227</v>
      </c>
      <c r="EU92" s="76">
        <v>159122</v>
      </c>
      <c r="EV92" s="76">
        <v>-18250</v>
      </c>
      <c r="EW92" s="76">
        <v>0</v>
      </c>
      <c r="EX92" s="76">
        <v>13962</v>
      </c>
      <c r="EY92" s="76">
        <v>-1394</v>
      </c>
      <c r="EZ92" s="76">
        <v>2479667</v>
      </c>
      <c r="FA92" s="76">
        <v>194409</v>
      </c>
      <c r="FB92" s="76">
        <v>26408</v>
      </c>
      <c r="FC92" s="76">
        <v>0</v>
      </c>
      <c r="FD92" s="76">
        <v>0</v>
      </c>
      <c r="FE92" s="76">
        <v>-3896</v>
      </c>
      <c r="FF92" s="76">
        <v>0</v>
      </c>
      <c r="FG92" s="76">
        <v>0</v>
      </c>
      <c r="FH92" s="76">
        <v>216921</v>
      </c>
      <c r="FI92" s="76">
        <v>2262746</v>
      </c>
      <c r="FJ92" s="76">
        <v>2131818</v>
      </c>
      <c r="FK92" s="76">
        <v>28563</v>
      </c>
      <c r="FL92" s="76">
        <v>12812</v>
      </c>
      <c r="FM92" s="76">
        <v>15751</v>
      </c>
      <c r="FN92" s="76">
        <v>0</v>
      </c>
      <c r="FO92" s="76">
        <v>0</v>
      </c>
      <c r="FP92" s="76">
        <v>0</v>
      </c>
      <c r="FQ92" s="76">
        <v>0</v>
      </c>
      <c r="FR92" s="76">
        <v>0</v>
      </c>
      <c r="FS92" s="76">
        <v>0</v>
      </c>
      <c r="FT92" s="76">
        <v>20713</v>
      </c>
      <c r="FU92" s="76">
        <v>2270</v>
      </c>
      <c r="FV92" s="76">
        <v>18443</v>
      </c>
      <c r="FW92" s="76">
        <v>29</v>
      </c>
      <c r="FX92" s="76">
        <v>29</v>
      </c>
      <c r="FY92" s="76">
        <v>0</v>
      </c>
      <c r="FZ92" s="76">
        <v>0</v>
      </c>
      <c r="GA92" s="76">
        <v>0</v>
      </c>
      <c r="GB92" s="76">
        <v>0</v>
      </c>
      <c r="GC92" s="76">
        <v>49305</v>
      </c>
      <c r="GD92" s="76">
        <v>15111</v>
      </c>
      <c r="GE92" s="76">
        <v>34194</v>
      </c>
      <c r="GF92" s="76">
        <v>199104</v>
      </c>
      <c r="GG92" s="76">
        <v>169</v>
      </c>
      <c r="GH92" s="76">
        <v>1523</v>
      </c>
      <c r="GI92" s="76">
        <v>0</v>
      </c>
      <c r="GJ92" s="76">
        <v>0</v>
      </c>
      <c r="GK92" s="76">
        <v>3857</v>
      </c>
      <c r="GL92" s="76">
        <v>204653</v>
      </c>
      <c r="GM92" s="76">
        <v>890</v>
      </c>
      <c r="GN92" s="76">
        <v>4359</v>
      </c>
      <c r="GO92" s="76">
        <v>4556</v>
      </c>
      <c r="GP92" s="76">
        <v>909</v>
      </c>
      <c r="GQ92" s="76">
        <v>1233</v>
      </c>
      <c r="GR92" s="76">
        <v>37520</v>
      </c>
      <c r="GS92" s="76">
        <v>0</v>
      </c>
      <c r="GT92" s="76">
        <v>0</v>
      </c>
      <c r="GU92" s="76">
        <v>2217</v>
      </c>
      <c r="GV92" s="76">
        <v>0</v>
      </c>
      <c r="GW92" s="76">
        <v>9401</v>
      </c>
      <c r="GX92" s="76">
        <v>61085</v>
      </c>
      <c r="GY92" s="76">
        <v>21447</v>
      </c>
      <c r="GZ92" s="76">
        <v>1982</v>
      </c>
      <c r="HA92" s="76">
        <v>14161</v>
      </c>
      <c r="HB92" s="76">
        <v>-4897</v>
      </c>
      <c r="HC92" s="76">
        <v>32693</v>
      </c>
      <c r="HD92" s="76">
        <v>0</v>
      </c>
      <c r="HE92" s="76">
        <v>0</v>
      </c>
      <c r="HF92" s="76">
        <v>0</v>
      </c>
      <c r="HG92" s="76">
        <v>27726</v>
      </c>
      <c r="HH92" s="76">
        <v>0</v>
      </c>
      <c r="HI92" s="76">
        <v>1131</v>
      </c>
      <c r="HJ92" s="76">
        <v>67</v>
      </c>
      <c r="HK92" s="76">
        <v>58</v>
      </c>
      <c r="HL92" s="76">
        <v>-4016</v>
      </c>
      <c r="HM92" s="76">
        <v>24966</v>
      </c>
      <c r="HN92" s="76">
        <v>19587</v>
      </c>
      <c r="HO92" s="76">
        <v>28224</v>
      </c>
      <c r="HP92" s="76">
        <v>1394</v>
      </c>
      <c r="HQ92" s="76">
        <v>830</v>
      </c>
      <c r="HR92" s="76">
        <v>-235</v>
      </c>
      <c r="HS92" s="76">
        <v>-410</v>
      </c>
      <c r="HT92" s="76">
        <v>23864</v>
      </c>
      <c r="HU92" s="76">
        <v>0</v>
      </c>
      <c r="HV92" s="76">
        <v>0</v>
      </c>
      <c r="HW92" s="76">
        <v>294</v>
      </c>
      <c r="HX92" s="76">
        <v>294</v>
      </c>
    </row>
    <row r="93" spans="1:232" x14ac:dyDescent="0.2">
      <c r="A93" s="74" t="s">
        <v>369</v>
      </c>
      <c r="B93" s="74" t="s">
        <v>370</v>
      </c>
      <c r="C93" s="75" t="s">
        <v>200</v>
      </c>
      <c r="D93" s="75">
        <v>12</v>
      </c>
      <c r="E93" s="76">
        <v>49290</v>
      </c>
      <c r="F93" s="76">
        <v>0</v>
      </c>
      <c r="G93" s="76">
        <v>-32825</v>
      </c>
      <c r="H93" s="76">
        <v>16465</v>
      </c>
      <c r="I93" s="76">
        <v>1446</v>
      </c>
      <c r="J93" s="76">
        <v>0</v>
      </c>
      <c r="K93" s="76">
        <v>0</v>
      </c>
      <c r="L93" s="76">
        <v>0</v>
      </c>
      <c r="M93" s="76">
        <v>49</v>
      </c>
      <c r="N93" s="76">
        <v>-2641</v>
      </c>
      <c r="O93" s="76">
        <v>0</v>
      </c>
      <c r="P93" s="76">
        <v>0</v>
      </c>
      <c r="Q93" s="76">
        <v>0</v>
      </c>
      <c r="R93" s="76">
        <v>0</v>
      </c>
      <c r="S93" s="76">
        <v>15319</v>
      </c>
      <c r="T93" s="76">
        <v>0</v>
      </c>
      <c r="U93" s="76">
        <v>15319</v>
      </c>
      <c r="V93" s="76">
        <v>0</v>
      </c>
      <c r="W93" s="76">
        <v>-4891</v>
      </c>
      <c r="X93" s="76">
        <v>0</v>
      </c>
      <c r="Y93" s="76">
        <v>0</v>
      </c>
      <c r="Z93" s="76">
        <v>10428</v>
      </c>
      <c r="AA93" s="76">
        <v>45996</v>
      </c>
      <c r="AB93" s="76">
        <v>675</v>
      </c>
      <c r="AC93" s="76">
        <v>46671</v>
      </c>
      <c r="AD93" s="76">
        <v>75</v>
      </c>
      <c r="AE93" s="76">
        <v>0</v>
      </c>
      <c r="AF93" s="76">
        <v>0</v>
      </c>
      <c r="AG93" s="76">
        <v>0</v>
      </c>
      <c r="AH93" s="76">
        <v>46746</v>
      </c>
      <c r="AI93" s="76">
        <v>10362</v>
      </c>
      <c r="AJ93" s="76">
        <v>2766</v>
      </c>
      <c r="AK93" s="76">
        <v>6526</v>
      </c>
      <c r="AL93" s="76">
        <v>2709</v>
      </c>
      <c r="AM93" s="76">
        <v>3540</v>
      </c>
      <c r="AN93" s="76">
        <v>388</v>
      </c>
      <c r="AO93" s="76">
        <v>4830</v>
      </c>
      <c r="AP93" s="76">
        <v>0</v>
      </c>
      <c r="AQ93" s="76">
        <v>0</v>
      </c>
      <c r="AR93" s="76">
        <v>31121</v>
      </c>
      <c r="AS93" s="76">
        <v>15625</v>
      </c>
      <c r="AT93" s="76">
        <v>567</v>
      </c>
      <c r="AU93" s="76">
        <v>96753</v>
      </c>
      <c r="AV93" s="76">
        <v>0</v>
      </c>
      <c r="AW93" s="76">
        <v>8500</v>
      </c>
      <c r="AX93" s="76">
        <v>0</v>
      </c>
      <c r="AY93" s="76">
        <v>0</v>
      </c>
      <c r="AZ93" s="76">
        <v>0</v>
      </c>
      <c r="BA93" s="76">
        <v>0</v>
      </c>
      <c r="BB93" s="76">
        <v>0</v>
      </c>
      <c r="BC93" s="76">
        <v>0</v>
      </c>
      <c r="BD93" s="76">
        <v>0</v>
      </c>
      <c r="BE93" s="76">
        <v>105253</v>
      </c>
      <c r="BF93" s="76">
        <v>0</v>
      </c>
      <c r="BG93" s="76">
        <v>21271</v>
      </c>
      <c r="BH93" s="76">
        <v>11816</v>
      </c>
      <c r="BI93" s="76">
        <v>5000</v>
      </c>
      <c r="BJ93" s="76">
        <v>90336</v>
      </c>
      <c r="BK93" s="76">
        <v>128423</v>
      </c>
      <c r="BL93" s="76">
        <v>0</v>
      </c>
      <c r="BM93" s="76">
        <v>0</v>
      </c>
      <c r="BN93" s="76">
        <v>75</v>
      </c>
      <c r="BO93" s="76">
        <v>10083</v>
      </c>
      <c r="BP93" s="76">
        <v>10158</v>
      </c>
      <c r="BQ93" s="76">
        <v>118265</v>
      </c>
      <c r="BR93" s="76">
        <v>223518</v>
      </c>
      <c r="BS93" s="76">
        <v>26000</v>
      </c>
      <c r="BT93" s="76">
        <v>0</v>
      </c>
      <c r="BU93" s="76">
        <v>0</v>
      </c>
      <c r="BV93" s="76">
        <v>6779</v>
      </c>
      <c r="BW93" s="76">
        <v>0</v>
      </c>
      <c r="BX93" s="76">
        <v>0</v>
      </c>
      <c r="BY93" s="76">
        <v>241</v>
      </c>
      <c r="BZ93" s="76">
        <v>33020</v>
      </c>
      <c r="CA93" s="76">
        <v>20367</v>
      </c>
      <c r="CB93" s="76">
        <v>106253</v>
      </c>
      <c r="CC93" s="76">
        <v>63878</v>
      </c>
      <c r="CD93" s="76">
        <v>63878</v>
      </c>
      <c r="CE93" s="76">
        <v>0</v>
      </c>
      <c r="CF93" s="76">
        <v>0</v>
      </c>
      <c r="CG93" s="76">
        <v>0</v>
      </c>
      <c r="CH93" s="76">
        <v>0</v>
      </c>
      <c r="CI93" s="76">
        <v>63878</v>
      </c>
      <c r="CJ93" s="76">
        <v>0</v>
      </c>
      <c r="CK93" s="76">
        <v>0</v>
      </c>
      <c r="CL93" s="76">
        <v>0</v>
      </c>
      <c r="CM93" s="76">
        <v>0</v>
      </c>
      <c r="CN93" s="76">
        <v>0</v>
      </c>
      <c r="CO93" s="76">
        <v>0</v>
      </c>
      <c r="CP93" s="76">
        <v>0</v>
      </c>
      <c r="CQ93" s="76">
        <v>0</v>
      </c>
      <c r="CR93" s="76">
        <v>0</v>
      </c>
      <c r="CS93" s="76">
        <v>0</v>
      </c>
      <c r="CT93" s="76">
        <v>0</v>
      </c>
      <c r="CU93" s="76">
        <v>0</v>
      </c>
      <c r="CV93" s="76">
        <v>0</v>
      </c>
      <c r="CW93" s="76">
        <v>0</v>
      </c>
      <c r="CX93" s="76">
        <v>0</v>
      </c>
      <c r="CY93" s="76">
        <v>0</v>
      </c>
      <c r="CZ93" s="76">
        <v>2118</v>
      </c>
      <c r="DA93" s="76">
        <v>0</v>
      </c>
      <c r="DB93" s="76">
        <v>1558</v>
      </c>
      <c r="DC93" s="76">
        <v>560</v>
      </c>
      <c r="DD93" s="76">
        <v>2118</v>
      </c>
      <c r="DE93" s="76">
        <v>0</v>
      </c>
      <c r="DF93" s="76">
        <v>1558</v>
      </c>
      <c r="DG93" s="76">
        <v>560</v>
      </c>
      <c r="DH93" s="76">
        <v>0</v>
      </c>
      <c r="DI93" s="76">
        <v>0</v>
      </c>
      <c r="DJ93" s="76">
        <v>0</v>
      </c>
      <c r="DK93" s="76">
        <v>0</v>
      </c>
      <c r="DL93" s="76">
        <v>0</v>
      </c>
      <c r="DM93" s="76">
        <v>0</v>
      </c>
      <c r="DN93" s="76">
        <v>0</v>
      </c>
      <c r="DO93" s="76">
        <v>0</v>
      </c>
      <c r="DP93" s="76">
        <v>0</v>
      </c>
      <c r="DQ93" s="76">
        <v>0</v>
      </c>
      <c r="DR93" s="76">
        <v>0</v>
      </c>
      <c r="DS93" s="76">
        <v>0</v>
      </c>
      <c r="DT93" s="76">
        <v>0</v>
      </c>
      <c r="DU93" s="76">
        <v>0</v>
      </c>
      <c r="DV93" s="76">
        <v>0</v>
      </c>
      <c r="DW93" s="76">
        <v>0</v>
      </c>
      <c r="DX93" s="76">
        <v>0</v>
      </c>
      <c r="DY93" s="76">
        <v>0</v>
      </c>
      <c r="DZ93" s="76">
        <v>0</v>
      </c>
      <c r="EA93" s="76">
        <v>0</v>
      </c>
      <c r="EB93" s="76">
        <v>426</v>
      </c>
      <c r="EC93" s="76">
        <v>0</v>
      </c>
      <c r="ED93" s="76">
        <v>146</v>
      </c>
      <c r="EE93" s="76">
        <v>280</v>
      </c>
      <c r="EF93" s="76">
        <v>426</v>
      </c>
      <c r="EG93" s="76">
        <v>0</v>
      </c>
      <c r="EH93" s="76">
        <v>146</v>
      </c>
      <c r="EI93" s="76">
        <v>280</v>
      </c>
      <c r="EJ93" s="76">
        <v>2544</v>
      </c>
      <c r="EK93" s="76">
        <v>0</v>
      </c>
      <c r="EL93" s="76">
        <v>1704</v>
      </c>
      <c r="EM93" s="76">
        <v>840</v>
      </c>
      <c r="EN93" s="76">
        <v>640</v>
      </c>
      <c r="EO93" s="76">
        <v>552</v>
      </c>
      <c r="EP93" s="76">
        <v>373</v>
      </c>
      <c r="EQ93" s="76">
        <v>552</v>
      </c>
      <c r="ER93" s="76">
        <v>95648</v>
      </c>
      <c r="ES93" s="76">
        <v>0</v>
      </c>
      <c r="ET93" s="76">
        <v>95648</v>
      </c>
      <c r="EU93" s="76">
        <v>13896</v>
      </c>
      <c r="EV93" s="76">
        <v>-593</v>
      </c>
      <c r="EW93" s="76">
        <v>0</v>
      </c>
      <c r="EX93" s="76">
        <v>0</v>
      </c>
      <c r="EY93" s="76">
        <v>0</v>
      </c>
      <c r="EZ93" s="76">
        <v>108951</v>
      </c>
      <c r="FA93" s="76">
        <v>8371</v>
      </c>
      <c r="FB93" s="76">
        <v>3893</v>
      </c>
      <c r="FC93" s="76">
        <v>0</v>
      </c>
      <c r="FD93" s="76">
        <v>0</v>
      </c>
      <c r="FE93" s="76">
        <v>-66</v>
      </c>
      <c r="FF93" s="76">
        <v>0</v>
      </c>
      <c r="FG93" s="76">
        <v>0</v>
      </c>
      <c r="FH93" s="76">
        <v>12198</v>
      </c>
      <c r="FI93" s="76">
        <v>96753</v>
      </c>
      <c r="FJ93" s="76">
        <v>87277</v>
      </c>
      <c r="FK93" s="76">
        <v>0</v>
      </c>
      <c r="FL93" s="76">
        <v>0</v>
      </c>
      <c r="FM93" s="76">
        <v>0</v>
      </c>
      <c r="FN93" s="76">
        <v>1959</v>
      </c>
      <c r="FO93" s="76">
        <v>513</v>
      </c>
      <c r="FP93" s="76">
        <v>1446</v>
      </c>
      <c r="FQ93" s="76">
        <v>0</v>
      </c>
      <c r="FR93" s="76">
        <v>0</v>
      </c>
      <c r="FS93" s="76">
        <v>0</v>
      </c>
      <c r="FT93" s="76">
        <v>0</v>
      </c>
      <c r="FU93" s="76">
        <v>0</v>
      </c>
      <c r="FV93" s="76">
        <v>0</v>
      </c>
      <c r="FW93" s="76">
        <v>0</v>
      </c>
      <c r="FX93" s="76">
        <v>0</v>
      </c>
      <c r="FY93" s="76">
        <v>0</v>
      </c>
      <c r="FZ93" s="76">
        <v>0</v>
      </c>
      <c r="GA93" s="76">
        <v>0</v>
      </c>
      <c r="GB93" s="76">
        <v>0</v>
      </c>
      <c r="GC93" s="76">
        <v>1959</v>
      </c>
      <c r="GD93" s="76">
        <v>513</v>
      </c>
      <c r="GE93" s="76">
        <v>1446</v>
      </c>
      <c r="GF93" s="76">
        <v>0</v>
      </c>
      <c r="GG93" s="76">
        <v>0</v>
      </c>
      <c r="GH93" s="76">
        <v>0</v>
      </c>
      <c r="GI93" s="76">
        <v>0</v>
      </c>
      <c r="GJ93" s="76">
        <v>0</v>
      </c>
      <c r="GK93" s="76">
        <v>90336</v>
      </c>
      <c r="GL93" s="76">
        <v>90336</v>
      </c>
      <c r="GM93" s="76">
        <v>1720</v>
      </c>
      <c r="GN93" s="76">
        <v>2106</v>
      </c>
      <c r="GO93" s="76">
        <v>0</v>
      </c>
      <c r="GP93" s="76">
        <v>0</v>
      </c>
      <c r="GQ93" s="76">
        <v>0</v>
      </c>
      <c r="GR93" s="76">
        <v>4294</v>
      </c>
      <c r="GS93" s="76">
        <v>0</v>
      </c>
      <c r="GT93" s="76">
        <v>0</v>
      </c>
      <c r="GU93" s="76">
        <v>0</v>
      </c>
      <c r="GV93" s="76">
        <v>0</v>
      </c>
      <c r="GW93" s="76">
        <v>1963</v>
      </c>
      <c r="GX93" s="76">
        <v>10083</v>
      </c>
      <c r="GY93" s="76">
        <v>0</v>
      </c>
      <c r="GZ93" s="76">
        <v>240</v>
      </c>
      <c r="HA93" s="76">
        <v>0</v>
      </c>
      <c r="HB93" s="76">
        <v>1</v>
      </c>
      <c r="HC93" s="76">
        <v>241</v>
      </c>
      <c r="HD93" s="76">
        <v>0</v>
      </c>
      <c r="HE93" s="76">
        <v>106253</v>
      </c>
      <c r="HF93" s="76">
        <v>106253</v>
      </c>
      <c r="HG93" s="76">
        <v>1878</v>
      </c>
      <c r="HH93" s="76">
        <v>0</v>
      </c>
      <c r="HI93" s="76">
        <v>526</v>
      </c>
      <c r="HJ93" s="76">
        <v>1</v>
      </c>
      <c r="HK93" s="76">
        <v>236</v>
      </c>
      <c r="HL93" s="76">
        <v>0</v>
      </c>
      <c r="HM93" s="76">
        <v>2641</v>
      </c>
      <c r="HN93" s="76">
        <v>13331</v>
      </c>
      <c r="HO93" s="76">
        <v>4830</v>
      </c>
      <c r="HP93" s="76">
        <v>0</v>
      </c>
      <c r="HQ93" s="76">
        <v>2</v>
      </c>
      <c r="HR93" s="76">
        <v>-95</v>
      </c>
      <c r="HS93" s="76">
        <v>0</v>
      </c>
      <c r="HT93" s="76">
        <v>11571</v>
      </c>
      <c r="HU93" s="76">
        <v>0</v>
      </c>
      <c r="HV93" s="76">
        <v>0</v>
      </c>
      <c r="HW93" s="76">
        <v>0</v>
      </c>
      <c r="HX93" s="76">
        <v>0</v>
      </c>
    </row>
    <row r="94" spans="1:232" x14ac:dyDescent="0.2">
      <c r="A94" s="74" t="s">
        <v>68</v>
      </c>
      <c r="B94" s="74" t="s">
        <v>67</v>
      </c>
      <c r="C94" s="75" t="s">
        <v>200</v>
      </c>
      <c r="D94" s="75">
        <v>12</v>
      </c>
      <c r="E94" s="76">
        <v>131825</v>
      </c>
      <c r="F94" s="76">
        <v>-17093</v>
      </c>
      <c r="G94" s="76">
        <v>-67876</v>
      </c>
      <c r="H94" s="76">
        <v>46856</v>
      </c>
      <c r="I94" s="76">
        <v>3513</v>
      </c>
      <c r="J94" s="76">
        <v>892</v>
      </c>
      <c r="K94" s="76">
        <v>0</v>
      </c>
      <c r="L94" s="76">
        <v>0</v>
      </c>
      <c r="M94" s="76">
        <v>284</v>
      </c>
      <c r="N94" s="76">
        <v>-32091</v>
      </c>
      <c r="O94" s="76">
        <v>0</v>
      </c>
      <c r="P94" s="76">
        <v>-383</v>
      </c>
      <c r="Q94" s="76">
        <v>0</v>
      </c>
      <c r="R94" s="76">
        <v>0</v>
      </c>
      <c r="S94" s="76">
        <v>19071</v>
      </c>
      <c r="T94" s="76">
        <v>-1</v>
      </c>
      <c r="U94" s="76">
        <v>19070</v>
      </c>
      <c r="V94" s="76">
        <v>0</v>
      </c>
      <c r="W94" s="76">
        <v>-735</v>
      </c>
      <c r="X94" s="76">
        <v>0</v>
      </c>
      <c r="Y94" s="76">
        <v>-44</v>
      </c>
      <c r="Z94" s="76">
        <v>18291</v>
      </c>
      <c r="AA94" s="76">
        <v>95109</v>
      </c>
      <c r="AB94" s="76">
        <v>5851</v>
      </c>
      <c r="AC94" s="76">
        <v>100960</v>
      </c>
      <c r="AD94" s="76">
        <v>3705</v>
      </c>
      <c r="AE94" s="76">
        <v>0</v>
      </c>
      <c r="AF94" s="76">
        <v>0</v>
      </c>
      <c r="AG94" s="76">
        <v>0</v>
      </c>
      <c r="AH94" s="76">
        <v>104665</v>
      </c>
      <c r="AI94" s="76">
        <v>13682</v>
      </c>
      <c r="AJ94" s="76">
        <v>6232</v>
      </c>
      <c r="AK94" s="76">
        <v>11278</v>
      </c>
      <c r="AL94" s="76">
        <v>3708</v>
      </c>
      <c r="AM94" s="76">
        <v>8486</v>
      </c>
      <c r="AN94" s="76">
        <v>608</v>
      </c>
      <c r="AO94" s="76">
        <v>15551</v>
      </c>
      <c r="AP94" s="76">
        <v>0</v>
      </c>
      <c r="AQ94" s="76">
        <v>83</v>
      </c>
      <c r="AR94" s="76">
        <v>59628</v>
      </c>
      <c r="AS94" s="76">
        <v>45037</v>
      </c>
      <c r="AT94" s="76">
        <v>544</v>
      </c>
      <c r="AU94" s="76">
        <v>1130600</v>
      </c>
      <c r="AV94" s="76">
        <v>0</v>
      </c>
      <c r="AW94" s="76">
        <v>14018</v>
      </c>
      <c r="AX94" s="76">
        <v>0</v>
      </c>
      <c r="AY94" s="76">
        <v>0</v>
      </c>
      <c r="AZ94" s="76">
        <v>0</v>
      </c>
      <c r="BA94" s="76">
        <v>0</v>
      </c>
      <c r="BB94" s="76">
        <v>0</v>
      </c>
      <c r="BC94" s="76">
        <v>0</v>
      </c>
      <c r="BD94" s="76">
        <v>2179</v>
      </c>
      <c r="BE94" s="76">
        <v>1146797</v>
      </c>
      <c r="BF94" s="76">
        <v>21921</v>
      </c>
      <c r="BG94" s="76">
        <v>275</v>
      </c>
      <c r="BH94" s="76">
        <v>17256</v>
      </c>
      <c r="BI94" s="76">
        <v>0</v>
      </c>
      <c r="BJ94" s="76">
        <v>6833</v>
      </c>
      <c r="BK94" s="76">
        <v>46285</v>
      </c>
      <c r="BL94" s="76">
        <v>7357</v>
      </c>
      <c r="BM94" s="76">
        <v>0</v>
      </c>
      <c r="BN94" s="76">
        <v>3924</v>
      </c>
      <c r="BO94" s="76">
        <v>21186</v>
      </c>
      <c r="BP94" s="76">
        <v>32467</v>
      </c>
      <c r="BQ94" s="76">
        <v>13818</v>
      </c>
      <c r="BR94" s="76">
        <v>1160615</v>
      </c>
      <c r="BS94" s="76">
        <v>614298</v>
      </c>
      <c r="BT94" s="76">
        <v>0</v>
      </c>
      <c r="BU94" s="76">
        <v>0</v>
      </c>
      <c r="BV94" s="76">
        <v>334762</v>
      </c>
      <c r="BW94" s="76">
        <v>0</v>
      </c>
      <c r="BX94" s="76">
        <v>0</v>
      </c>
      <c r="BY94" s="76">
        <v>10855</v>
      </c>
      <c r="BZ94" s="76">
        <v>959915</v>
      </c>
      <c r="CA94" s="76">
        <v>8100</v>
      </c>
      <c r="CB94" s="76">
        <v>78</v>
      </c>
      <c r="CC94" s="76">
        <v>192522</v>
      </c>
      <c r="CD94" s="76">
        <v>192372</v>
      </c>
      <c r="CE94" s="76">
        <v>150</v>
      </c>
      <c r="CF94" s="76">
        <v>0</v>
      </c>
      <c r="CG94" s="76">
        <v>0</v>
      </c>
      <c r="CH94" s="76">
        <v>0</v>
      </c>
      <c r="CI94" s="76">
        <v>192522</v>
      </c>
      <c r="CJ94" s="76">
        <v>11035</v>
      </c>
      <c r="CK94" s="76">
        <v>9028</v>
      </c>
      <c r="CL94" s="76">
        <v>0</v>
      </c>
      <c r="CM94" s="76">
        <v>2007</v>
      </c>
      <c r="CN94" s="76">
        <v>0</v>
      </c>
      <c r="CO94" s="76">
        <v>0</v>
      </c>
      <c r="CP94" s="76">
        <v>0</v>
      </c>
      <c r="CQ94" s="76">
        <v>0</v>
      </c>
      <c r="CR94" s="76">
        <v>0</v>
      </c>
      <c r="CS94" s="76">
        <v>0</v>
      </c>
      <c r="CT94" s="76">
        <v>0</v>
      </c>
      <c r="CU94" s="76">
        <v>0</v>
      </c>
      <c r="CV94" s="76">
        <v>0</v>
      </c>
      <c r="CW94" s="76">
        <v>0</v>
      </c>
      <c r="CX94" s="76">
        <v>0</v>
      </c>
      <c r="CY94" s="76">
        <v>0</v>
      </c>
      <c r="CZ94" s="76">
        <v>388</v>
      </c>
      <c r="DA94" s="76">
        <v>0</v>
      </c>
      <c r="DB94" s="76">
        <v>388</v>
      </c>
      <c r="DC94" s="76">
        <v>0</v>
      </c>
      <c r="DD94" s="76">
        <v>11423</v>
      </c>
      <c r="DE94" s="76">
        <v>9028</v>
      </c>
      <c r="DF94" s="76">
        <v>388</v>
      </c>
      <c r="DG94" s="76">
        <v>2007</v>
      </c>
      <c r="DH94" s="76">
        <v>7867</v>
      </c>
      <c r="DI94" s="76">
        <v>8065</v>
      </c>
      <c r="DJ94" s="76">
        <v>0</v>
      </c>
      <c r="DK94" s="76">
        <v>-198</v>
      </c>
      <c r="DL94" s="76">
        <v>0</v>
      </c>
      <c r="DM94" s="76">
        <v>0</v>
      </c>
      <c r="DN94" s="76">
        <v>0</v>
      </c>
      <c r="DO94" s="76">
        <v>0</v>
      </c>
      <c r="DP94" s="76">
        <v>0</v>
      </c>
      <c r="DQ94" s="76">
        <v>0</v>
      </c>
      <c r="DR94" s="76">
        <v>0</v>
      </c>
      <c r="DS94" s="76">
        <v>0</v>
      </c>
      <c r="DT94" s="76">
        <v>344</v>
      </c>
      <c r="DU94" s="76">
        <v>0</v>
      </c>
      <c r="DV94" s="76">
        <v>287</v>
      </c>
      <c r="DW94" s="76">
        <v>57</v>
      </c>
      <c r="DX94" s="76">
        <v>0</v>
      </c>
      <c r="DY94" s="76">
        <v>0</v>
      </c>
      <c r="DZ94" s="76">
        <v>0</v>
      </c>
      <c r="EA94" s="76">
        <v>0</v>
      </c>
      <c r="EB94" s="76">
        <v>7526</v>
      </c>
      <c r="EC94" s="76">
        <v>0</v>
      </c>
      <c r="ED94" s="76">
        <v>7573</v>
      </c>
      <c r="EE94" s="76">
        <v>-47</v>
      </c>
      <c r="EF94" s="76">
        <v>15737</v>
      </c>
      <c r="EG94" s="76">
        <v>8065</v>
      </c>
      <c r="EH94" s="76">
        <v>7860</v>
      </c>
      <c r="EI94" s="76">
        <v>-188</v>
      </c>
      <c r="EJ94" s="76">
        <v>27160</v>
      </c>
      <c r="EK94" s="76">
        <v>17093</v>
      </c>
      <c r="EL94" s="76">
        <v>8248</v>
      </c>
      <c r="EM94" s="76">
        <v>1819</v>
      </c>
      <c r="EN94" s="76">
        <v>4128</v>
      </c>
      <c r="EO94" s="76">
        <v>2273</v>
      </c>
      <c r="EP94" s="76">
        <v>769</v>
      </c>
      <c r="EQ94" s="76">
        <v>2273</v>
      </c>
      <c r="ER94" s="76">
        <v>1242035</v>
      </c>
      <c r="ES94" s="76">
        <v>0</v>
      </c>
      <c r="ET94" s="76">
        <v>1242035</v>
      </c>
      <c r="EU94" s="76">
        <v>43420</v>
      </c>
      <c r="EV94" s="76">
        <v>-12627</v>
      </c>
      <c r="EW94" s="76">
        <v>0</v>
      </c>
      <c r="EX94" s="76">
        <v>0</v>
      </c>
      <c r="EY94" s="76">
        <v>-11795</v>
      </c>
      <c r="EZ94" s="76">
        <v>1261033</v>
      </c>
      <c r="FA94" s="76">
        <v>120963</v>
      </c>
      <c r="FB94" s="76">
        <v>15638</v>
      </c>
      <c r="FC94" s="76">
        <v>-1907</v>
      </c>
      <c r="FD94" s="76">
        <v>0</v>
      </c>
      <c r="FE94" s="76">
        <v>-3661</v>
      </c>
      <c r="FF94" s="76">
        <v>0</v>
      </c>
      <c r="FG94" s="76">
        <v>-600</v>
      </c>
      <c r="FH94" s="76">
        <v>130433</v>
      </c>
      <c r="FI94" s="76">
        <v>1130600</v>
      </c>
      <c r="FJ94" s="76">
        <v>1121072</v>
      </c>
      <c r="FK94" s="76">
        <v>4001</v>
      </c>
      <c r="FL94" s="76">
        <v>2594</v>
      </c>
      <c r="FM94" s="76">
        <v>1407</v>
      </c>
      <c r="FN94" s="76">
        <v>2028</v>
      </c>
      <c r="FO94" s="76">
        <v>1688</v>
      </c>
      <c r="FP94" s="76">
        <v>340</v>
      </c>
      <c r="FQ94" s="76">
        <v>0</v>
      </c>
      <c r="FR94" s="76">
        <v>0</v>
      </c>
      <c r="FS94" s="76">
        <v>0</v>
      </c>
      <c r="FT94" s="76">
        <v>120</v>
      </c>
      <c r="FU94" s="76">
        <v>70</v>
      </c>
      <c r="FV94" s="76">
        <v>50</v>
      </c>
      <c r="FW94" s="76">
        <v>2144</v>
      </c>
      <c r="FX94" s="76">
        <v>1357</v>
      </c>
      <c r="FY94" s="76">
        <v>787</v>
      </c>
      <c r="FZ94" s="76">
        <v>1213</v>
      </c>
      <c r="GA94" s="76">
        <v>284</v>
      </c>
      <c r="GB94" s="76">
        <v>929</v>
      </c>
      <c r="GC94" s="76">
        <v>9506</v>
      </c>
      <c r="GD94" s="76">
        <v>5993</v>
      </c>
      <c r="GE94" s="76">
        <v>3513</v>
      </c>
      <c r="GF94" s="76">
        <v>30</v>
      </c>
      <c r="GG94" s="76">
        <v>5</v>
      </c>
      <c r="GH94" s="76">
        <v>631</v>
      </c>
      <c r="GI94" s="76">
        <v>0</v>
      </c>
      <c r="GJ94" s="76">
        <v>0</v>
      </c>
      <c r="GK94" s="76">
        <v>6167</v>
      </c>
      <c r="GL94" s="76">
        <v>6833</v>
      </c>
      <c r="GM94" s="76">
        <v>1471</v>
      </c>
      <c r="GN94" s="76">
        <v>1591</v>
      </c>
      <c r="GO94" s="76">
        <v>1037</v>
      </c>
      <c r="GP94" s="76">
        <v>0</v>
      </c>
      <c r="GQ94" s="76">
        <v>0</v>
      </c>
      <c r="GR94" s="76">
        <v>10373</v>
      </c>
      <c r="GS94" s="76">
        <v>0</v>
      </c>
      <c r="GT94" s="76">
        <v>0</v>
      </c>
      <c r="GU94" s="76">
        <v>929</v>
      </c>
      <c r="GV94" s="76">
        <v>0</v>
      </c>
      <c r="GW94" s="76">
        <v>5785</v>
      </c>
      <c r="GX94" s="76">
        <v>21186</v>
      </c>
      <c r="GY94" s="76">
        <v>4488</v>
      </c>
      <c r="GZ94" s="76">
        <v>0</v>
      </c>
      <c r="HA94" s="76">
        <v>6367</v>
      </c>
      <c r="HB94" s="76">
        <v>0</v>
      </c>
      <c r="HC94" s="76">
        <v>10855</v>
      </c>
      <c r="HD94" s="76">
        <v>0</v>
      </c>
      <c r="HE94" s="76">
        <v>78</v>
      </c>
      <c r="HF94" s="76">
        <v>78</v>
      </c>
      <c r="HG94" s="76">
        <v>23701</v>
      </c>
      <c r="HH94" s="76">
        <v>1094</v>
      </c>
      <c r="HI94" s="76">
        <v>381</v>
      </c>
      <c r="HJ94" s="76">
        <v>13</v>
      </c>
      <c r="HK94" s="76">
        <v>9692</v>
      </c>
      <c r="HL94" s="76">
        <v>-2790</v>
      </c>
      <c r="HM94" s="76">
        <v>32091</v>
      </c>
      <c r="HN94" s="76">
        <v>7910</v>
      </c>
      <c r="HO94" s="76">
        <v>17036</v>
      </c>
      <c r="HP94" s="76">
        <v>-1907</v>
      </c>
      <c r="HQ94" s="76">
        <v>247</v>
      </c>
      <c r="HR94" s="76">
        <v>-18</v>
      </c>
      <c r="HS94" s="76">
        <v>-188</v>
      </c>
      <c r="HT94" s="76">
        <v>18373</v>
      </c>
      <c r="HU94" s="76">
        <v>0</v>
      </c>
      <c r="HV94" s="76">
        <v>0</v>
      </c>
      <c r="HW94" s="76">
        <v>3</v>
      </c>
      <c r="HX94" s="76">
        <v>590</v>
      </c>
    </row>
    <row r="95" spans="1:232" x14ac:dyDescent="0.2">
      <c r="A95" s="74" t="s">
        <v>71</v>
      </c>
      <c r="B95" s="74" t="s">
        <v>70</v>
      </c>
      <c r="C95" s="75" t="s">
        <v>200</v>
      </c>
      <c r="D95" s="75">
        <v>12</v>
      </c>
      <c r="E95" s="76">
        <v>117841</v>
      </c>
      <c r="F95" s="76">
        <v>-1610</v>
      </c>
      <c r="G95" s="76">
        <v>-64582</v>
      </c>
      <c r="H95" s="76">
        <v>51649</v>
      </c>
      <c r="I95" s="76">
        <v>1928</v>
      </c>
      <c r="J95" s="76">
        <v>1371</v>
      </c>
      <c r="K95" s="76">
        <v>0</v>
      </c>
      <c r="L95" s="76">
        <v>0</v>
      </c>
      <c r="M95" s="76">
        <v>1027</v>
      </c>
      <c r="N95" s="76">
        <v>-24952</v>
      </c>
      <c r="O95" s="76">
        <v>1293</v>
      </c>
      <c r="P95" s="76">
        <v>0</v>
      </c>
      <c r="Q95" s="76">
        <v>0</v>
      </c>
      <c r="R95" s="76">
        <v>0</v>
      </c>
      <c r="S95" s="76">
        <v>32316</v>
      </c>
      <c r="T95" s="76">
        <v>0</v>
      </c>
      <c r="U95" s="76">
        <v>32316</v>
      </c>
      <c r="V95" s="76">
        <v>0</v>
      </c>
      <c r="W95" s="76">
        <v>-2531</v>
      </c>
      <c r="X95" s="76">
        <v>0</v>
      </c>
      <c r="Y95" s="76">
        <v>0</v>
      </c>
      <c r="Z95" s="76">
        <v>29785</v>
      </c>
      <c r="AA95" s="76">
        <v>101449</v>
      </c>
      <c r="AB95" s="76">
        <v>2878</v>
      </c>
      <c r="AC95" s="76">
        <v>104327</v>
      </c>
      <c r="AD95" s="76">
        <v>2180</v>
      </c>
      <c r="AE95" s="76">
        <v>0</v>
      </c>
      <c r="AF95" s="76">
        <v>0</v>
      </c>
      <c r="AG95" s="76">
        <v>0</v>
      </c>
      <c r="AH95" s="76">
        <v>106507</v>
      </c>
      <c r="AI95" s="76">
        <v>17048</v>
      </c>
      <c r="AJ95" s="76">
        <v>4794</v>
      </c>
      <c r="AK95" s="76">
        <v>16389</v>
      </c>
      <c r="AL95" s="76">
        <v>2294</v>
      </c>
      <c r="AM95" s="76">
        <v>0</v>
      </c>
      <c r="AN95" s="76">
        <v>822</v>
      </c>
      <c r="AO95" s="76">
        <v>18562</v>
      </c>
      <c r="AP95" s="76">
        <v>0</v>
      </c>
      <c r="AQ95" s="76">
        <v>0</v>
      </c>
      <c r="AR95" s="76">
        <v>59909</v>
      </c>
      <c r="AS95" s="76">
        <v>46598</v>
      </c>
      <c r="AT95" s="76">
        <v>1468</v>
      </c>
      <c r="AU95" s="76">
        <v>1280355</v>
      </c>
      <c r="AV95" s="76">
        <v>0</v>
      </c>
      <c r="AW95" s="76">
        <v>4862</v>
      </c>
      <c r="AX95" s="76">
        <v>810</v>
      </c>
      <c r="AY95" s="76">
        <v>38</v>
      </c>
      <c r="AZ95" s="76">
        <v>62727</v>
      </c>
      <c r="BA95" s="76">
        <v>0</v>
      </c>
      <c r="BB95" s="76">
        <v>0</v>
      </c>
      <c r="BC95" s="76">
        <v>0</v>
      </c>
      <c r="BD95" s="76">
        <v>33187</v>
      </c>
      <c r="BE95" s="76">
        <v>1381979</v>
      </c>
      <c r="BF95" s="76">
        <v>906</v>
      </c>
      <c r="BG95" s="76">
        <v>8852</v>
      </c>
      <c r="BH95" s="76">
        <v>31963</v>
      </c>
      <c r="BI95" s="76">
        <v>30450</v>
      </c>
      <c r="BJ95" s="76">
        <v>0</v>
      </c>
      <c r="BK95" s="76">
        <v>72171</v>
      </c>
      <c r="BL95" s="76">
        <v>7360</v>
      </c>
      <c r="BM95" s="76">
        <v>0</v>
      </c>
      <c r="BN95" s="76">
        <v>2290</v>
      </c>
      <c r="BO95" s="76">
        <v>23885</v>
      </c>
      <c r="BP95" s="76">
        <v>33535</v>
      </c>
      <c r="BQ95" s="76">
        <v>38636</v>
      </c>
      <c r="BR95" s="76">
        <v>1420615</v>
      </c>
      <c r="BS95" s="76">
        <v>589936</v>
      </c>
      <c r="BT95" s="76">
        <v>0</v>
      </c>
      <c r="BU95" s="76">
        <v>15129</v>
      </c>
      <c r="BV95" s="76">
        <v>194609</v>
      </c>
      <c r="BW95" s="76">
        <v>0</v>
      </c>
      <c r="BX95" s="76">
        <v>0</v>
      </c>
      <c r="BY95" s="76">
        <v>6682</v>
      </c>
      <c r="BZ95" s="76">
        <v>806356</v>
      </c>
      <c r="CA95" s="76">
        <v>7369</v>
      </c>
      <c r="CB95" s="76">
        <v>0</v>
      </c>
      <c r="CC95" s="76">
        <v>606890</v>
      </c>
      <c r="CD95" s="76">
        <v>192842</v>
      </c>
      <c r="CE95" s="76">
        <v>414048</v>
      </c>
      <c r="CF95" s="76">
        <v>0</v>
      </c>
      <c r="CG95" s="76">
        <v>0</v>
      </c>
      <c r="CH95" s="76">
        <v>0</v>
      </c>
      <c r="CI95" s="76">
        <v>606890</v>
      </c>
      <c r="CJ95" s="76">
        <v>2278</v>
      </c>
      <c r="CK95" s="76">
        <v>1610</v>
      </c>
      <c r="CL95" s="76">
        <v>0</v>
      </c>
      <c r="CM95" s="76">
        <v>668</v>
      </c>
      <c r="CN95" s="76">
        <v>143</v>
      </c>
      <c r="CO95" s="76">
        <v>0</v>
      </c>
      <c r="CP95" s="76">
        <v>133</v>
      </c>
      <c r="CQ95" s="76">
        <v>10</v>
      </c>
      <c r="CR95" s="76">
        <v>0</v>
      </c>
      <c r="CS95" s="76">
        <v>0</v>
      </c>
      <c r="CT95" s="76">
        <v>0</v>
      </c>
      <c r="CU95" s="76">
        <v>0</v>
      </c>
      <c r="CV95" s="76">
        <v>0</v>
      </c>
      <c r="CW95" s="76">
        <v>0</v>
      </c>
      <c r="CX95" s="76">
        <v>0</v>
      </c>
      <c r="CY95" s="76">
        <v>0</v>
      </c>
      <c r="CZ95" s="76">
        <v>160</v>
      </c>
      <c r="DA95" s="76">
        <v>0</v>
      </c>
      <c r="DB95" s="76">
        <v>37</v>
      </c>
      <c r="DC95" s="76">
        <v>123</v>
      </c>
      <c r="DD95" s="76">
        <v>2581</v>
      </c>
      <c r="DE95" s="76">
        <v>1610</v>
      </c>
      <c r="DF95" s="76">
        <v>170</v>
      </c>
      <c r="DG95" s="76">
        <v>801</v>
      </c>
      <c r="DH95" s="76">
        <v>0</v>
      </c>
      <c r="DI95" s="76">
        <v>0</v>
      </c>
      <c r="DJ95" s="76">
        <v>0</v>
      </c>
      <c r="DK95" s="76">
        <v>0</v>
      </c>
      <c r="DL95" s="76">
        <v>2282</v>
      </c>
      <c r="DM95" s="76">
        <v>0</v>
      </c>
      <c r="DN95" s="76">
        <v>1674</v>
      </c>
      <c r="DO95" s="76">
        <v>608</v>
      </c>
      <c r="DP95" s="76">
        <v>0</v>
      </c>
      <c r="DQ95" s="76">
        <v>0</v>
      </c>
      <c r="DR95" s="76">
        <v>0</v>
      </c>
      <c r="DS95" s="76">
        <v>0</v>
      </c>
      <c r="DT95" s="76">
        <v>2842</v>
      </c>
      <c r="DU95" s="76">
        <v>0</v>
      </c>
      <c r="DV95" s="76">
        <v>2084</v>
      </c>
      <c r="DW95" s="76">
        <v>758</v>
      </c>
      <c r="DX95" s="76">
        <v>0</v>
      </c>
      <c r="DY95" s="76">
        <v>0</v>
      </c>
      <c r="DZ95" s="76">
        <v>0</v>
      </c>
      <c r="EA95" s="76">
        <v>0</v>
      </c>
      <c r="EB95" s="76">
        <v>3629</v>
      </c>
      <c r="EC95" s="76">
        <v>0</v>
      </c>
      <c r="ED95" s="76">
        <v>745</v>
      </c>
      <c r="EE95" s="76">
        <v>2884</v>
      </c>
      <c r="EF95" s="76">
        <v>8753</v>
      </c>
      <c r="EG95" s="76">
        <v>0</v>
      </c>
      <c r="EH95" s="76">
        <v>4503</v>
      </c>
      <c r="EI95" s="76">
        <v>4250</v>
      </c>
      <c r="EJ95" s="76">
        <v>11334</v>
      </c>
      <c r="EK95" s="76">
        <v>1610</v>
      </c>
      <c r="EL95" s="76">
        <v>4673</v>
      </c>
      <c r="EM95" s="76">
        <v>5051</v>
      </c>
      <c r="EN95" s="76">
        <v>4534</v>
      </c>
      <c r="EO95" s="76">
        <v>2634</v>
      </c>
      <c r="EP95" s="76">
        <v>1123</v>
      </c>
      <c r="EQ95" s="76">
        <v>2634</v>
      </c>
      <c r="ER95" s="76">
        <v>1428049</v>
      </c>
      <c r="ES95" s="76">
        <v>0</v>
      </c>
      <c r="ET95" s="76">
        <v>1428049</v>
      </c>
      <c r="EU95" s="76">
        <v>29745</v>
      </c>
      <c r="EV95" s="76">
        <v>-7953</v>
      </c>
      <c r="EW95" s="76">
        <v>0</v>
      </c>
      <c r="EX95" s="76">
        <v>0</v>
      </c>
      <c r="EY95" s="76">
        <v>420</v>
      </c>
      <c r="EZ95" s="76">
        <v>1450261</v>
      </c>
      <c r="FA95" s="76">
        <v>153022</v>
      </c>
      <c r="FB95" s="76">
        <v>18305</v>
      </c>
      <c r="FC95" s="76">
        <v>0</v>
      </c>
      <c r="FD95" s="76">
        <v>0</v>
      </c>
      <c r="FE95" s="76">
        <v>-1421</v>
      </c>
      <c r="FF95" s="76">
        <v>0</v>
      </c>
      <c r="FG95" s="76">
        <v>0</v>
      </c>
      <c r="FH95" s="76">
        <v>169906</v>
      </c>
      <c r="FI95" s="76">
        <v>1280355</v>
      </c>
      <c r="FJ95" s="76">
        <v>1275027</v>
      </c>
      <c r="FK95" s="76">
        <v>5469</v>
      </c>
      <c r="FL95" s="76">
        <v>3652</v>
      </c>
      <c r="FM95" s="76">
        <v>1817</v>
      </c>
      <c r="FN95" s="76">
        <v>2062</v>
      </c>
      <c r="FO95" s="76">
        <v>2046</v>
      </c>
      <c r="FP95" s="76">
        <v>16</v>
      </c>
      <c r="FQ95" s="76">
        <v>0</v>
      </c>
      <c r="FR95" s="76">
        <v>0</v>
      </c>
      <c r="FS95" s="76">
        <v>0</v>
      </c>
      <c r="FT95" s="76">
        <v>644</v>
      </c>
      <c r="FU95" s="76">
        <v>549</v>
      </c>
      <c r="FV95" s="76">
        <v>95</v>
      </c>
      <c r="FW95" s="76">
        <v>0</v>
      </c>
      <c r="FX95" s="76">
        <v>0</v>
      </c>
      <c r="FY95" s="76">
        <v>0</v>
      </c>
      <c r="FZ95" s="76">
        <v>0</v>
      </c>
      <c r="GA95" s="76">
        <v>0</v>
      </c>
      <c r="GB95" s="76">
        <v>0</v>
      </c>
      <c r="GC95" s="76">
        <v>8175</v>
      </c>
      <c r="GD95" s="76">
        <v>6247</v>
      </c>
      <c r="GE95" s="76">
        <v>1928</v>
      </c>
      <c r="GF95" s="76">
        <v>0</v>
      </c>
      <c r="GG95" s="76">
        <v>0</v>
      </c>
      <c r="GH95" s="76">
        <v>0</v>
      </c>
      <c r="GI95" s="76">
        <v>0</v>
      </c>
      <c r="GJ95" s="76">
        <v>0</v>
      </c>
      <c r="GK95" s="76">
        <v>0</v>
      </c>
      <c r="GL95" s="76">
        <v>0</v>
      </c>
      <c r="GM95" s="76">
        <v>3741</v>
      </c>
      <c r="GN95" s="76">
        <v>0</v>
      </c>
      <c r="GO95" s="76">
        <v>0</v>
      </c>
      <c r="GP95" s="76">
        <v>1590</v>
      </c>
      <c r="GQ95" s="76">
        <v>62</v>
      </c>
      <c r="GR95" s="76">
        <v>12399</v>
      </c>
      <c r="GS95" s="76">
        <v>1635</v>
      </c>
      <c r="GT95" s="76">
        <v>0</v>
      </c>
      <c r="GU95" s="76">
        <v>875</v>
      </c>
      <c r="GV95" s="76">
        <v>0</v>
      </c>
      <c r="GW95" s="76">
        <v>3583</v>
      </c>
      <c r="GX95" s="76">
        <v>23885</v>
      </c>
      <c r="GY95" s="76">
        <v>0</v>
      </c>
      <c r="GZ95" s="76">
        <v>0</v>
      </c>
      <c r="HA95" s="76">
        <v>5725</v>
      </c>
      <c r="HB95" s="76">
        <v>957</v>
      </c>
      <c r="HC95" s="76">
        <v>6682</v>
      </c>
      <c r="HD95" s="76">
        <v>0</v>
      </c>
      <c r="HE95" s="76">
        <v>0</v>
      </c>
      <c r="HF95" s="76">
        <v>0</v>
      </c>
      <c r="HG95" s="76">
        <v>23119</v>
      </c>
      <c r="HH95" s="76">
        <v>34</v>
      </c>
      <c r="HI95" s="76">
        <v>695</v>
      </c>
      <c r="HJ95" s="76">
        <v>1</v>
      </c>
      <c r="HK95" s="76">
        <v>1224</v>
      </c>
      <c r="HL95" s="76">
        <v>-121</v>
      </c>
      <c r="HM95" s="76">
        <v>24952</v>
      </c>
      <c r="HN95" s="76">
        <v>16978</v>
      </c>
      <c r="HO95" s="76">
        <v>20802</v>
      </c>
      <c r="HP95" s="76">
        <v>0</v>
      </c>
      <c r="HQ95" s="76">
        <v>152</v>
      </c>
      <c r="HR95" s="76">
        <v>-92</v>
      </c>
      <c r="HS95" s="76">
        <v>0</v>
      </c>
      <c r="HT95" s="76">
        <v>21623</v>
      </c>
      <c r="HU95" s="76">
        <v>140</v>
      </c>
      <c r="HV95" s="76">
        <v>-2</v>
      </c>
      <c r="HW95" s="76">
        <v>0</v>
      </c>
      <c r="HX95" s="76">
        <v>898</v>
      </c>
    </row>
    <row r="96" spans="1:232" x14ac:dyDescent="0.2">
      <c r="A96" s="74" t="s">
        <v>198</v>
      </c>
      <c r="B96" s="74" t="s">
        <v>197</v>
      </c>
      <c r="C96" s="75" t="s">
        <v>200</v>
      </c>
      <c r="D96" s="75">
        <v>12</v>
      </c>
      <c r="E96" s="76">
        <v>88932</v>
      </c>
      <c r="F96" s="76">
        <v>-5710</v>
      </c>
      <c r="G96" s="76">
        <v>-44469</v>
      </c>
      <c r="H96" s="76">
        <v>38753</v>
      </c>
      <c r="I96" s="76">
        <v>936</v>
      </c>
      <c r="J96" s="76">
        <v>1238</v>
      </c>
      <c r="K96" s="76">
        <v>0</v>
      </c>
      <c r="L96" s="76">
        <v>0</v>
      </c>
      <c r="M96" s="76">
        <v>154</v>
      </c>
      <c r="N96" s="76">
        <v>-10775</v>
      </c>
      <c r="O96" s="76">
        <v>673</v>
      </c>
      <c r="P96" s="76">
        <v>-375</v>
      </c>
      <c r="Q96" s="76">
        <v>0</v>
      </c>
      <c r="R96" s="76">
        <v>0</v>
      </c>
      <c r="S96" s="76">
        <v>30604</v>
      </c>
      <c r="T96" s="76">
        <v>0</v>
      </c>
      <c r="U96" s="76">
        <v>30604</v>
      </c>
      <c r="V96" s="76">
        <v>0</v>
      </c>
      <c r="W96" s="76">
        <v>-3552</v>
      </c>
      <c r="X96" s="76">
        <v>0</v>
      </c>
      <c r="Y96" s="76">
        <v>0</v>
      </c>
      <c r="Z96" s="76">
        <v>27052</v>
      </c>
      <c r="AA96" s="76">
        <v>69382</v>
      </c>
      <c r="AB96" s="76">
        <v>5978</v>
      </c>
      <c r="AC96" s="76">
        <v>75360</v>
      </c>
      <c r="AD96" s="76">
        <v>103</v>
      </c>
      <c r="AE96" s="76">
        <v>0</v>
      </c>
      <c r="AF96" s="76">
        <v>0</v>
      </c>
      <c r="AG96" s="76">
        <v>854</v>
      </c>
      <c r="AH96" s="76">
        <v>76317</v>
      </c>
      <c r="AI96" s="76">
        <v>7377</v>
      </c>
      <c r="AJ96" s="76">
        <v>6670</v>
      </c>
      <c r="AK96" s="76">
        <v>8662</v>
      </c>
      <c r="AL96" s="76">
        <v>2972</v>
      </c>
      <c r="AM96" s="76">
        <v>3957</v>
      </c>
      <c r="AN96" s="76">
        <v>449</v>
      </c>
      <c r="AO96" s="76">
        <v>9920</v>
      </c>
      <c r="AP96" s="76">
        <v>0</v>
      </c>
      <c r="AQ96" s="76">
        <v>22</v>
      </c>
      <c r="AR96" s="76">
        <v>40029</v>
      </c>
      <c r="AS96" s="76">
        <v>36288</v>
      </c>
      <c r="AT96" s="76">
        <v>1027</v>
      </c>
      <c r="AU96" s="76">
        <v>757609</v>
      </c>
      <c r="AV96" s="76">
        <v>0</v>
      </c>
      <c r="AW96" s="76">
        <v>8393</v>
      </c>
      <c r="AX96" s="76">
        <v>0</v>
      </c>
      <c r="AY96" s="76">
        <v>10394</v>
      </c>
      <c r="AZ96" s="76">
        <v>16720</v>
      </c>
      <c r="BA96" s="76">
        <v>0</v>
      </c>
      <c r="BB96" s="76">
        <v>0</v>
      </c>
      <c r="BC96" s="76">
        <v>0</v>
      </c>
      <c r="BD96" s="76">
        <v>8915</v>
      </c>
      <c r="BE96" s="76">
        <v>802031</v>
      </c>
      <c r="BF96" s="76">
        <v>4418</v>
      </c>
      <c r="BG96" s="76">
        <v>0</v>
      </c>
      <c r="BH96" s="76">
        <v>9021</v>
      </c>
      <c r="BI96" s="76">
        <v>0</v>
      </c>
      <c r="BJ96" s="76">
        <v>2259</v>
      </c>
      <c r="BK96" s="76">
        <v>15698</v>
      </c>
      <c r="BL96" s="76">
        <v>5000</v>
      </c>
      <c r="BM96" s="76">
        <v>0</v>
      </c>
      <c r="BN96" s="76">
        <v>123</v>
      </c>
      <c r="BO96" s="76">
        <v>13924</v>
      </c>
      <c r="BP96" s="76">
        <v>19047</v>
      </c>
      <c r="BQ96" s="76">
        <v>-3349</v>
      </c>
      <c r="BR96" s="76">
        <v>798682</v>
      </c>
      <c r="BS96" s="76">
        <v>243106</v>
      </c>
      <c r="BT96" s="76">
        <v>0</v>
      </c>
      <c r="BU96" s="76">
        <v>0</v>
      </c>
      <c r="BV96" s="76">
        <v>11594</v>
      </c>
      <c r="BW96" s="76">
        <v>10394</v>
      </c>
      <c r="BX96" s="76">
        <v>0</v>
      </c>
      <c r="BY96" s="76">
        <v>5943</v>
      </c>
      <c r="BZ96" s="76">
        <v>271037</v>
      </c>
      <c r="CA96" s="76">
        <v>26696</v>
      </c>
      <c r="CB96" s="76">
        <v>150</v>
      </c>
      <c r="CC96" s="76">
        <v>500799</v>
      </c>
      <c r="CD96" s="76">
        <v>278555</v>
      </c>
      <c r="CE96" s="76">
        <v>222091</v>
      </c>
      <c r="CF96" s="76">
        <v>0</v>
      </c>
      <c r="CG96" s="76">
        <v>0</v>
      </c>
      <c r="CH96" s="76">
        <v>153</v>
      </c>
      <c r="CI96" s="76">
        <v>500799</v>
      </c>
      <c r="CJ96" s="76">
        <v>7730</v>
      </c>
      <c r="CK96" s="76">
        <v>5710</v>
      </c>
      <c r="CL96" s="76">
        <v>0</v>
      </c>
      <c r="CM96" s="76">
        <v>2020</v>
      </c>
      <c r="CN96" s="76">
        <v>487</v>
      </c>
      <c r="CO96" s="76">
        <v>0</v>
      </c>
      <c r="CP96" s="76">
        <v>426</v>
      </c>
      <c r="CQ96" s="76">
        <v>61</v>
      </c>
      <c r="CR96" s="76">
        <v>0</v>
      </c>
      <c r="CS96" s="76">
        <v>0</v>
      </c>
      <c r="CT96" s="76">
        <v>0</v>
      </c>
      <c r="CU96" s="76">
        <v>0</v>
      </c>
      <c r="CV96" s="76">
        <v>0</v>
      </c>
      <c r="CW96" s="76">
        <v>0</v>
      </c>
      <c r="CX96" s="76">
        <v>0</v>
      </c>
      <c r="CY96" s="76">
        <v>0</v>
      </c>
      <c r="CZ96" s="76">
        <v>352</v>
      </c>
      <c r="DA96" s="76">
        <v>0</v>
      </c>
      <c r="DB96" s="76">
        <v>540</v>
      </c>
      <c r="DC96" s="76">
        <v>-188</v>
      </c>
      <c r="DD96" s="76">
        <v>8569</v>
      </c>
      <c r="DE96" s="76">
        <v>5710</v>
      </c>
      <c r="DF96" s="76">
        <v>966</v>
      </c>
      <c r="DG96" s="76">
        <v>1893</v>
      </c>
      <c r="DH96" s="76">
        <v>0</v>
      </c>
      <c r="DI96" s="76">
        <v>0</v>
      </c>
      <c r="DJ96" s="76">
        <v>0</v>
      </c>
      <c r="DK96" s="76">
        <v>0</v>
      </c>
      <c r="DL96" s="76">
        <v>133</v>
      </c>
      <c r="DM96" s="76">
        <v>0</v>
      </c>
      <c r="DN96" s="76">
        <v>80</v>
      </c>
      <c r="DO96" s="76">
        <v>53</v>
      </c>
      <c r="DP96" s="76">
        <v>0</v>
      </c>
      <c r="DQ96" s="76">
        <v>0</v>
      </c>
      <c r="DR96" s="76">
        <v>0</v>
      </c>
      <c r="DS96" s="76">
        <v>0</v>
      </c>
      <c r="DT96" s="76">
        <v>665</v>
      </c>
      <c r="DU96" s="76">
        <v>0</v>
      </c>
      <c r="DV96" s="76">
        <v>179</v>
      </c>
      <c r="DW96" s="76">
        <v>486</v>
      </c>
      <c r="DX96" s="76">
        <v>0</v>
      </c>
      <c r="DY96" s="76">
        <v>0</v>
      </c>
      <c r="DZ96" s="76">
        <v>0</v>
      </c>
      <c r="EA96" s="76">
        <v>0</v>
      </c>
      <c r="EB96" s="76">
        <v>3248</v>
      </c>
      <c r="EC96" s="76">
        <v>0</v>
      </c>
      <c r="ED96" s="76">
        <v>3215</v>
      </c>
      <c r="EE96" s="76">
        <v>33</v>
      </c>
      <c r="EF96" s="76">
        <v>4046</v>
      </c>
      <c r="EG96" s="76">
        <v>0</v>
      </c>
      <c r="EH96" s="76">
        <v>3474</v>
      </c>
      <c r="EI96" s="76">
        <v>572</v>
      </c>
      <c r="EJ96" s="76">
        <v>12615</v>
      </c>
      <c r="EK96" s="76">
        <v>5710</v>
      </c>
      <c r="EL96" s="76">
        <v>4440</v>
      </c>
      <c r="EM96" s="76">
        <v>2465</v>
      </c>
      <c r="EN96" s="76">
        <v>2243</v>
      </c>
      <c r="EO96" s="76">
        <v>1245</v>
      </c>
      <c r="EP96" s="76">
        <v>985</v>
      </c>
      <c r="EQ96" s="76">
        <v>1245</v>
      </c>
      <c r="ER96" s="76">
        <v>721792</v>
      </c>
      <c r="ES96" s="76">
        <v>0</v>
      </c>
      <c r="ET96" s="76">
        <v>721792</v>
      </c>
      <c r="EU96" s="76">
        <v>65515</v>
      </c>
      <c r="EV96" s="76">
        <v>-3178</v>
      </c>
      <c r="EW96" s="76">
        <v>0</v>
      </c>
      <c r="EX96" s="76">
        <v>0</v>
      </c>
      <c r="EY96" s="76">
        <v>0</v>
      </c>
      <c r="EZ96" s="76">
        <v>784129</v>
      </c>
      <c r="FA96" s="76">
        <v>16681</v>
      </c>
      <c r="FB96" s="76">
        <v>9978</v>
      </c>
      <c r="FC96" s="76">
        <v>0</v>
      </c>
      <c r="FD96" s="76">
        <v>0</v>
      </c>
      <c r="FE96" s="76">
        <v>-139</v>
      </c>
      <c r="FF96" s="76">
        <v>0</v>
      </c>
      <c r="FG96" s="76">
        <v>0</v>
      </c>
      <c r="FH96" s="76">
        <v>26520</v>
      </c>
      <c r="FI96" s="76">
        <v>757609</v>
      </c>
      <c r="FJ96" s="76">
        <v>705111</v>
      </c>
      <c r="FK96" s="76">
        <v>2147</v>
      </c>
      <c r="FL96" s="76">
        <v>1359</v>
      </c>
      <c r="FM96" s="76">
        <v>788</v>
      </c>
      <c r="FN96" s="76">
        <v>2347</v>
      </c>
      <c r="FO96" s="76">
        <v>2188</v>
      </c>
      <c r="FP96" s="76">
        <v>159</v>
      </c>
      <c r="FQ96" s="76">
        <v>0</v>
      </c>
      <c r="FR96" s="76">
        <v>0</v>
      </c>
      <c r="FS96" s="76">
        <v>0</v>
      </c>
      <c r="FT96" s="76">
        <v>0</v>
      </c>
      <c r="FU96" s="76">
        <v>0</v>
      </c>
      <c r="FV96" s="76">
        <v>0</v>
      </c>
      <c r="FW96" s="76">
        <v>0</v>
      </c>
      <c r="FX96" s="76">
        <v>0</v>
      </c>
      <c r="FY96" s="76">
        <v>0</v>
      </c>
      <c r="FZ96" s="76">
        <v>513</v>
      </c>
      <c r="GA96" s="76">
        <v>524</v>
      </c>
      <c r="GB96" s="76">
        <v>-11</v>
      </c>
      <c r="GC96" s="76">
        <v>5007</v>
      </c>
      <c r="GD96" s="76">
        <v>4071</v>
      </c>
      <c r="GE96" s="76">
        <v>936</v>
      </c>
      <c r="GF96" s="76">
        <v>16</v>
      </c>
      <c r="GG96" s="76">
        <v>0</v>
      </c>
      <c r="GH96" s="76">
        <v>198</v>
      </c>
      <c r="GI96" s="76">
        <v>0</v>
      </c>
      <c r="GJ96" s="76">
        <v>0</v>
      </c>
      <c r="GK96" s="76">
        <v>2045</v>
      </c>
      <c r="GL96" s="76">
        <v>2259</v>
      </c>
      <c r="GM96" s="76">
        <v>1689</v>
      </c>
      <c r="GN96" s="76">
        <v>1126</v>
      </c>
      <c r="GO96" s="76">
        <v>196</v>
      </c>
      <c r="GP96" s="76">
        <v>606</v>
      </c>
      <c r="GQ96" s="76">
        <v>216</v>
      </c>
      <c r="GR96" s="76">
        <v>7047</v>
      </c>
      <c r="GS96" s="76">
        <v>0</v>
      </c>
      <c r="GT96" s="76">
        <v>0</v>
      </c>
      <c r="GU96" s="76">
        <v>169</v>
      </c>
      <c r="GV96" s="76">
        <v>0</v>
      </c>
      <c r="GW96" s="76">
        <v>2875</v>
      </c>
      <c r="GX96" s="76">
        <v>13924</v>
      </c>
      <c r="GY96" s="76">
        <v>2405</v>
      </c>
      <c r="GZ96" s="76">
        <v>84</v>
      </c>
      <c r="HA96" s="76">
        <v>1132</v>
      </c>
      <c r="HB96" s="76">
        <v>2322</v>
      </c>
      <c r="HC96" s="76">
        <v>5943</v>
      </c>
      <c r="HD96" s="76">
        <v>0</v>
      </c>
      <c r="HE96" s="76">
        <v>150</v>
      </c>
      <c r="HF96" s="76">
        <v>150</v>
      </c>
      <c r="HG96" s="76">
        <v>10240</v>
      </c>
      <c r="HH96" s="76">
        <v>68</v>
      </c>
      <c r="HI96" s="76">
        <v>803</v>
      </c>
      <c r="HJ96" s="76">
        <v>12</v>
      </c>
      <c r="HK96" s="76">
        <v>401</v>
      </c>
      <c r="HL96" s="76">
        <v>-749</v>
      </c>
      <c r="HM96" s="76">
        <v>10775</v>
      </c>
      <c r="HN96" s="76">
        <v>8413</v>
      </c>
      <c r="HO96" s="76">
        <v>10714</v>
      </c>
      <c r="HP96" s="76">
        <v>0</v>
      </c>
      <c r="HQ96" s="76">
        <v>527</v>
      </c>
      <c r="HR96" s="76">
        <v>-62</v>
      </c>
      <c r="HS96" s="76">
        <v>2</v>
      </c>
      <c r="HT96" s="76">
        <v>15825</v>
      </c>
      <c r="HU96" s="76">
        <v>0</v>
      </c>
      <c r="HV96" s="76">
        <v>0</v>
      </c>
      <c r="HW96" s="76">
        <v>-26</v>
      </c>
      <c r="HX96" s="76">
        <v>120</v>
      </c>
    </row>
    <row r="97" spans="1:232" x14ac:dyDescent="0.2">
      <c r="A97" s="74" t="s">
        <v>374</v>
      </c>
      <c r="B97" s="74" t="s">
        <v>375</v>
      </c>
      <c r="C97" s="75" t="s">
        <v>200</v>
      </c>
      <c r="D97" s="75">
        <v>12</v>
      </c>
      <c r="E97" s="76">
        <v>31092</v>
      </c>
      <c r="F97" s="76">
        <v>-252</v>
      </c>
      <c r="G97" s="76">
        <v>-18690</v>
      </c>
      <c r="H97" s="76">
        <v>12150</v>
      </c>
      <c r="I97" s="76">
        <v>-59</v>
      </c>
      <c r="J97" s="76">
        <v>0</v>
      </c>
      <c r="K97" s="76">
        <v>0</v>
      </c>
      <c r="L97" s="76">
        <v>0</v>
      </c>
      <c r="M97" s="76">
        <v>918</v>
      </c>
      <c r="N97" s="76">
        <v>-3056</v>
      </c>
      <c r="O97" s="76">
        <v>0</v>
      </c>
      <c r="P97" s="76">
        <v>0</v>
      </c>
      <c r="Q97" s="76">
        <v>0</v>
      </c>
      <c r="R97" s="76">
        <v>0</v>
      </c>
      <c r="S97" s="76">
        <v>9953</v>
      </c>
      <c r="T97" s="76">
        <v>-2</v>
      </c>
      <c r="U97" s="76">
        <v>9951</v>
      </c>
      <c r="V97" s="76">
        <v>0</v>
      </c>
      <c r="W97" s="76">
        <v>-2819</v>
      </c>
      <c r="X97" s="76">
        <v>0</v>
      </c>
      <c r="Y97" s="76">
        <v>0</v>
      </c>
      <c r="Z97" s="76">
        <v>7132</v>
      </c>
      <c r="AA97" s="76">
        <v>29481</v>
      </c>
      <c r="AB97" s="76">
        <v>706</v>
      </c>
      <c r="AC97" s="76">
        <v>30187</v>
      </c>
      <c r="AD97" s="76">
        <v>58</v>
      </c>
      <c r="AE97" s="76">
        <v>0</v>
      </c>
      <c r="AF97" s="76">
        <v>0</v>
      </c>
      <c r="AG97" s="76">
        <v>0</v>
      </c>
      <c r="AH97" s="76">
        <v>30245</v>
      </c>
      <c r="AI97" s="76">
        <v>3907</v>
      </c>
      <c r="AJ97" s="76">
        <v>2438</v>
      </c>
      <c r="AK97" s="76">
        <v>3243</v>
      </c>
      <c r="AL97" s="76">
        <v>1293</v>
      </c>
      <c r="AM97" s="76">
        <v>3133</v>
      </c>
      <c r="AN97" s="76">
        <v>132</v>
      </c>
      <c r="AO97" s="76">
        <v>4281</v>
      </c>
      <c r="AP97" s="76">
        <v>0</v>
      </c>
      <c r="AQ97" s="76">
        <v>208</v>
      </c>
      <c r="AR97" s="76">
        <v>18635</v>
      </c>
      <c r="AS97" s="76">
        <v>11610</v>
      </c>
      <c r="AT97" s="76">
        <v>251</v>
      </c>
      <c r="AU97" s="76">
        <v>109353</v>
      </c>
      <c r="AV97" s="76">
        <v>0</v>
      </c>
      <c r="AW97" s="76">
        <v>3883</v>
      </c>
      <c r="AX97" s="76">
        <v>0</v>
      </c>
      <c r="AY97" s="76">
        <v>0</v>
      </c>
      <c r="AZ97" s="76">
        <v>0</v>
      </c>
      <c r="BA97" s="76">
        <v>0</v>
      </c>
      <c r="BB97" s="76">
        <v>0</v>
      </c>
      <c r="BC97" s="76">
        <v>0</v>
      </c>
      <c r="BD97" s="76">
        <v>0</v>
      </c>
      <c r="BE97" s="76">
        <v>113236</v>
      </c>
      <c r="BF97" s="76">
        <v>0</v>
      </c>
      <c r="BG97" s="76">
        <v>1623</v>
      </c>
      <c r="BH97" s="76">
        <v>6644</v>
      </c>
      <c r="BI97" s="76">
        <v>0</v>
      </c>
      <c r="BJ97" s="76">
        <v>390</v>
      </c>
      <c r="BK97" s="76">
        <v>8657</v>
      </c>
      <c r="BL97" s="76">
        <v>0</v>
      </c>
      <c r="BM97" s="76">
        <v>0</v>
      </c>
      <c r="BN97" s="76">
        <v>76</v>
      </c>
      <c r="BO97" s="76">
        <v>2802</v>
      </c>
      <c r="BP97" s="76">
        <v>2878</v>
      </c>
      <c r="BQ97" s="76">
        <v>5779</v>
      </c>
      <c r="BR97" s="76">
        <v>119015</v>
      </c>
      <c r="BS97" s="76">
        <v>61500</v>
      </c>
      <c r="BT97" s="76">
        <v>0</v>
      </c>
      <c r="BU97" s="76">
        <v>0</v>
      </c>
      <c r="BV97" s="76">
        <v>5866</v>
      </c>
      <c r="BW97" s="76">
        <v>0</v>
      </c>
      <c r="BX97" s="76">
        <v>0</v>
      </c>
      <c r="BY97" s="76">
        <v>654</v>
      </c>
      <c r="BZ97" s="76">
        <v>68020</v>
      </c>
      <c r="CA97" s="76">
        <v>5805</v>
      </c>
      <c r="CB97" s="76">
        <v>0</v>
      </c>
      <c r="CC97" s="76">
        <v>45190</v>
      </c>
      <c r="CD97" s="76">
        <v>45190</v>
      </c>
      <c r="CE97" s="76">
        <v>0</v>
      </c>
      <c r="CF97" s="76">
        <v>0</v>
      </c>
      <c r="CG97" s="76">
        <v>0</v>
      </c>
      <c r="CH97" s="76">
        <v>0</v>
      </c>
      <c r="CI97" s="76">
        <v>45190</v>
      </c>
      <c r="CJ97" s="76">
        <v>130</v>
      </c>
      <c r="CK97" s="76">
        <v>0</v>
      </c>
      <c r="CL97" s="76">
        <v>55</v>
      </c>
      <c r="CM97" s="76">
        <v>75</v>
      </c>
      <c r="CN97" s="76">
        <v>0</v>
      </c>
      <c r="CO97" s="76">
        <v>0</v>
      </c>
      <c r="CP97" s="76">
        <v>0</v>
      </c>
      <c r="CQ97" s="76">
        <v>0</v>
      </c>
      <c r="CR97" s="76">
        <v>0</v>
      </c>
      <c r="CS97" s="76">
        <v>0</v>
      </c>
      <c r="CT97" s="76">
        <v>0</v>
      </c>
      <c r="CU97" s="76">
        <v>0</v>
      </c>
      <c r="CV97" s="76">
        <v>144</v>
      </c>
      <c r="CW97" s="76">
        <v>0</v>
      </c>
      <c r="CX97" s="76">
        <v>0</v>
      </c>
      <c r="CY97" s="76">
        <v>144</v>
      </c>
      <c r="CZ97" s="76">
        <v>99</v>
      </c>
      <c r="DA97" s="76">
        <v>0</v>
      </c>
      <c r="DB97" s="76">
        <v>0</v>
      </c>
      <c r="DC97" s="76">
        <v>99</v>
      </c>
      <c r="DD97" s="76">
        <v>373</v>
      </c>
      <c r="DE97" s="76">
        <v>0</v>
      </c>
      <c r="DF97" s="76">
        <v>55</v>
      </c>
      <c r="DG97" s="76">
        <v>318</v>
      </c>
      <c r="DH97" s="76">
        <v>0</v>
      </c>
      <c r="DI97" s="76">
        <v>0</v>
      </c>
      <c r="DJ97" s="76">
        <v>0</v>
      </c>
      <c r="DK97" s="76">
        <v>0</v>
      </c>
      <c r="DL97" s="76">
        <v>0</v>
      </c>
      <c r="DM97" s="76">
        <v>0</v>
      </c>
      <c r="DN97" s="76">
        <v>0</v>
      </c>
      <c r="DO97" s="76">
        <v>0</v>
      </c>
      <c r="DP97" s="76">
        <v>0</v>
      </c>
      <c r="DQ97" s="76">
        <v>0</v>
      </c>
      <c r="DR97" s="76">
        <v>0</v>
      </c>
      <c r="DS97" s="76">
        <v>0</v>
      </c>
      <c r="DT97" s="76">
        <v>0</v>
      </c>
      <c r="DU97" s="76">
        <v>0</v>
      </c>
      <c r="DV97" s="76">
        <v>0</v>
      </c>
      <c r="DW97" s="76">
        <v>0</v>
      </c>
      <c r="DX97" s="76">
        <v>0</v>
      </c>
      <c r="DY97" s="76">
        <v>0</v>
      </c>
      <c r="DZ97" s="76">
        <v>0</v>
      </c>
      <c r="EA97" s="76">
        <v>0</v>
      </c>
      <c r="EB97" s="76">
        <v>474</v>
      </c>
      <c r="EC97" s="76">
        <v>252</v>
      </c>
      <c r="ED97" s="76">
        <v>0</v>
      </c>
      <c r="EE97" s="76">
        <v>222</v>
      </c>
      <c r="EF97" s="76">
        <v>474</v>
      </c>
      <c r="EG97" s="76">
        <v>252</v>
      </c>
      <c r="EH97" s="76">
        <v>0</v>
      </c>
      <c r="EI97" s="76">
        <v>222</v>
      </c>
      <c r="EJ97" s="76">
        <v>847</v>
      </c>
      <c r="EK97" s="76">
        <v>252</v>
      </c>
      <c r="EL97" s="76">
        <v>55</v>
      </c>
      <c r="EM97" s="76">
        <v>540</v>
      </c>
      <c r="EN97" s="76">
        <v>1142</v>
      </c>
      <c r="EO97" s="76">
        <v>337</v>
      </c>
      <c r="EP97" s="76">
        <v>374</v>
      </c>
      <c r="EQ97" s="76">
        <v>337</v>
      </c>
      <c r="ER97" s="76">
        <v>131891</v>
      </c>
      <c r="ES97" s="76">
        <v>0</v>
      </c>
      <c r="ET97" s="76">
        <v>131891</v>
      </c>
      <c r="EU97" s="76">
        <v>10078</v>
      </c>
      <c r="EV97" s="76">
        <v>-1339</v>
      </c>
      <c r="EW97" s="76">
        <v>0</v>
      </c>
      <c r="EX97" s="76">
        <v>0</v>
      </c>
      <c r="EY97" s="76">
        <v>999</v>
      </c>
      <c r="EZ97" s="76">
        <v>141629</v>
      </c>
      <c r="FA97" s="76">
        <v>28300</v>
      </c>
      <c r="FB97" s="76">
        <v>4281</v>
      </c>
      <c r="FC97" s="76">
        <v>0</v>
      </c>
      <c r="FD97" s="76">
        <v>0</v>
      </c>
      <c r="FE97" s="76">
        <v>-305</v>
      </c>
      <c r="FF97" s="76">
        <v>0</v>
      </c>
      <c r="FG97" s="76">
        <v>0</v>
      </c>
      <c r="FH97" s="76">
        <v>32276</v>
      </c>
      <c r="FI97" s="76">
        <v>109353</v>
      </c>
      <c r="FJ97" s="76">
        <v>103591</v>
      </c>
      <c r="FK97" s="76">
        <v>0</v>
      </c>
      <c r="FL97" s="76">
        <v>0</v>
      </c>
      <c r="FM97" s="76">
        <v>0</v>
      </c>
      <c r="FN97" s="76">
        <v>676</v>
      </c>
      <c r="FO97" s="76">
        <v>735</v>
      </c>
      <c r="FP97" s="76">
        <v>-59</v>
      </c>
      <c r="FQ97" s="76">
        <v>0</v>
      </c>
      <c r="FR97" s="76">
        <v>0</v>
      </c>
      <c r="FS97" s="76">
        <v>0</v>
      </c>
      <c r="FT97" s="76">
        <v>0</v>
      </c>
      <c r="FU97" s="76">
        <v>0</v>
      </c>
      <c r="FV97" s="76">
        <v>0</v>
      </c>
      <c r="FW97" s="76">
        <v>0</v>
      </c>
      <c r="FX97" s="76">
        <v>0</v>
      </c>
      <c r="FY97" s="76">
        <v>0</v>
      </c>
      <c r="FZ97" s="76">
        <v>0</v>
      </c>
      <c r="GA97" s="76">
        <v>0</v>
      </c>
      <c r="GB97" s="76">
        <v>0</v>
      </c>
      <c r="GC97" s="76">
        <v>676</v>
      </c>
      <c r="GD97" s="76">
        <v>735</v>
      </c>
      <c r="GE97" s="76">
        <v>-59</v>
      </c>
      <c r="GF97" s="76">
        <v>0</v>
      </c>
      <c r="GG97" s="76">
        <v>0</v>
      </c>
      <c r="GH97" s="76">
        <v>0</v>
      </c>
      <c r="GI97" s="76">
        <v>0</v>
      </c>
      <c r="GJ97" s="76">
        <v>0</v>
      </c>
      <c r="GK97" s="76">
        <v>390</v>
      </c>
      <c r="GL97" s="76">
        <v>390</v>
      </c>
      <c r="GM97" s="76">
        <v>356</v>
      </c>
      <c r="GN97" s="76">
        <v>187</v>
      </c>
      <c r="GO97" s="76">
        <v>0</v>
      </c>
      <c r="GP97" s="76">
        <v>0</v>
      </c>
      <c r="GQ97" s="76">
        <v>0</v>
      </c>
      <c r="GR97" s="76">
        <v>1917</v>
      </c>
      <c r="GS97" s="76">
        <v>0</v>
      </c>
      <c r="GT97" s="76">
        <v>0</v>
      </c>
      <c r="GU97" s="76">
        <v>0</v>
      </c>
      <c r="GV97" s="76">
        <v>0</v>
      </c>
      <c r="GW97" s="76">
        <v>342</v>
      </c>
      <c r="GX97" s="76">
        <v>2802</v>
      </c>
      <c r="GY97" s="76">
        <v>27</v>
      </c>
      <c r="GZ97" s="76">
        <v>627</v>
      </c>
      <c r="HA97" s="76">
        <v>0</v>
      </c>
      <c r="HB97" s="76">
        <v>0</v>
      </c>
      <c r="HC97" s="76">
        <v>654</v>
      </c>
      <c r="HD97" s="76">
        <v>0</v>
      </c>
      <c r="HE97" s="76">
        <v>0</v>
      </c>
      <c r="HF97" s="76">
        <v>0</v>
      </c>
      <c r="HG97" s="76">
        <v>0</v>
      </c>
      <c r="HH97" s="76">
        <v>0</v>
      </c>
      <c r="HI97" s="76">
        <v>0</v>
      </c>
      <c r="HJ97" s="76">
        <v>0</v>
      </c>
      <c r="HK97" s="76">
        <v>3056</v>
      </c>
      <c r="HL97" s="76">
        <v>0</v>
      </c>
      <c r="HM97" s="76">
        <v>3056</v>
      </c>
      <c r="HN97" s="76">
        <v>8022</v>
      </c>
      <c r="HO97" s="76">
        <v>4489</v>
      </c>
      <c r="HP97" s="76">
        <v>0</v>
      </c>
      <c r="HQ97" s="76">
        <v>11</v>
      </c>
      <c r="HR97" s="76">
        <v>-35</v>
      </c>
      <c r="HS97" s="76">
        <v>0</v>
      </c>
      <c r="HT97" s="76">
        <v>6826</v>
      </c>
      <c r="HU97" s="76">
        <v>0</v>
      </c>
      <c r="HV97" s="76">
        <v>0</v>
      </c>
      <c r="HW97" s="76">
        <v>0</v>
      </c>
      <c r="HX97" s="76">
        <v>0</v>
      </c>
    </row>
    <row r="98" spans="1:232" x14ac:dyDescent="0.2">
      <c r="A98" s="74" t="s">
        <v>75</v>
      </c>
      <c r="B98" s="74" t="s">
        <v>74</v>
      </c>
      <c r="C98" s="75" t="s">
        <v>200</v>
      </c>
      <c r="D98" s="75">
        <v>12</v>
      </c>
      <c r="E98" s="76">
        <v>28582</v>
      </c>
      <c r="F98" s="76">
        <v>0</v>
      </c>
      <c r="G98" s="76">
        <v>-20579</v>
      </c>
      <c r="H98" s="76">
        <v>8003</v>
      </c>
      <c r="I98" s="76">
        <v>177</v>
      </c>
      <c r="J98" s="76">
        <v>0</v>
      </c>
      <c r="K98" s="76">
        <v>0</v>
      </c>
      <c r="L98" s="76">
        <v>0</v>
      </c>
      <c r="M98" s="76">
        <v>10</v>
      </c>
      <c r="N98" s="76">
        <v>-3799</v>
      </c>
      <c r="O98" s="76">
        <v>0</v>
      </c>
      <c r="P98" s="76">
        <v>0</v>
      </c>
      <c r="Q98" s="76">
        <v>0</v>
      </c>
      <c r="R98" s="76">
        <v>0</v>
      </c>
      <c r="S98" s="76">
        <v>4391</v>
      </c>
      <c r="T98" s="76">
        <v>0</v>
      </c>
      <c r="U98" s="76">
        <v>4391</v>
      </c>
      <c r="V98" s="76">
        <v>0</v>
      </c>
      <c r="W98" s="76">
        <v>-198</v>
      </c>
      <c r="X98" s="76">
        <v>0</v>
      </c>
      <c r="Y98" s="76">
        <v>0</v>
      </c>
      <c r="Z98" s="76">
        <v>4193</v>
      </c>
      <c r="AA98" s="76">
        <v>19808</v>
      </c>
      <c r="AB98" s="76">
        <v>2100</v>
      </c>
      <c r="AC98" s="76">
        <v>21908</v>
      </c>
      <c r="AD98" s="76">
        <v>722</v>
      </c>
      <c r="AE98" s="76">
        <v>0</v>
      </c>
      <c r="AF98" s="76">
        <v>2843</v>
      </c>
      <c r="AG98" s="76">
        <v>12</v>
      </c>
      <c r="AH98" s="76">
        <v>25485</v>
      </c>
      <c r="AI98" s="76">
        <v>4695</v>
      </c>
      <c r="AJ98" s="76">
        <v>4678</v>
      </c>
      <c r="AK98" s="76">
        <v>3030</v>
      </c>
      <c r="AL98" s="76">
        <v>1403</v>
      </c>
      <c r="AM98" s="76">
        <v>462</v>
      </c>
      <c r="AN98" s="76">
        <v>51</v>
      </c>
      <c r="AO98" s="76">
        <v>2916</v>
      </c>
      <c r="AP98" s="76">
        <v>80</v>
      </c>
      <c r="AQ98" s="76">
        <v>56</v>
      </c>
      <c r="AR98" s="76">
        <v>17371</v>
      </c>
      <c r="AS98" s="76">
        <v>8114</v>
      </c>
      <c r="AT98" s="76">
        <v>289</v>
      </c>
      <c r="AU98" s="76">
        <v>182190</v>
      </c>
      <c r="AV98" s="76">
        <v>0</v>
      </c>
      <c r="AW98" s="76">
        <v>2733</v>
      </c>
      <c r="AX98" s="76">
        <v>0</v>
      </c>
      <c r="AY98" s="76">
        <v>0</v>
      </c>
      <c r="AZ98" s="76">
        <v>0</v>
      </c>
      <c r="BA98" s="76">
        <v>0</v>
      </c>
      <c r="BB98" s="76">
        <v>0</v>
      </c>
      <c r="BC98" s="76">
        <v>0</v>
      </c>
      <c r="BD98" s="76">
        <v>0</v>
      </c>
      <c r="BE98" s="76">
        <v>184923</v>
      </c>
      <c r="BF98" s="76">
        <v>0</v>
      </c>
      <c r="BG98" s="76">
        <v>432</v>
      </c>
      <c r="BH98" s="76">
        <v>4110</v>
      </c>
      <c r="BI98" s="76">
        <v>0</v>
      </c>
      <c r="BJ98" s="76">
        <v>1768</v>
      </c>
      <c r="BK98" s="76">
        <v>6310</v>
      </c>
      <c r="BL98" s="76">
        <v>1973</v>
      </c>
      <c r="BM98" s="76">
        <v>0</v>
      </c>
      <c r="BN98" s="76">
        <v>706</v>
      </c>
      <c r="BO98" s="76">
        <v>4310</v>
      </c>
      <c r="BP98" s="76">
        <v>6989</v>
      </c>
      <c r="BQ98" s="76">
        <v>-679</v>
      </c>
      <c r="BR98" s="76">
        <v>184244</v>
      </c>
      <c r="BS98" s="76">
        <v>73474</v>
      </c>
      <c r="BT98" s="76">
        <v>0</v>
      </c>
      <c r="BU98" s="76">
        <v>0</v>
      </c>
      <c r="BV98" s="76">
        <v>64357</v>
      </c>
      <c r="BW98" s="76">
        <v>0</v>
      </c>
      <c r="BX98" s="76">
        <v>0</v>
      </c>
      <c r="BY98" s="76">
        <v>4024</v>
      </c>
      <c r="BZ98" s="76">
        <v>141855</v>
      </c>
      <c r="CA98" s="76">
        <v>1398</v>
      </c>
      <c r="CB98" s="76">
        <v>0</v>
      </c>
      <c r="CC98" s="76">
        <v>40991</v>
      </c>
      <c r="CD98" s="76">
        <v>39991</v>
      </c>
      <c r="CE98" s="76">
        <v>0</v>
      </c>
      <c r="CF98" s="76">
        <v>1000</v>
      </c>
      <c r="CG98" s="76">
        <v>0</v>
      </c>
      <c r="CH98" s="76">
        <v>0</v>
      </c>
      <c r="CI98" s="76">
        <v>40991</v>
      </c>
      <c r="CJ98" s="76">
        <v>0</v>
      </c>
      <c r="CK98" s="76">
        <v>0</v>
      </c>
      <c r="CL98" s="76">
        <v>0</v>
      </c>
      <c r="CM98" s="76">
        <v>0</v>
      </c>
      <c r="CN98" s="76">
        <v>1461</v>
      </c>
      <c r="CO98" s="76">
        <v>0</v>
      </c>
      <c r="CP98" s="76">
        <v>1580</v>
      </c>
      <c r="CQ98" s="76">
        <v>-119</v>
      </c>
      <c r="CR98" s="76">
        <v>0</v>
      </c>
      <c r="CS98" s="76">
        <v>0</v>
      </c>
      <c r="CT98" s="76">
        <v>0</v>
      </c>
      <c r="CU98" s="76">
        <v>0</v>
      </c>
      <c r="CV98" s="76">
        <v>0</v>
      </c>
      <c r="CW98" s="76">
        <v>0</v>
      </c>
      <c r="CX98" s="76">
        <v>0</v>
      </c>
      <c r="CY98" s="76">
        <v>0</v>
      </c>
      <c r="CZ98" s="76">
        <v>162</v>
      </c>
      <c r="DA98" s="76">
        <v>0</v>
      </c>
      <c r="DB98" s="76">
        <v>209</v>
      </c>
      <c r="DC98" s="76">
        <v>-47</v>
      </c>
      <c r="DD98" s="76">
        <v>1623</v>
      </c>
      <c r="DE98" s="76">
        <v>0</v>
      </c>
      <c r="DF98" s="76">
        <v>1789</v>
      </c>
      <c r="DG98" s="76">
        <v>-166</v>
      </c>
      <c r="DH98" s="76">
        <v>0</v>
      </c>
      <c r="DI98" s="76">
        <v>0</v>
      </c>
      <c r="DJ98" s="76">
        <v>0</v>
      </c>
      <c r="DK98" s="76">
        <v>0</v>
      </c>
      <c r="DL98" s="76">
        <v>0</v>
      </c>
      <c r="DM98" s="76">
        <v>0</v>
      </c>
      <c r="DN98" s="76">
        <v>0</v>
      </c>
      <c r="DO98" s="76">
        <v>0</v>
      </c>
      <c r="DP98" s="76">
        <v>0</v>
      </c>
      <c r="DQ98" s="76">
        <v>0</v>
      </c>
      <c r="DR98" s="76">
        <v>0</v>
      </c>
      <c r="DS98" s="76">
        <v>0</v>
      </c>
      <c r="DT98" s="76">
        <v>0</v>
      </c>
      <c r="DU98" s="76">
        <v>0</v>
      </c>
      <c r="DV98" s="76">
        <v>0</v>
      </c>
      <c r="DW98" s="76">
        <v>0</v>
      </c>
      <c r="DX98" s="76">
        <v>1474</v>
      </c>
      <c r="DY98" s="76">
        <v>0</v>
      </c>
      <c r="DZ98" s="76">
        <v>1419</v>
      </c>
      <c r="EA98" s="76">
        <v>55</v>
      </c>
      <c r="EB98" s="76">
        <v>0</v>
      </c>
      <c r="EC98" s="76">
        <v>0</v>
      </c>
      <c r="ED98" s="76">
        <v>0</v>
      </c>
      <c r="EE98" s="76">
        <v>0</v>
      </c>
      <c r="EF98" s="76">
        <v>1474</v>
      </c>
      <c r="EG98" s="76">
        <v>0</v>
      </c>
      <c r="EH98" s="76">
        <v>1419</v>
      </c>
      <c r="EI98" s="76">
        <v>55</v>
      </c>
      <c r="EJ98" s="76">
        <v>3097</v>
      </c>
      <c r="EK98" s="76">
        <v>0</v>
      </c>
      <c r="EL98" s="76">
        <v>3208</v>
      </c>
      <c r="EM98" s="76">
        <v>-111</v>
      </c>
      <c r="EN98" s="76">
        <v>609</v>
      </c>
      <c r="EO98" s="76">
        <v>174</v>
      </c>
      <c r="EP98" s="76">
        <v>177</v>
      </c>
      <c r="EQ98" s="76">
        <v>174</v>
      </c>
      <c r="ER98" s="76">
        <v>206614</v>
      </c>
      <c r="ES98" s="76">
        <v>0</v>
      </c>
      <c r="ET98" s="76">
        <v>206614</v>
      </c>
      <c r="EU98" s="76">
        <v>3621</v>
      </c>
      <c r="EV98" s="76">
        <v>-1295</v>
      </c>
      <c r="EW98" s="76">
        <v>0</v>
      </c>
      <c r="EX98" s="76">
        <v>0</v>
      </c>
      <c r="EY98" s="76">
        <v>-997</v>
      </c>
      <c r="EZ98" s="76">
        <v>207943</v>
      </c>
      <c r="FA98" s="76">
        <v>23443</v>
      </c>
      <c r="FB98" s="76">
        <v>2557</v>
      </c>
      <c r="FC98" s="76">
        <v>80</v>
      </c>
      <c r="FD98" s="76">
        <v>0</v>
      </c>
      <c r="FE98" s="76">
        <v>-327</v>
      </c>
      <c r="FF98" s="76">
        <v>0</v>
      </c>
      <c r="FG98" s="76">
        <v>0</v>
      </c>
      <c r="FH98" s="76">
        <v>25753</v>
      </c>
      <c r="FI98" s="76">
        <v>182190</v>
      </c>
      <c r="FJ98" s="76">
        <v>183171</v>
      </c>
      <c r="FK98" s="76">
        <v>395</v>
      </c>
      <c r="FL98" s="76">
        <v>320</v>
      </c>
      <c r="FM98" s="76">
        <v>75</v>
      </c>
      <c r="FN98" s="76">
        <v>453</v>
      </c>
      <c r="FO98" s="76">
        <v>351</v>
      </c>
      <c r="FP98" s="76">
        <v>102</v>
      </c>
      <c r="FQ98" s="76">
        <v>0</v>
      </c>
      <c r="FR98" s="76">
        <v>0</v>
      </c>
      <c r="FS98" s="76">
        <v>0</v>
      </c>
      <c r="FT98" s="76">
        <v>0</v>
      </c>
      <c r="FU98" s="76">
        <v>0</v>
      </c>
      <c r="FV98" s="76">
        <v>0</v>
      </c>
      <c r="FW98" s="76">
        <v>0</v>
      </c>
      <c r="FX98" s="76">
        <v>0</v>
      </c>
      <c r="FY98" s="76">
        <v>0</v>
      </c>
      <c r="FZ98" s="76">
        <v>0</v>
      </c>
      <c r="GA98" s="76">
        <v>0</v>
      </c>
      <c r="GB98" s="76">
        <v>0</v>
      </c>
      <c r="GC98" s="76">
        <v>848</v>
      </c>
      <c r="GD98" s="76">
        <v>671</v>
      </c>
      <c r="GE98" s="76">
        <v>177</v>
      </c>
      <c r="GF98" s="76">
        <v>686</v>
      </c>
      <c r="GG98" s="76">
        <v>0</v>
      </c>
      <c r="GH98" s="76">
        <v>0</v>
      </c>
      <c r="GI98" s="76">
        <v>0</v>
      </c>
      <c r="GJ98" s="76">
        <v>0</v>
      </c>
      <c r="GK98" s="76">
        <v>1082</v>
      </c>
      <c r="GL98" s="76">
        <v>1768</v>
      </c>
      <c r="GM98" s="76">
        <v>191</v>
      </c>
      <c r="GN98" s="76">
        <v>867</v>
      </c>
      <c r="GO98" s="76">
        <v>67</v>
      </c>
      <c r="GP98" s="76">
        <v>0</v>
      </c>
      <c r="GQ98" s="76">
        <v>109</v>
      </c>
      <c r="GR98" s="76">
        <v>1210</v>
      </c>
      <c r="GS98" s="76">
        <v>0</v>
      </c>
      <c r="GT98" s="76">
        <v>0</v>
      </c>
      <c r="GU98" s="76">
        <v>580</v>
      </c>
      <c r="GV98" s="76">
        <v>0</v>
      </c>
      <c r="GW98" s="76">
        <v>1286</v>
      </c>
      <c r="GX98" s="76">
        <v>4310</v>
      </c>
      <c r="GY98" s="76">
        <v>0</v>
      </c>
      <c r="GZ98" s="76">
        <v>1</v>
      </c>
      <c r="HA98" s="76">
        <v>4023</v>
      </c>
      <c r="HB98" s="76">
        <v>0</v>
      </c>
      <c r="HC98" s="76">
        <v>4024</v>
      </c>
      <c r="HD98" s="76">
        <v>0</v>
      </c>
      <c r="HE98" s="76">
        <v>0</v>
      </c>
      <c r="HF98" s="76">
        <v>0</v>
      </c>
      <c r="HG98" s="76">
        <v>3347</v>
      </c>
      <c r="HH98" s="76">
        <v>0</v>
      </c>
      <c r="HI98" s="76">
        <v>138</v>
      </c>
      <c r="HJ98" s="76">
        <v>0</v>
      </c>
      <c r="HK98" s="76">
        <v>363</v>
      </c>
      <c r="HL98" s="76">
        <v>-49</v>
      </c>
      <c r="HM98" s="76">
        <v>3799</v>
      </c>
      <c r="HN98" s="76">
        <v>2914</v>
      </c>
      <c r="HO98" s="76">
        <v>3094</v>
      </c>
      <c r="HP98" s="76">
        <v>80</v>
      </c>
      <c r="HQ98" s="76">
        <v>9</v>
      </c>
      <c r="HR98" s="76">
        <v>-13</v>
      </c>
      <c r="HS98" s="76">
        <v>-19</v>
      </c>
      <c r="HT98" s="76">
        <v>4517</v>
      </c>
      <c r="HU98" s="76">
        <v>0</v>
      </c>
      <c r="HV98" s="76">
        <v>0</v>
      </c>
      <c r="HW98" s="76">
        <v>0</v>
      </c>
      <c r="HX98" s="76">
        <v>0</v>
      </c>
    </row>
    <row r="99" spans="1:232" x14ac:dyDescent="0.2">
      <c r="A99" s="74" t="s">
        <v>376</v>
      </c>
      <c r="B99" s="74" t="s">
        <v>377</v>
      </c>
      <c r="C99" s="75" t="s">
        <v>200</v>
      </c>
      <c r="D99" s="75">
        <v>12</v>
      </c>
      <c r="E99" s="76">
        <v>10971</v>
      </c>
      <c r="F99" s="76">
        <v>-158</v>
      </c>
      <c r="G99" s="76">
        <v>-7216</v>
      </c>
      <c r="H99" s="76">
        <v>3597</v>
      </c>
      <c r="I99" s="76">
        <v>174</v>
      </c>
      <c r="J99" s="76">
        <v>-1000</v>
      </c>
      <c r="K99" s="76">
        <v>0</v>
      </c>
      <c r="L99" s="76">
        <v>0</v>
      </c>
      <c r="M99" s="76">
        <v>4</v>
      </c>
      <c r="N99" s="76">
        <v>-1870</v>
      </c>
      <c r="O99" s="76">
        <v>2431</v>
      </c>
      <c r="P99" s="76">
        <v>0</v>
      </c>
      <c r="Q99" s="76">
        <v>0</v>
      </c>
      <c r="R99" s="76">
        <v>0</v>
      </c>
      <c r="S99" s="76">
        <v>3336</v>
      </c>
      <c r="T99" s="76">
        <v>-555</v>
      </c>
      <c r="U99" s="76">
        <v>2781</v>
      </c>
      <c r="V99" s="76">
        <v>0</v>
      </c>
      <c r="W99" s="76">
        <v>0</v>
      </c>
      <c r="X99" s="76">
        <v>0</v>
      </c>
      <c r="Y99" s="76">
        <v>0</v>
      </c>
      <c r="Z99" s="76">
        <v>2781</v>
      </c>
      <c r="AA99" s="76">
        <v>7491</v>
      </c>
      <c r="AB99" s="76">
        <v>673</v>
      </c>
      <c r="AC99" s="76">
        <v>8164</v>
      </c>
      <c r="AD99" s="76">
        <v>0</v>
      </c>
      <c r="AE99" s="76">
        <v>0</v>
      </c>
      <c r="AF99" s="76">
        <v>0</v>
      </c>
      <c r="AG99" s="76">
        <v>383</v>
      </c>
      <c r="AH99" s="76">
        <v>8547</v>
      </c>
      <c r="AI99" s="76">
        <v>3166</v>
      </c>
      <c r="AJ99" s="76">
        <v>1050</v>
      </c>
      <c r="AK99" s="76">
        <v>880</v>
      </c>
      <c r="AL99" s="76">
        <v>269</v>
      </c>
      <c r="AM99" s="76">
        <v>154</v>
      </c>
      <c r="AN99" s="76">
        <v>77</v>
      </c>
      <c r="AO99" s="76">
        <v>607</v>
      </c>
      <c r="AP99" s="76">
        <v>0</v>
      </c>
      <c r="AQ99" s="76">
        <v>22</v>
      </c>
      <c r="AR99" s="76">
        <v>6225</v>
      </c>
      <c r="AS99" s="76">
        <v>2322</v>
      </c>
      <c r="AT99" s="76">
        <v>269</v>
      </c>
      <c r="AU99" s="76">
        <v>48912</v>
      </c>
      <c r="AV99" s="76">
        <v>0</v>
      </c>
      <c r="AW99" s="76">
        <v>57</v>
      </c>
      <c r="AX99" s="76">
        <v>0</v>
      </c>
      <c r="AY99" s="76">
        <v>0</v>
      </c>
      <c r="AZ99" s="76">
        <v>12308</v>
      </c>
      <c r="BA99" s="76">
        <v>0</v>
      </c>
      <c r="BB99" s="76">
        <v>0</v>
      </c>
      <c r="BC99" s="76">
        <v>0</v>
      </c>
      <c r="BD99" s="76">
        <v>0</v>
      </c>
      <c r="BE99" s="76">
        <v>61277</v>
      </c>
      <c r="BF99" s="76">
        <v>0</v>
      </c>
      <c r="BG99" s="76">
        <v>230</v>
      </c>
      <c r="BH99" s="76">
        <v>799</v>
      </c>
      <c r="BI99" s="76">
        <v>0</v>
      </c>
      <c r="BJ99" s="76">
        <v>675</v>
      </c>
      <c r="BK99" s="76">
        <v>1704</v>
      </c>
      <c r="BL99" s="76">
        <v>1693</v>
      </c>
      <c r="BM99" s="76">
        <v>0</v>
      </c>
      <c r="BN99" s="76">
        <v>0</v>
      </c>
      <c r="BO99" s="76">
        <v>2278</v>
      </c>
      <c r="BP99" s="76">
        <v>3971</v>
      </c>
      <c r="BQ99" s="76">
        <v>-2267</v>
      </c>
      <c r="BR99" s="76">
        <v>59010</v>
      </c>
      <c r="BS99" s="76">
        <v>42442</v>
      </c>
      <c r="BT99" s="76">
        <v>0</v>
      </c>
      <c r="BU99" s="76">
        <v>0</v>
      </c>
      <c r="BV99" s="76">
        <v>0</v>
      </c>
      <c r="BW99" s="76">
        <v>0</v>
      </c>
      <c r="BX99" s="76">
        <v>0</v>
      </c>
      <c r="BY99" s="76">
        <v>0</v>
      </c>
      <c r="BZ99" s="76">
        <v>42442</v>
      </c>
      <c r="CA99" s="76">
        <v>0</v>
      </c>
      <c r="CB99" s="76">
        <v>1015</v>
      </c>
      <c r="CC99" s="76">
        <v>15553</v>
      </c>
      <c r="CD99" s="76">
        <v>11955</v>
      </c>
      <c r="CE99" s="76">
        <v>3598</v>
      </c>
      <c r="CF99" s="76">
        <v>0</v>
      </c>
      <c r="CG99" s="76">
        <v>0</v>
      </c>
      <c r="CH99" s="76">
        <v>0</v>
      </c>
      <c r="CI99" s="76">
        <v>15553</v>
      </c>
      <c r="CJ99" s="76">
        <v>170</v>
      </c>
      <c r="CK99" s="76">
        <v>158</v>
      </c>
      <c r="CL99" s="76">
        <v>0</v>
      </c>
      <c r="CM99" s="76">
        <v>12</v>
      </c>
      <c r="CN99" s="76">
        <v>0</v>
      </c>
      <c r="CO99" s="76">
        <v>0</v>
      </c>
      <c r="CP99" s="76">
        <v>0</v>
      </c>
      <c r="CQ99" s="76">
        <v>0</v>
      </c>
      <c r="CR99" s="76">
        <v>0</v>
      </c>
      <c r="CS99" s="76">
        <v>0</v>
      </c>
      <c r="CT99" s="76">
        <v>0</v>
      </c>
      <c r="CU99" s="76">
        <v>0</v>
      </c>
      <c r="CV99" s="76">
        <v>0</v>
      </c>
      <c r="CW99" s="76">
        <v>0</v>
      </c>
      <c r="CX99" s="76">
        <v>0</v>
      </c>
      <c r="CY99" s="76">
        <v>0</v>
      </c>
      <c r="CZ99" s="76">
        <v>0</v>
      </c>
      <c r="DA99" s="76">
        <v>0</v>
      </c>
      <c r="DB99" s="76">
        <v>51</v>
      </c>
      <c r="DC99" s="76">
        <v>-51</v>
      </c>
      <c r="DD99" s="76">
        <v>170</v>
      </c>
      <c r="DE99" s="76">
        <v>158</v>
      </c>
      <c r="DF99" s="76">
        <v>51</v>
      </c>
      <c r="DG99" s="76">
        <v>-39</v>
      </c>
      <c r="DH99" s="76">
        <v>0</v>
      </c>
      <c r="DI99" s="76">
        <v>0</v>
      </c>
      <c r="DJ99" s="76">
        <v>0</v>
      </c>
      <c r="DK99" s="76">
        <v>0</v>
      </c>
      <c r="DL99" s="76">
        <v>0</v>
      </c>
      <c r="DM99" s="76">
        <v>0</v>
      </c>
      <c r="DN99" s="76">
        <v>0</v>
      </c>
      <c r="DO99" s="76">
        <v>0</v>
      </c>
      <c r="DP99" s="76">
        <v>0</v>
      </c>
      <c r="DQ99" s="76">
        <v>0</v>
      </c>
      <c r="DR99" s="76">
        <v>0</v>
      </c>
      <c r="DS99" s="76">
        <v>0</v>
      </c>
      <c r="DT99" s="76">
        <v>1003</v>
      </c>
      <c r="DU99" s="76">
        <v>0</v>
      </c>
      <c r="DV99" s="76">
        <v>561</v>
      </c>
      <c r="DW99" s="76">
        <v>442</v>
      </c>
      <c r="DX99" s="76">
        <v>0</v>
      </c>
      <c r="DY99" s="76">
        <v>0</v>
      </c>
      <c r="DZ99" s="76">
        <v>0</v>
      </c>
      <c r="EA99" s="76">
        <v>0</v>
      </c>
      <c r="EB99" s="76">
        <v>1251</v>
      </c>
      <c r="EC99" s="76">
        <v>0</v>
      </c>
      <c r="ED99" s="76">
        <v>379</v>
      </c>
      <c r="EE99" s="76">
        <v>872</v>
      </c>
      <c r="EF99" s="76">
        <v>2254</v>
      </c>
      <c r="EG99" s="76">
        <v>0</v>
      </c>
      <c r="EH99" s="76">
        <v>940</v>
      </c>
      <c r="EI99" s="76">
        <v>1314</v>
      </c>
      <c r="EJ99" s="76">
        <v>2424</v>
      </c>
      <c r="EK99" s="76">
        <v>158</v>
      </c>
      <c r="EL99" s="76">
        <v>991</v>
      </c>
      <c r="EM99" s="76">
        <v>1275</v>
      </c>
      <c r="EN99" s="76">
        <v>294</v>
      </c>
      <c r="EO99" s="76">
        <v>116</v>
      </c>
      <c r="EP99" s="76">
        <v>64</v>
      </c>
      <c r="EQ99" s="76">
        <v>116</v>
      </c>
      <c r="ER99" s="76">
        <v>57169</v>
      </c>
      <c r="ES99" s="76">
        <v>0</v>
      </c>
      <c r="ET99" s="76">
        <v>57169</v>
      </c>
      <c r="EU99" s="76">
        <v>1036</v>
      </c>
      <c r="EV99" s="76">
        <v>-846</v>
      </c>
      <c r="EW99" s="76">
        <v>0</v>
      </c>
      <c r="EX99" s="76">
        <v>0</v>
      </c>
      <c r="EY99" s="76">
        <v>-153</v>
      </c>
      <c r="EZ99" s="76">
        <v>57206</v>
      </c>
      <c r="FA99" s="76">
        <v>7701</v>
      </c>
      <c r="FB99" s="76">
        <v>631</v>
      </c>
      <c r="FC99" s="76">
        <v>0</v>
      </c>
      <c r="FD99" s="76">
        <v>0</v>
      </c>
      <c r="FE99" s="76">
        <v>-31</v>
      </c>
      <c r="FF99" s="76">
        <v>0</v>
      </c>
      <c r="FG99" s="76">
        <v>-7</v>
      </c>
      <c r="FH99" s="76">
        <v>8294</v>
      </c>
      <c r="FI99" s="76">
        <v>48912</v>
      </c>
      <c r="FJ99" s="76">
        <v>49468</v>
      </c>
      <c r="FK99" s="76">
        <v>309</v>
      </c>
      <c r="FL99" s="76">
        <v>209</v>
      </c>
      <c r="FM99" s="76">
        <v>100</v>
      </c>
      <c r="FN99" s="76">
        <v>31</v>
      </c>
      <c r="FO99" s="76">
        <v>10</v>
      </c>
      <c r="FP99" s="76">
        <v>21</v>
      </c>
      <c r="FQ99" s="76">
        <v>0</v>
      </c>
      <c r="FR99" s="76">
        <v>0</v>
      </c>
      <c r="FS99" s="76">
        <v>0</v>
      </c>
      <c r="FT99" s="76">
        <v>131</v>
      </c>
      <c r="FU99" s="76">
        <v>78</v>
      </c>
      <c r="FV99" s="76">
        <v>53</v>
      </c>
      <c r="FW99" s="76">
        <v>0</v>
      </c>
      <c r="FX99" s="76">
        <v>0</v>
      </c>
      <c r="FY99" s="76">
        <v>0</v>
      </c>
      <c r="FZ99" s="76">
        <v>0</v>
      </c>
      <c r="GA99" s="76">
        <v>0</v>
      </c>
      <c r="GB99" s="76">
        <v>0</v>
      </c>
      <c r="GC99" s="76">
        <v>471</v>
      </c>
      <c r="GD99" s="76">
        <v>297</v>
      </c>
      <c r="GE99" s="76">
        <v>174</v>
      </c>
      <c r="GF99" s="76">
        <v>67</v>
      </c>
      <c r="GG99" s="76">
        <v>0</v>
      </c>
      <c r="GH99" s="76">
        <v>0</v>
      </c>
      <c r="GI99" s="76">
        <v>0</v>
      </c>
      <c r="GJ99" s="76">
        <v>0</v>
      </c>
      <c r="GK99" s="76">
        <v>608</v>
      </c>
      <c r="GL99" s="76">
        <v>675</v>
      </c>
      <c r="GM99" s="76">
        <v>293</v>
      </c>
      <c r="GN99" s="76">
        <v>553</v>
      </c>
      <c r="GO99" s="76">
        <v>194</v>
      </c>
      <c r="GP99" s="76">
        <v>0</v>
      </c>
      <c r="GQ99" s="76">
        <v>0</v>
      </c>
      <c r="GR99" s="76">
        <v>1007</v>
      </c>
      <c r="GS99" s="76">
        <v>0</v>
      </c>
      <c r="GT99" s="76">
        <v>0</v>
      </c>
      <c r="GU99" s="76">
        <v>0</v>
      </c>
      <c r="GV99" s="76">
        <v>0</v>
      </c>
      <c r="GW99" s="76">
        <v>231</v>
      </c>
      <c r="GX99" s="76">
        <v>2278</v>
      </c>
      <c r="GY99" s="76">
        <v>0</v>
      </c>
      <c r="GZ99" s="76">
        <v>0</v>
      </c>
      <c r="HA99" s="76">
        <v>0</v>
      </c>
      <c r="HB99" s="76">
        <v>0</v>
      </c>
      <c r="HC99" s="76">
        <v>0</v>
      </c>
      <c r="HD99" s="76">
        <v>0</v>
      </c>
      <c r="HE99" s="76">
        <v>1015</v>
      </c>
      <c r="HF99" s="76">
        <v>1015</v>
      </c>
      <c r="HG99" s="76">
        <v>1870</v>
      </c>
      <c r="HH99" s="76">
        <v>0</v>
      </c>
      <c r="HI99" s="76">
        <v>0</v>
      </c>
      <c r="HJ99" s="76">
        <v>0</v>
      </c>
      <c r="HK99" s="76">
        <v>0</v>
      </c>
      <c r="HL99" s="76">
        <v>0</v>
      </c>
      <c r="HM99" s="76">
        <v>1870</v>
      </c>
      <c r="HN99" s="76">
        <v>1036</v>
      </c>
      <c r="HO99" s="76">
        <v>657</v>
      </c>
      <c r="HP99" s="76">
        <v>0</v>
      </c>
      <c r="HQ99" s="76">
        <v>0</v>
      </c>
      <c r="HR99" s="76">
        <v>-4</v>
      </c>
      <c r="HS99" s="76">
        <v>-30</v>
      </c>
      <c r="HT99" s="76">
        <v>2095</v>
      </c>
      <c r="HU99" s="76">
        <v>0</v>
      </c>
      <c r="HV99" s="76">
        <v>0</v>
      </c>
      <c r="HW99" s="76">
        <v>7</v>
      </c>
      <c r="HX99" s="76">
        <v>157</v>
      </c>
    </row>
    <row r="100" spans="1:232" x14ac:dyDescent="0.2">
      <c r="A100" s="74" t="s">
        <v>378</v>
      </c>
      <c r="B100" s="74" t="s">
        <v>379</v>
      </c>
      <c r="C100" s="75" t="s">
        <v>200</v>
      </c>
      <c r="D100" s="75">
        <v>12</v>
      </c>
      <c r="E100" s="76">
        <v>29541</v>
      </c>
      <c r="F100" s="76">
        <v>-48</v>
      </c>
      <c r="G100" s="76">
        <v>-20100</v>
      </c>
      <c r="H100" s="76">
        <v>9393</v>
      </c>
      <c r="I100" s="76">
        <v>297</v>
      </c>
      <c r="J100" s="76">
        <v>42</v>
      </c>
      <c r="K100" s="76">
        <v>-224</v>
      </c>
      <c r="L100" s="76">
        <v>0</v>
      </c>
      <c r="M100" s="76">
        <v>37</v>
      </c>
      <c r="N100" s="76">
        <v>-4050</v>
      </c>
      <c r="O100" s="76">
        <v>831</v>
      </c>
      <c r="P100" s="76">
        <v>0</v>
      </c>
      <c r="Q100" s="76">
        <v>0</v>
      </c>
      <c r="R100" s="76">
        <v>0</v>
      </c>
      <c r="S100" s="76">
        <v>6326</v>
      </c>
      <c r="T100" s="76">
        <v>0</v>
      </c>
      <c r="U100" s="76">
        <v>6326</v>
      </c>
      <c r="V100" s="76">
        <v>0</v>
      </c>
      <c r="W100" s="76">
        <v>-2217</v>
      </c>
      <c r="X100" s="76">
        <v>0</v>
      </c>
      <c r="Y100" s="76">
        <v>0</v>
      </c>
      <c r="Z100" s="76">
        <v>4109</v>
      </c>
      <c r="AA100" s="76">
        <v>25794</v>
      </c>
      <c r="AB100" s="76">
        <v>624</v>
      </c>
      <c r="AC100" s="76">
        <v>26418</v>
      </c>
      <c r="AD100" s="76">
        <v>0</v>
      </c>
      <c r="AE100" s="76">
        <v>487</v>
      </c>
      <c r="AF100" s="76">
        <v>0</v>
      </c>
      <c r="AG100" s="76">
        <v>583</v>
      </c>
      <c r="AH100" s="76">
        <v>27488</v>
      </c>
      <c r="AI100" s="76">
        <v>7281</v>
      </c>
      <c r="AJ100" s="76">
        <v>499</v>
      </c>
      <c r="AK100" s="76">
        <v>2659</v>
      </c>
      <c r="AL100" s="76">
        <v>2626</v>
      </c>
      <c r="AM100" s="76">
        <v>1023</v>
      </c>
      <c r="AN100" s="76">
        <v>184</v>
      </c>
      <c r="AO100" s="76">
        <v>3370</v>
      </c>
      <c r="AP100" s="76">
        <v>0</v>
      </c>
      <c r="AQ100" s="76">
        <v>1528</v>
      </c>
      <c r="AR100" s="76">
        <v>19170</v>
      </c>
      <c r="AS100" s="76">
        <v>8318</v>
      </c>
      <c r="AT100" s="76">
        <v>225</v>
      </c>
      <c r="AU100" s="76">
        <v>113371</v>
      </c>
      <c r="AV100" s="76">
        <v>0</v>
      </c>
      <c r="AW100" s="76">
        <v>613</v>
      </c>
      <c r="AX100" s="76">
        <v>0</v>
      </c>
      <c r="AY100" s="76">
        <v>0</v>
      </c>
      <c r="AZ100" s="76">
        <v>12579</v>
      </c>
      <c r="BA100" s="76">
        <v>0</v>
      </c>
      <c r="BB100" s="76">
        <v>0</v>
      </c>
      <c r="BC100" s="76">
        <v>0</v>
      </c>
      <c r="BD100" s="76">
        <v>0</v>
      </c>
      <c r="BE100" s="76">
        <v>126563</v>
      </c>
      <c r="BF100" s="76">
        <v>445</v>
      </c>
      <c r="BG100" s="76">
        <v>125</v>
      </c>
      <c r="BH100" s="76">
        <v>3012</v>
      </c>
      <c r="BI100" s="76">
        <v>0</v>
      </c>
      <c r="BJ100" s="76">
        <v>4548</v>
      </c>
      <c r="BK100" s="76">
        <v>8130</v>
      </c>
      <c r="BL100" s="76">
        <v>0</v>
      </c>
      <c r="BM100" s="76">
        <v>0</v>
      </c>
      <c r="BN100" s="76">
        <v>487</v>
      </c>
      <c r="BO100" s="76">
        <v>5311</v>
      </c>
      <c r="BP100" s="76">
        <v>5798</v>
      </c>
      <c r="BQ100" s="76">
        <v>2332</v>
      </c>
      <c r="BR100" s="76">
        <v>128895</v>
      </c>
      <c r="BS100" s="76">
        <v>93175</v>
      </c>
      <c r="BT100" s="76">
        <v>0</v>
      </c>
      <c r="BU100" s="76">
        <v>0</v>
      </c>
      <c r="BV100" s="76">
        <v>15761</v>
      </c>
      <c r="BW100" s="76">
        <v>0</v>
      </c>
      <c r="BX100" s="76">
        <v>0</v>
      </c>
      <c r="BY100" s="76">
        <v>553</v>
      </c>
      <c r="BZ100" s="76">
        <v>109489</v>
      </c>
      <c r="CA100" s="76">
        <v>9129</v>
      </c>
      <c r="CB100" s="76">
        <v>0</v>
      </c>
      <c r="CC100" s="76">
        <v>10277</v>
      </c>
      <c r="CD100" s="76">
        <v>10277</v>
      </c>
      <c r="CE100" s="76">
        <v>0</v>
      </c>
      <c r="CF100" s="76">
        <v>0</v>
      </c>
      <c r="CG100" s="76">
        <v>0</v>
      </c>
      <c r="CH100" s="76">
        <v>0</v>
      </c>
      <c r="CI100" s="76">
        <v>10277</v>
      </c>
      <c r="CJ100" s="76">
        <v>92</v>
      </c>
      <c r="CK100" s="76">
        <v>48</v>
      </c>
      <c r="CL100" s="76">
        <v>0</v>
      </c>
      <c r="CM100" s="76">
        <v>44</v>
      </c>
      <c r="CN100" s="76">
        <v>0</v>
      </c>
      <c r="CO100" s="76">
        <v>0</v>
      </c>
      <c r="CP100" s="76">
        <v>0</v>
      </c>
      <c r="CQ100" s="76">
        <v>0</v>
      </c>
      <c r="CR100" s="76">
        <v>0</v>
      </c>
      <c r="CS100" s="76">
        <v>0</v>
      </c>
      <c r="CT100" s="76">
        <v>0</v>
      </c>
      <c r="CU100" s="76">
        <v>0</v>
      </c>
      <c r="CV100" s="76">
        <v>0</v>
      </c>
      <c r="CW100" s="76">
        <v>0</v>
      </c>
      <c r="CX100" s="76">
        <v>0</v>
      </c>
      <c r="CY100" s="76">
        <v>0</v>
      </c>
      <c r="CZ100" s="76">
        <v>1157</v>
      </c>
      <c r="DA100" s="76">
        <v>0</v>
      </c>
      <c r="DB100" s="76">
        <v>785</v>
      </c>
      <c r="DC100" s="76">
        <v>372</v>
      </c>
      <c r="DD100" s="76">
        <v>1249</v>
      </c>
      <c r="DE100" s="76">
        <v>48</v>
      </c>
      <c r="DF100" s="76">
        <v>785</v>
      </c>
      <c r="DG100" s="76">
        <v>416</v>
      </c>
      <c r="DH100" s="76">
        <v>0</v>
      </c>
      <c r="DI100" s="76">
        <v>0</v>
      </c>
      <c r="DJ100" s="76">
        <v>0</v>
      </c>
      <c r="DK100" s="76">
        <v>0</v>
      </c>
      <c r="DL100" s="76">
        <v>0</v>
      </c>
      <c r="DM100" s="76">
        <v>0</v>
      </c>
      <c r="DN100" s="76">
        <v>0</v>
      </c>
      <c r="DO100" s="76">
        <v>0</v>
      </c>
      <c r="DP100" s="76">
        <v>0</v>
      </c>
      <c r="DQ100" s="76">
        <v>0</v>
      </c>
      <c r="DR100" s="76">
        <v>0</v>
      </c>
      <c r="DS100" s="76">
        <v>0</v>
      </c>
      <c r="DT100" s="76">
        <v>519</v>
      </c>
      <c r="DU100" s="76">
        <v>0</v>
      </c>
      <c r="DV100" s="76">
        <v>68</v>
      </c>
      <c r="DW100" s="76">
        <v>451</v>
      </c>
      <c r="DX100" s="76">
        <v>0</v>
      </c>
      <c r="DY100" s="76">
        <v>0</v>
      </c>
      <c r="DZ100" s="76">
        <v>0</v>
      </c>
      <c r="EA100" s="76">
        <v>0</v>
      </c>
      <c r="EB100" s="76">
        <v>285</v>
      </c>
      <c r="EC100" s="76">
        <v>0</v>
      </c>
      <c r="ED100" s="76">
        <v>77</v>
      </c>
      <c r="EE100" s="76">
        <v>208</v>
      </c>
      <c r="EF100" s="76">
        <v>804</v>
      </c>
      <c r="EG100" s="76">
        <v>0</v>
      </c>
      <c r="EH100" s="76">
        <v>145</v>
      </c>
      <c r="EI100" s="76">
        <v>659</v>
      </c>
      <c r="EJ100" s="76">
        <v>2053</v>
      </c>
      <c r="EK100" s="76">
        <v>48</v>
      </c>
      <c r="EL100" s="76">
        <v>930</v>
      </c>
      <c r="EM100" s="76">
        <v>1075</v>
      </c>
      <c r="EN100" s="76">
        <v>220</v>
      </c>
      <c r="EO100" s="76">
        <v>0</v>
      </c>
      <c r="EP100" s="76">
        <v>0</v>
      </c>
      <c r="EQ100" s="76">
        <v>0</v>
      </c>
      <c r="ER100" s="76">
        <v>122965</v>
      </c>
      <c r="ES100" s="76">
        <v>0</v>
      </c>
      <c r="ET100" s="76">
        <v>122965</v>
      </c>
      <c r="EU100" s="76">
        <v>19278</v>
      </c>
      <c r="EV100" s="76">
        <v>-1098</v>
      </c>
      <c r="EW100" s="76">
        <v>0</v>
      </c>
      <c r="EX100" s="76">
        <v>0</v>
      </c>
      <c r="EY100" s="76">
        <v>0</v>
      </c>
      <c r="EZ100" s="76">
        <v>141145</v>
      </c>
      <c r="FA100" s="76">
        <v>25151</v>
      </c>
      <c r="FB100" s="76">
        <v>2920</v>
      </c>
      <c r="FC100" s="76">
        <v>0</v>
      </c>
      <c r="FD100" s="76">
        <v>0</v>
      </c>
      <c r="FE100" s="76">
        <v>-297</v>
      </c>
      <c r="FF100" s="76">
        <v>0</v>
      </c>
      <c r="FG100" s="76">
        <v>0</v>
      </c>
      <c r="FH100" s="76">
        <v>27774</v>
      </c>
      <c r="FI100" s="76">
        <v>113371</v>
      </c>
      <c r="FJ100" s="76">
        <v>97814</v>
      </c>
      <c r="FK100" s="76">
        <v>0</v>
      </c>
      <c r="FL100" s="76">
        <v>0</v>
      </c>
      <c r="FM100" s="76">
        <v>0</v>
      </c>
      <c r="FN100" s="76">
        <v>437</v>
      </c>
      <c r="FO100" s="76">
        <v>177</v>
      </c>
      <c r="FP100" s="76">
        <v>260</v>
      </c>
      <c r="FQ100" s="76">
        <v>116</v>
      </c>
      <c r="FR100" s="76">
        <v>101</v>
      </c>
      <c r="FS100" s="76">
        <v>15</v>
      </c>
      <c r="FT100" s="76">
        <v>0</v>
      </c>
      <c r="FU100" s="76">
        <v>0</v>
      </c>
      <c r="FV100" s="76">
        <v>0</v>
      </c>
      <c r="FW100" s="76">
        <v>0</v>
      </c>
      <c r="FX100" s="76">
        <v>0</v>
      </c>
      <c r="FY100" s="76">
        <v>0</v>
      </c>
      <c r="FZ100" s="76">
        <v>22</v>
      </c>
      <c r="GA100" s="76">
        <v>0</v>
      </c>
      <c r="GB100" s="76">
        <v>22</v>
      </c>
      <c r="GC100" s="76">
        <v>575</v>
      </c>
      <c r="GD100" s="76">
        <v>278</v>
      </c>
      <c r="GE100" s="76">
        <v>297</v>
      </c>
      <c r="GF100" s="76">
        <v>3703</v>
      </c>
      <c r="GG100" s="76">
        <v>0</v>
      </c>
      <c r="GH100" s="76">
        <v>0</v>
      </c>
      <c r="GI100" s="76">
        <v>0</v>
      </c>
      <c r="GJ100" s="76">
        <v>0</v>
      </c>
      <c r="GK100" s="76">
        <v>845</v>
      </c>
      <c r="GL100" s="76">
        <v>4548</v>
      </c>
      <c r="GM100" s="76">
        <v>333</v>
      </c>
      <c r="GN100" s="76">
        <v>453</v>
      </c>
      <c r="GO100" s="76">
        <v>404</v>
      </c>
      <c r="GP100" s="76">
        <v>0</v>
      </c>
      <c r="GQ100" s="76">
        <v>0</v>
      </c>
      <c r="GR100" s="76">
        <v>2950</v>
      </c>
      <c r="GS100" s="76">
        <v>0</v>
      </c>
      <c r="GT100" s="76">
        <v>0</v>
      </c>
      <c r="GU100" s="76">
        <v>0</v>
      </c>
      <c r="GV100" s="76">
        <v>0</v>
      </c>
      <c r="GW100" s="76">
        <v>1171</v>
      </c>
      <c r="GX100" s="76">
        <v>5311</v>
      </c>
      <c r="GY100" s="76">
        <v>0</v>
      </c>
      <c r="GZ100" s="76">
        <v>553</v>
      </c>
      <c r="HA100" s="76">
        <v>0</v>
      </c>
      <c r="HB100" s="76">
        <v>0</v>
      </c>
      <c r="HC100" s="76">
        <v>553</v>
      </c>
      <c r="HD100" s="76">
        <v>0</v>
      </c>
      <c r="HE100" s="76">
        <v>0</v>
      </c>
      <c r="HF100" s="76">
        <v>0</v>
      </c>
      <c r="HG100" s="76">
        <v>4050</v>
      </c>
      <c r="HH100" s="76">
        <v>0</v>
      </c>
      <c r="HI100" s="76">
        <v>0</v>
      </c>
      <c r="HJ100" s="76">
        <v>0</v>
      </c>
      <c r="HK100" s="76">
        <v>0</v>
      </c>
      <c r="HL100" s="76">
        <v>0</v>
      </c>
      <c r="HM100" s="76">
        <v>4050</v>
      </c>
      <c r="HN100" s="76">
        <v>1274</v>
      </c>
      <c r="HO100" s="76">
        <v>3370</v>
      </c>
      <c r="HP100" s="76">
        <v>0</v>
      </c>
      <c r="HQ100" s="76">
        <v>39</v>
      </c>
      <c r="HR100" s="76">
        <v>-23</v>
      </c>
      <c r="HS100" s="76">
        <v>0</v>
      </c>
      <c r="HT100" s="76">
        <v>5756</v>
      </c>
      <c r="HU100" s="76">
        <v>53</v>
      </c>
      <c r="HV100" s="76">
        <v>0</v>
      </c>
      <c r="HW100" s="76">
        <v>0</v>
      </c>
      <c r="HX100" s="76">
        <v>99</v>
      </c>
    </row>
    <row r="101" spans="1:232" x14ac:dyDescent="0.2">
      <c r="A101" s="74" t="s">
        <v>380</v>
      </c>
      <c r="B101" s="74" t="s">
        <v>381</v>
      </c>
      <c r="C101" s="75" t="s">
        <v>200</v>
      </c>
      <c r="D101" s="75">
        <v>12</v>
      </c>
      <c r="E101" s="76">
        <v>16248</v>
      </c>
      <c r="F101" s="76">
        <v>-365</v>
      </c>
      <c r="G101" s="76">
        <v>-10763</v>
      </c>
      <c r="H101" s="76">
        <v>5120</v>
      </c>
      <c r="I101" s="76">
        <v>1420</v>
      </c>
      <c r="J101" s="76">
        <v>28</v>
      </c>
      <c r="K101" s="76">
        <v>0</v>
      </c>
      <c r="L101" s="76">
        <v>0</v>
      </c>
      <c r="M101" s="76">
        <v>5</v>
      </c>
      <c r="N101" s="76">
        <v>-1608</v>
      </c>
      <c r="O101" s="76">
        <v>0</v>
      </c>
      <c r="P101" s="76">
        <v>0</v>
      </c>
      <c r="Q101" s="76">
        <v>0</v>
      </c>
      <c r="R101" s="76">
        <v>0</v>
      </c>
      <c r="S101" s="76">
        <v>4965</v>
      </c>
      <c r="T101" s="76">
        <v>0</v>
      </c>
      <c r="U101" s="76">
        <v>4965</v>
      </c>
      <c r="V101" s="76">
        <v>0</v>
      </c>
      <c r="W101" s="76">
        <v>-671</v>
      </c>
      <c r="X101" s="76">
        <v>0</v>
      </c>
      <c r="Y101" s="76">
        <v>0</v>
      </c>
      <c r="Z101" s="76">
        <v>4294</v>
      </c>
      <c r="AA101" s="76">
        <v>14831</v>
      </c>
      <c r="AB101" s="76">
        <v>389</v>
      </c>
      <c r="AC101" s="76">
        <v>15220</v>
      </c>
      <c r="AD101" s="76">
        <v>19</v>
      </c>
      <c r="AE101" s="76">
        <v>0</v>
      </c>
      <c r="AF101" s="76">
        <v>0</v>
      </c>
      <c r="AG101" s="76">
        <v>222</v>
      </c>
      <c r="AH101" s="76">
        <v>15461</v>
      </c>
      <c r="AI101" s="76">
        <v>4061</v>
      </c>
      <c r="AJ101" s="76">
        <v>507</v>
      </c>
      <c r="AK101" s="76">
        <v>1766</v>
      </c>
      <c r="AL101" s="76">
        <v>970</v>
      </c>
      <c r="AM101" s="76">
        <v>1020</v>
      </c>
      <c r="AN101" s="76">
        <v>116</v>
      </c>
      <c r="AO101" s="76">
        <v>1593</v>
      </c>
      <c r="AP101" s="76">
        <v>0</v>
      </c>
      <c r="AQ101" s="76">
        <v>658</v>
      </c>
      <c r="AR101" s="76">
        <v>10691</v>
      </c>
      <c r="AS101" s="76">
        <v>4770</v>
      </c>
      <c r="AT101" s="76">
        <v>113</v>
      </c>
      <c r="AU101" s="76">
        <v>38913</v>
      </c>
      <c r="AV101" s="76">
        <v>0</v>
      </c>
      <c r="AW101" s="76">
        <v>94</v>
      </c>
      <c r="AX101" s="76">
        <v>0</v>
      </c>
      <c r="AY101" s="76">
        <v>0</v>
      </c>
      <c r="AZ101" s="76">
        <v>0</v>
      </c>
      <c r="BA101" s="76">
        <v>0</v>
      </c>
      <c r="BB101" s="76">
        <v>0</v>
      </c>
      <c r="BC101" s="76">
        <v>0</v>
      </c>
      <c r="BD101" s="76">
        <v>0</v>
      </c>
      <c r="BE101" s="76">
        <v>39007</v>
      </c>
      <c r="BF101" s="76">
        <v>0</v>
      </c>
      <c r="BG101" s="76">
        <v>196</v>
      </c>
      <c r="BH101" s="76">
        <v>4195</v>
      </c>
      <c r="BI101" s="76">
        <v>0</v>
      </c>
      <c r="BJ101" s="76">
        <v>422</v>
      </c>
      <c r="BK101" s="76">
        <v>4813</v>
      </c>
      <c r="BL101" s="76">
        <v>0</v>
      </c>
      <c r="BM101" s="76">
        <v>0</v>
      </c>
      <c r="BN101" s="76">
        <v>19</v>
      </c>
      <c r="BO101" s="76">
        <v>3266</v>
      </c>
      <c r="BP101" s="76">
        <v>3285</v>
      </c>
      <c r="BQ101" s="76">
        <v>1528</v>
      </c>
      <c r="BR101" s="76">
        <v>40535</v>
      </c>
      <c r="BS101" s="76">
        <v>44288</v>
      </c>
      <c r="BT101" s="76">
        <v>0</v>
      </c>
      <c r="BU101" s="76">
        <v>0</v>
      </c>
      <c r="BV101" s="76">
        <v>817</v>
      </c>
      <c r="BW101" s="76">
        <v>0</v>
      </c>
      <c r="BX101" s="76">
        <v>0</v>
      </c>
      <c r="BY101" s="76">
        <v>6</v>
      </c>
      <c r="BZ101" s="76">
        <v>45111</v>
      </c>
      <c r="CA101" s="76">
        <v>3248</v>
      </c>
      <c r="CB101" s="76">
        <v>0</v>
      </c>
      <c r="CC101" s="76">
        <v>-7824</v>
      </c>
      <c r="CD101" s="76">
        <v>-7824</v>
      </c>
      <c r="CE101" s="76">
        <v>0</v>
      </c>
      <c r="CF101" s="76">
        <v>0</v>
      </c>
      <c r="CG101" s="76">
        <v>0</v>
      </c>
      <c r="CH101" s="76">
        <v>0</v>
      </c>
      <c r="CI101" s="76">
        <v>-7824</v>
      </c>
      <c r="CJ101" s="76">
        <v>518</v>
      </c>
      <c r="CK101" s="76">
        <v>365</v>
      </c>
      <c r="CL101" s="76">
        <v>0</v>
      </c>
      <c r="CM101" s="76">
        <v>153</v>
      </c>
      <c r="CN101" s="76">
        <v>0</v>
      </c>
      <c r="CO101" s="76">
        <v>0</v>
      </c>
      <c r="CP101" s="76">
        <v>0</v>
      </c>
      <c r="CQ101" s="76">
        <v>0</v>
      </c>
      <c r="CR101" s="76">
        <v>0</v>
      </c>
      <c r="CS101" s="76">
        <v>0</v>
      </c>
      <c r="CT101" s="76">
        <v>0</v>
      </c>
      <c r="CU101" s="76">
        <v>0</v>
      </c>
      <c r="CV101" s="76">
        <v>0</v>
      </c>
      <c r="CW101" s="76">
        <v>0</v>
      </c>
      <c r="CX101" s="76">
        <v>0</v>
      </c>
      <c r="CY101" s="76">
        <v>0</v>
      </c>
      <c r="CZ101" s="76">
        <v>88</v>
      </c>
      <c r="DA101" s="76">
        <v>0</v>
      </c>
      <c r="DB101" s="76">
        <v>23</v>
      </c>
      <c r="DC101" s="76">
        <v>65</v>
      </c>
      <c r="DD101" s="76">
        <v>606</v>
      </c>
      <c r="DE101" s="76">
        <v>365</v>
      </c>
      <c r="DF101" s="76">
        <v>23</v>
      </c>
      <c r="DG101" s="76">
        <v>218</v>
      </c>
      <c r="DH101" s="76">
        <v>0</v>
      </c>
      <c r="DI101" s="76">
        <v>0</v>
      </c>
      <c r="DJ101" s="76">
        <v>0</v>
      </c>
      <c r="DK101" s="76">
        <v>0</v>
      </c>
      <c r="DL101" s="76">
        <v>0</v>
      </c>
      <c r="DM101" s="76">
        <v>0</v>
      </c>
      <c r="DN101" s="76">
        <v>0</v>
      </c>
      <c r="DO101" s="76">
        <v>0</v>
      </c>
      <c r="DP101" s="76">
        <v>0</v>
      </c>
      <c r="DQ101" s="76">
        <v>0</v>
      </c>
      <c r="DR101" s="76">
        <v>0</v>
      </c>
      <c r="DS101" s="76">
        <v>0</v>
      </c>
      <c r="DT101" s="76">
        <v>0</v>
      </c>
      <c r="DU101" s="76">
        <v>0</v>
      </c>
      <c r="DV101" s="76">
        <v>0</v>
      </c>
      <c r="DW101" s="76">
        <v>0</v>
      </c>
      <c r="DX101" s="76">
        <v>0</v>
      </c>
      <c r="DY101" s="76">
        <v>0</v>
      </c>
      <c r="DZ101" s="76">
        <v>0</v>
      </c>
      <c r="EA101" s="76">
        <v>0</v>
      </c>
      <c r="EB101" s="76">
        <v>181</v>
      </c>
      <c r="EC101" s="76">
        <v>0</v>
      </c>
      <c r="ED101" s="76">
        <v>49</v>
      </c>
      <c r="EE101" s="76">
        <v>132</v>
      </c>
      <c r="EF101" s="76">
        <v>181</v>
      </c>
      <c r="EG101" s="76">
        <v>0</v>
      </c>
      <c r="EH101" s="76">
        <v>49</v>
      </c>
      <c r="EI101" s="76">
        <v>132</v>
      </c>
      <c r="EJ101" s="76">
        <v>787</v>
      </c>
      <c r="EK101" s="76">
        <v>365</v>
      </c>
      <c r="EL101" s="76">
        <v>72</v>
      </c>
      <c r="EM101" s="76">
        <v>350</v>
      </c>
      <c r="EN101" s="76">
        <v>266</v>
      </c>
      <c r="EO101" s="76">
        <v>0</v>
      </c>
      <c r="EP101" s="76">
        <v>70</v>
      </c>
      <c r="EQ101" s="76">
        <v>0</v>
      </c>
      <c r="ER101" s="76">
        <v>42433</v>
      </c>
      <c r="ES101" s="76">
        <v>0</v>
      </c>
      <c r="ET101" s="76">
        <v>42433</v>
      </c>
      <c r="EU101" s="76">
        <v>5485</v>
      </c>
      <c r="EV101" s="76">
        <v>-411</v>
      </c>
      <c r="EW101" s="76">
        <v>0</v>
      </c>
      <c r="EX101" s="76">
        <v>0</v>
      </c>
      <c r="EY101" s="76">
        <v>0</v>
      </c>
      <c r="EZ101" s="76">
        <v>47507</v>
      </c>
      <c r="FA101" s="76">
        <v>7217</v>
      </c>
      <c r="FB101" s="76">
        <v>1468</v>
      </c>
      <c r="FC101" s="76">
        <v>0</v>
      </c>
      <c r="FD101" s="76">
        <v>0</v>
      </c>
      <c r="FE101" s="76">
        <v>-91</v>
      </c>
      <c r="FF101" s="76">
        <v>0</v>
      </c>
      <c r="FG101" s="76">
        <v>0</v>
      </c>
      <c r="FH101" s="76">
        <v>8594</v>
      </c>
      <c r="FI101" s="76">
        <v>38913</v>
      </c>
      <c r="FJ101" s="76">
        <v>35216</v>
      </c>
      <c r="FK101" s="76">
        <v>0</v>
      </c>
      <c r="FL101" s="76">
        <v>0</v>
      </c>
      <c r="FM101" s="76">
        <v>0</v>
      </c>
      <c r="FN101" s="76">
        <v>653</v>
      </c>
      <c r="FO101" s="76">
        <v>231</v>
      </c>
      <c r="FP101" s="76">
        <v>422</v>
      </c>
      <c r="FQ101" s="76">
        <v>12</v>
      </c>
      <c r="FR101" s="76">
        <v>11</v>
      </c>
      <c r="FS101" s="76">
        <v>1</v>
      </c>
      <c r="FT101" s="76">
        <v>1043</v>
      </c>
      <c r="FU101" s="76">
        <v>46</v>
      </c>
      <c r="FV101" s="76">
        <v>997</v>
      </c>
      <c r="FW101" s="76">
        <v>0</v>
      </c>
      <c r="FX101" s="76">
        <v>0</v>
      </c>
      <c r="FY101" s="76">
        <v>0</v>
      </c>
      <c r="FZ101" s="76">
        <v>0</v>
      </c>
      <c r="GA101" s="76">
        <v>0</v>
      </c>
      <c r="GB101" s="76">
        <v>0</v>
      </c>
      <c r="GC101" s="76">
        <v>1708</v>
      </c>
      <c r="GD101" s="76">
        <v>288</v>
      </c>
      <c r="GE101" s="76">
        <v>1420</v>
      </c>
      <c r="GF101" s="76">
        <v>257</v>
      </c>
      <c r="GG101" s="76">
        <v>0</v>
      </c>
      <c r="GH101" s="76">
        <v>0</v>
      </c>
      <c r="GI101" s="76">
        <v>0</v>
      </c>
      <c r="GJ101" s="76">
        <v>0</v>
      </c>
      <c r="GK101" s="76">
        <v>165</v>
      </c>
      <c r="GL101" s="76">
        <v>422</v>
      </c>
      <c r="GM101" s="76">
        <v>220</v>
      </c>
      <c r="GN101" s="76">
        <v>212</v>
      </c>
      <c r="GO101" s="76">
        <v>249</v>
      </c>
      <c r="GP101" s="76">
        <v>0</v>
      </c>
      <c r="GQ101" s="76">
        <v>0</v>
      </c>
      <c r="GR101" s="76">
        <v>1043</v>
      </c>
      <c r="GS101" s="76">
        <v>0</v>
      </c>
      <c r="GT101" s="76">
        <v>0</v>
      </c>
      <c r="GU101" s="76">
        <v>0</v>
      </c>
      <c r="GV101" s="76">
        <v>0</v>
      </c>
      <c r="GW101" s="76">
        <v>1542</v>
      </c>
      <c r="GX101" s="76">
        <v>3266</v>
      </c>
      <c r="GY101" s="76">
        <v>0</v>
      </c>
      <c r="GZ101" s="76">
        <v>6</v>
      </c>
      <c r="HA101" s="76">
        <v>0</v>
      </c>
      <c r="HB101" s="76">
        <v>0</v>
      </c>
      <c r="HC101" s="76">
        <v>6</v>
      </c>
      <c r="HD101" s="76">
        <v>0</v>
      </c>
      <c r="HE101" s="76">
        <v>0</v>
      </c>
      <c r="HF101" s="76">
        <v>0</v>
      </c>
      <c r="HG101" s="76">
        <v>1495</v>
      </c>
      <c r="HH101" s="76">
        <v>21</v>
      </c>
      <c r="HI101" s="76">
        <v>92</v>
      </c>
      <c r="HJ101" s="76">
        <v>0</v>
      </c>
      <c r="HK101" s="76">
        <v>0</v>
      </c>
      <c r="HL101" s="76">
        <v>0</v>
      </c>
      <c r="HM101" s="76">
        <v>1608</v>
      </c>
      <c r="HN101" s="76">
        <v>949</v>
      </c>
      <c r="HO101" s="76">
        <v>1593</v>
      </c>
      <c r="HP101" s="76">
        <v>0</v>
      </c>
      <c r="HQ101" s="76">
        <v>43</v>
      </c>
      <c r="HR101" s="76">
        <v>-28</v>
      </c>
      <c r="HS101" s="76">
        <v>0</v>
      </c>
      <c r="HT101" s="76">
        <v>3084</v>
      </c>
      <c r="HU101" s="76">
        <v>0</v>
      </c>
      <c r="HV101" s="76">
        <v>0</v>
      </c>
      <c r="HW101" s="76">
        <v>0</v>
      </c>
      <c r="HX101" s="76">
        <v>0</v>
      </c>
    </row>
    <row r="102" spans="1:232" x14ac:dyDescent="0.2">
      <c r="A102" s="74" t="s">
        <v>384</v>
      </c>
      <c r="B102" s="74" t="s">
        <v>385</v>
      </c>
      <c r="C102" s="75" t="s">
        <v>200</v>
      </c>
      <c r="D102" s="75">
        <v>12</v>
      </c>
      <c r="E102" s="76">
        <v>45314</v>
      </c>
      <c r="F102" s="76">
        <v>-2280</v>
      </c>
      <c r="G102" s="76">
        <v>-32213</v>
      </c>
      <c r="H102" s="76">
        <v>10821</v>
      </c>
      <c r="I102" s="76">
        <v>3200</v>
      </c>
      <c r="J102" s="76">
        <v>0</v>
      </c>
      <c r="K102" s="76">
        <v>0</v>
      </c>
      <c r="L102" s="76">
        <v>0</v>
      </c>
      <c r="M102" s="76">
        <v>1269</v>
      </c>
      <c r="N102" s="76">
        <v>-6344</v>
      </c>
      <c r="O102" s="76">
        <v>275</v>
      </c>
      <c r="P102" s="76">
        <v>0</v>
      </c>
      <c r="Q102" s="76">
        <v>0</v>
      </c>
      <c r="R102" s="76">
        <v>0</v>
      </c>
      <c r="S102" s="76">
        <v>9221</v>
      </c>
      <c r="T102" s="76">
        <v>5</v>
      </c>
      <c r="U102" s="76">
        <v>9226</v>
      </c>
      <c r="V102" s="76">
        <v>0</v>
      </c>
      <c r="W102" s="76">
        <v>-2745</v>
      </c>
      <c r="X102" s="76">
        <v>0</v>
      </c>
      <c r="Y102" s="76">
        <v>0</v>
      </c>
      <c r="Z102" s="76">
        <v>6481</v>
      </c>
      <c r="AA102" s="76">
        <v>33787</v>
      </c>
      <c r="AB102" s="76">
        <v>4517</v>
      </c>
      <c r="AC102" s="76">
        <v>38304</v>
      </c>
      <c r="AD102" s="76">
        <v>549</v>
      </c>
      <c r="AE102" s="76">
        <v>0</v>
      </c>
      <c r="AF102" s="76">
        <v>197</v>
      </c>
      <c r="AG102" s="76">
        <v>189</v>
      </c>
      <c r="AH102" s="76">
        <v>39239</v>
      </c>
      <c r="AI102" s="76">
        <v>7027</v>
      </c>
      <c r="AJ102" s="76">
        <v>3584</v>
      </c>
      <c r="AK102" s="76">
        <v>5554</v>
      </c>
      <c r="AL102" s="76">
        <v>3690</v>
      </c>
      <c r="AM102" s="76">
        <v>2612</v>
      </c>
      <c r="AN102" s="76">
        <v>142</v>
      </c>
      <c r="AO102" s="76">
        <v>6692</v>
      </c>
      <c r="AP102" s="76">
        <v>0</v>
      </c>
      <c r="AQ102" s="76">
        <v>0</v>
      </c>
      <c r="AR102" s="76">
        <v>29301</v>
      </c>
      <c r="AS102" s="76">
        <v>9938</v>
      </c>
      <c r="AT102" s="76">
        <v>241</v>
      </c>
      <c r="AU102" s="76">
        <v>503438</v>
      </c>
      <c r="AV102" s="76">
        <v>0</v>
      </c>
      <c r="AW102" s="76">
        <v>1212</v>
      </c>
      <c r="AX102" s="76">
        <v>0</v>
      </c>
      <c r="AY102" s="76">
        <v>1431</v>
      </c>
      <c r="AZ102" s="76">
        <v>11422</v>
      </c>
      <c r="BA102" s="76">
        <v>0</v>
      </c>
      <c r="BB102" s="76">
        <v>0</v>
      </c>
      <c r="BC102" s="76">
        <v>43000</v>
      </c>
      <c r="BD102" s="76">
        <v>0</v>
      </c>
      <c r="BE102" s="76">
        <v>560503</v>
      </c>
      <c r="BF102" s="76">
        <v>189</v>
      </c>
      <c r="BG102" s="76">
        <v>3883</v>
      </c>
      <c r="BH102" s="76">
        <v>33321</v>
      </c>
      <c r="BI102" s="76">
        <v>0</v>
      </c>
      <c r="BJ102" s="76">
        <v>2212</v>
      </c>
      <c r="BK102" s="76">
        <v>39605</v>
      </c>
      <c r="BL102" s="76">
        <v>0</v>
      </c>
      <c r="BM102" s="76">
        <v>0</v>
      </c>
      <c r="BN102" s="76">
        <v>0</v>
      </c>
      <c r="BO102" s="76">
        <v>12919</v>
      </c>
      <c r="BP102" s="76">
        <v>12919</v>
      </c>
      <c r="BQ102" s="76">
        <v>26686</v>
      </c>
      <c r="BR102" s="76">
        <v>587189</v>
      </c>
      <c r="BS102" s="76">
        <v>207638</v>
      </c>
      <c r="BT102" s="76">
        <v>0</v>
      </c>
      <c r="BU102" s="76">
        <v>0</v>
      </c>
      <c r="BV102" s="76">
        <v>100046</v>
      </c>
      <c r="BW102" s="76">
        <v>0</v>
      </c>
      <c r="BX102" s="76">
        <v>0</v>
      </c>
      <c r="BY102" s="76">
        <v>5687</v>
      </c>
      <c r="BZ102" s="76">
        <v>313371</v>
      </c>
      <c r="CA102" s="76">
        <v>16918</v>
      </c>
      <c r="CB102" s="76">
        <v>226</v>
      </c>
      <c r="CC102" s="76">
        <v>256674</v>
      </c>
      <c r="CD102" s="76">
        <v>135921</v>
      </c>
      <c r="CE102" s="76">
        <v>120753</v>
      </c>
      <c r="CF102" s="76">
        <v>0</v>
      </c>
      <c r="CG102" s="76">
        <v>0</v>
      </c>
      <c r="CH102" s="76">
        <v>0</v>
      </c>
      <c r="CI102" s="76">
        <v>256674</v>
      </c>
      <c r="CJ102" s="76">
        <v>3259</v>
      </c>
      <c r="CK102" s="76">
        <v>2280</v>
      </c>
      <c r="CL102" s="76">
        <v>0</v>
      </c>
      <c r="CM102" s="76">
        <v>979</v>
      </c>
      <c r="CN102" s="76">
        <v>0</v>
      </c>
      <c r="CO102" s="76">
        <v>0</v>
      </c>
      <c r="CP102" s="76">
        <v>0</v>
      </c>
      <c r="CQ102" s="76">
        <v>0</v>
      </c>
      <c r="CR102" s="76">
        <v>43</v>
      </c>
      <c r="CS102" s="76">
        <v>0</v>
      </c>
      <c r="CT102" s="76">
        <v>632</v>
      </c>
      <c r="CU102" s="76">
        <v>-589</v>
      </c>
      <c r="CV102" s="76">
        <v>0</v>
      </c>
      <c r="CW102" s="76">
        <v>0</v>
      </c>
      <c r="CX102" s="76">
        <v>0</v>
      </c>
      <c r="CY102" s="76">
        <v>0</v>
      </c>
      <c r="CZ102" s="76">
        <v>0</v>
      </c>
      <c r="DA102" s="76">
        <v>0</v>
      </c>
      <c r="DB102" s="76">
        <v>0</v>
      </c>
      <c r="DC102" s="76">
        <v>0</v>
      </c>
      <c r="DD102" s="76">
        <v>3302</v>
      </c>
      <c r="DE102" s="76">
        <v>2280</v>
      </c>
      <c r="DF102" s="76">
        <v>632</v>
      </c>
      <c r="DG102" s="76">
        <v>390</v>
      </c>
      <c r="DH102" s="76">
        <v>1655</v>
      </c>
      <c r="DI102" s="76">
        <v>0</v>
      </c>
      <c r="DJ102" s="76">
        <v>1711</v>
      </c>
      <c r="DK102" s="76">
        <v>-56</v>
      </c>
      <c r="DL102" s="76">
        <v>0</v>
      </c>
      <c r="DM102" s="76">
        <v>0</v>
      </c>
      <c r="DN102" s="76">
        <v>0</v>
      </c>
      <c r="DO102" s="76">
        <v>0</v>
      </c>
      <c r="DP102" s="76">
        <v>0</v>
      </c>
      <c r="DQ102" s="76">
        <v>0</v>
      </c>
      <c r="DR102" s="76">
        <v>0</v>
      </c>
      <c r="DS102" s="76">
        <v>0</v>
      </c>
      <c r="DT102" s="76">
        <v>850</v>
      </c>
      <c r="DU102" s="76">
        <v>0</v>
      </c>
      <c r="DV102" s="76">
        <v>290</v>
      </c>
      <c r="DW102" s="76">
        <v>560</v>
      </c>
      <c r="DX102" s="76">
        <v>268</v>
      </c>
      <c r="DY102" s="76">
        <v>0</v>
      </c>
      <c r="DZ102" s="76">
        <v>277</v>
      </c>
      <c r="EA102" s="76">
        <v>-9</v>
      </c>
      <c r="EB102" s="76">
        <v>0</v>
      </c>
      <c r="EC102" s="76">
        <v>0</v>
      </c>
      <c r="ED102" s="76">
        <v>2</v>
      </c>
      <c r="EE102" s="76">
        <v>-2</v>
      </c>
      <c r="EF102" s="76">
        <v>2773</v>
      </c>
      <c r="EG102" s="76">
        <v>0</v>
      </c>
      <c r="EH102" s="76">
        <v>2280</v>
      </c>
      <c r="EI102" s="76">
        <v>493</v>
      </c>
      <c r="EJ102" s="76">
        <v>6075</v>
      </c>
      <c r="EK102" s="76">
        <v>2280</v>
      </c>
      <c r="EL102" s="76">
        <v>2912</v>
      </c>
      <c r="EM102" s="76">
        <v>883</v>
      </c>
      <c r="EN102" s="76">
        <v>3628</v>
      </c>
      <c r="EO102" s="76">
        <v>1410</v>
      </c>
      <c r="EP102" s="76">
        <v>1350</v>
      </c>
      <c r="EQ102" s="76">
        <v>1410</v>
      </c>
      <c r="ER102" s="76">
        <v>565850</v>
      </c>
      <c r="ES102" s="76">
        <v>0</v>
      </c>
      <c r="ET102" s="76">
        <v>565850</v>
      </c>
      <c r="EU102" s="76">
        <v>16470</v>
      </c>
      <c r="EV102" s="76">
        <v>-6629</v>
      </c>
      <c r="EW102" s="76">
        <v>0</v>
      </c>
      <c r="EX102" s="76">
        <v>0</v>
      </c>
      <c r="EY102" s="76">
        <v>-317</v>
      </c>
      <c r="EZ102" s="76">
        <v>575374</v>
      </c>
      <c r="FA102" s="76">
        <v>65474</v>
      </c>
      <c r="FB102" s="76">
        <v>6732</v>
      </c>
      <c r="FC102" s="76">
        <v>0</v>
      </c>
      <c r="FD102" s="76">
        <v>0</v>
      </c>
      <c r="FE102" s="76">
        <v>0</v>
      </c>
      <c r="FF102" s="76">
        <v>0</v>
      </c>
      <c r="FG102" s="76">
        <v>-270</v>
      </c>
      <c r="FH102" s="76">
        <v>71936</v>
      </c>
      <c r="FI102" s="76">
        <v>503438</v>
      </c>
      <c r="FJ102" s="76">
        <v>500376</v>
      </c>
      <c r="FK102" s="76">
        <v>7341</v>
      </c>
      <c r="FL102" s="76">
        <v>4306</v>
      </c>
      <c r="FM102" s="76">
        <v>3035</v>
      </c>
      <c r="FN102" s="76">
        <v>482</v>
      </c>
      <c r="FO102" s="76">
        <v>317</v>
      </c>
      <c r="FP102" s="76">
        <v>165</v>
      </c>
      <c r="FQ102" s="76">
        <v>0</v>
      </c>
      <c r="FR102" s="76">
        <v>0</v>
      </c>
      <c r="FS102" s="76">
        <v>0</v>
      </c>
      <c r="FT102" s="76">
        <v>0</v>
      </c>
      <c r="FU102" s="76">
        <v>0</v>
      </c>
      <c r="FV102" s="76">
        <v>0</v>
      </c>
      <c r="FW102" s="76">
        <v>0</v>
      </c>
      <c r="FX102" s="76">
        <v>0</v>
      </c>
      <c r="FY102" s="76">
        <v>0</v>
      </c>
      <c r="FZ102" s="76">
        <v>0</v>
      </c>
      <c r="GA102" s="76">
        <v>0</v>
      </c>
      <c r="GB102" s="76">
        <v>0</v>
      </c>
      <c r="GC102" s="76">
        <v>7823</v>
      </c>
      <c r="GD102" s="76">
        <v>4623</v>
      </c>
      <c r="GE102" s="76">
        <v>3200</v>
      </c>
      <c r="GF102" s="76">
        <v>2212</v>
      </c>
      <c r="GG102" s="76">
        <v>0</v>
      </c>
      <c r="GH102" s="76">
        <v>0</v>
      </c>
      <c r="GI102" s="76">
        <v>0</v>
      </c>
      <c r="GJ102" s="76">
        <v>0</v>
      </c>
      <c r="GK102" s="76">
        <v>0</v>
      </c>
      <c r="GL102" s="76">
        <v>2212</v>
      </c>
      <c r="GM102" s="76">
        <v>3265</v>
      </c>
      <c r="GN102" s="76">
        <v>1480</v>
      </c>
      <c r="GO102" s="76">
        <v>1702</v>
      </c>
      <c r="GP102" s="76">
        <v>0</v>
      </c>
      <c r="GQ102" s="76">
        <v>0</v>
      </c>
      <c r="GR102" s="76">
        <v>6392</v>
      </c>
      <c r="GS102" s="76">
        <v>0</v>
      </c>
      <c r="GT102" s="76">
        <v>0</v>
      </c>
      <c r="GU102" s="76">
        <v>0</v>
      </c>
      <c r="GV102" s="76">
        <v>0</v>
      </c>
      <c r="GW102" s="76">
        <v>80</v>
      </c>
      <c r="GX102" s="76">
        <v>12919</v>
      </c>
      <c r="GY102" s="76">
        <v>4254</v>
      </c>
      <c r="GZ102" s="76">
        <v>202</v>
      </c>
      <c r="HA102" s="76">
        <v>0</v>
      </c>
      <c r="HB102" s="76">
        <v>1231</v>
      </c>
      <c r="HC102" s="76">
        <v>5687</v>
      </c>
      <c r="HD102" s="76">
        <v>0</v>
      </c>
      <c r="HE102" s="76">
        <v>226</v>
      </c>
      <c r="HF102" s="76">
        <v>226</v>
      </c>
      <c r="HG102" s="76">
        <v>5606</v>
      </c>
      <c r="HH102" s="76">
        <v>226</v>
      </c>
      <c r="HI102" s="76">
        <v>500</v>
      </c>
      <c r="HJ102" s="76">
        <v>12</v>
      </c>
      <c r="HK102" s="76">
        <v>0</v>
      </c>
      <c r="HL102" s="76">
        <v>0</v>
      </c>
      <c r="HM102" s="76">
        <v>6344</v>
      </c>
      <c r="HN102" s="76">
        <v>16470</v>
      </c>
      <c r="HO102" s="76">
        <v>6942</v>
      </c>
      <c r="HP102" s="76">
        <v>0</v>
      </c>
      <c r="HQ102" s="76">
        <v>1</v>
      </c>
      <c r="HR102" s="76">
        <v>-72</v>
      </c>
      <c r="HS102" s="76">
        <v>-24</v>
      </c>
      <c r="HT102" s="76">
        <v>6123</v>
      </c>
      <c r="HU102" s="76">
        <v>16</v>
      </c>
      <c r="HV102" s="76">
        <v>-2</v>
      </c>
      <c r="HW102" s="76">
        <v>92</v>
      </c>
      <c r="HX102" s="76">
        <v>875</v>
      </c>
    </row>
    <row r="103" spans="1:232" x14ac:dyDescent="0.2">
      <c r="A103" s="74" t="s">
        <v>77</v>
      </c>
      <c r="B103" s="74" t="s">
        <v>76</v>
      </c>
      <c r="C103" s="75" t="s">
        <v>200</v>
      </c>
      <c r="D103" s="75">
        <v>12</v>
      </c>
      <c r="E103" s="76">
        <v>25025</v>
      </c>
      <c r="F103" s="76">
        <v>-1519</v>
      </c>
      <c r="G103" s="76">
        <v>-15811</v>
      </c>
      <c r="H103" s="76">
        <v>7695</v>
      </c>
      <c r="I103" s="76">
        <v>3770</v>
      </c>
      <c r="J103" s="76">
        <v>1352</v>
      </c>
      <c r="K103" s="76">
        <v>0</v>
      </c>
      <c r="L103" s="76">
        <v>0</v>
      </c>
      <c r="M103" s="76">
        <v>245</v>
      </c>
      <c r="N103" s="76">
        <v>-2776</v>
      </c>
      <c r="O103" s="76">
        <v>0</v>
      </c>
      <c r="P103" s="76">
        <v>0</v>
      </c>
      <c r="Q103" s="76">
        <v>0</v>
      </c>
      <c r="R103" s="76">
        <v>0</v>
      </c>
      <c r="S103" s="76">
        <v>10286</v>
      </c>
      <c r="T103" s="76">
        <v>0</v>
      </c>
      <c r="U103" s="76">
        <v>10286</v>
      </c>
      <c r="V103" s="76">
        <v>0</v>
      </c>
      <c r="W103" s="76">
        <v>-135</v>
      </c>
      <c r="X103" s="76">
        <v>0</v>
      </c>
      <c r="Y103" s="76">
        <v>0</v>
      </c>
      <c r="Z103" s="76">
        <v>10151</v>
      </c>
      <c r="AA103" s="76">
        <v>16012</v>
      </c>
      <c r="AB103" s="76">
        <v>1528</v>
      </c>
      <c r="AC103" s="76">
        <v>17540</v>
      </c>
      <c r="AD103" s="76">
        <v>1252</v>
      </c>
      <c r="AE103" s="76">
        <v>0</v>
      </c>
      <c r="AF103" s="76">
        <v>0</v>
      </c>
      <c r="AG103" s="76">
        <v>566</v>
      </c>
      <c r="AH103" s="76">
        <v>19358</v>
      </c>
      <c r="AI103" s="76">
        <v>3251</v>
      </c>
      <c r="AJ103" s="76">
        <v>2346</v>
      </c>
      <c r="AK103" s="76">
        <v>3215</v>
      </c>
      <c r="AL103" s="76">
        <v>692</v>
      </c>
      <c r="AM103" s="76">
        <v>161</v>
      </c>
      <c r="AN103" s="76">
        <v>89</v>
      </c>
      <c r="AO103" s="76">
        <v>2691</v>
      </c>
      <c r="AP103" s="76">
        <v>0</v>
      </c>
      <c r="AQ103" s="76">
        <v>0</v>
      </c>
      <c r="AR103" s="76">
        <v>12445</v>
      </c>
      <c r="AS103" s="76">
        <v>6913</v>
      </c>
      <c r="AT103" s="76">
        <v>104</v>
      </c>
      <c r="AU103" s="76">
        <v>220449</v>
      </c>
      <c r="AV103" s="76">
        <v>0</v>
      </c>
      <c r="AW103" s="76">
        <v>589</v>
      </c>
      <c r="AX103" s="76">
        <v>0</v>
      </c>
      <c r="AY103" s="76">
        <v>0</v>
      </c>
      <c r="AZ103" s="76">
        <v>995</v>
      </c>
      <c r="BA103" s="76">
        <v>0</v>
      </c>
      <c r="BB103" s="76">
        <v>0</v>
      </c>
      <c r="BC103" s="76">
        <v>0</v>
      </c>
      <c r="BD103" s="76">
        <v>0</v>
      </c>
      <c r="BE103" s="76">
        <v>222033</v>
      </c>
      <c r="BF103" s="76">
        <v>1200</v>
      </c>
      <c r="BG103" s="76">
        <v>2265</v>
      </c>
      <c r="BH103" s="76">
        <v>54913</v>
      </c>
      <c r="BI103" s="76">
        <v>0</v>
      </c>
      <c r="BJ103" s="76">
        <v>1360</v>
      </c>
      <c r="BK103" s="76">
        <v>59738</v>
      </c>
      <c r="BL103" s="76">
        <v>2704</v>
      </c>
      <c r="BM103" s="76">
        <v>0</v>
      </c>
      <c r="BN103" s="76">
        <v>1361</v>
      </c>
      <c r="BO103" s="76">
        <v>9824</v>
      </c>
      <c r="BP103" s="76">
        <v>13889</v>
      </c>
      <c r="BQ103" s="76">
        <v>45849</v>
      </c>
      <c r="BR103" s="76">
        <v>267882</v>
      </c>
      <c r="BS103" s="76">
        <v>86650</v>
      </c>
      <c r="BT103" s="76">
        <v>0</v>
      </c>
      <c r="BU103" s="76">
        <v>0</v>
      </c>
      <c r="BV103" s="76">
        <v>101133</v>
      </c>
      <c r="BW103" s="76">
        <v>0</v>
      </c>
      <c r="BX103" s="76">
        <v>0</v>
      </c>
      <c r="BY103" s="76">
        <v>4640</v>
      </c>
      <c r="BZ103" s="76">
        <v>192423</v>
      </c>
      <c r="CA103" s="76">
        <v>500</v>
      </c>
      <c r="CB103" s="76">
        <v>0</v>
      </c>
      <c r="CC103" s="76">
        <v>74959</v>
      </c>
      <c r="CD103" s="76">
        <v>74959</v>
      </c>
      <c r="CE103" s="76">
        <v>0</v>
      </c>
      <c r="CF103" s="76">
        <v>0</v>
      </c>
      <c r="CG103" s="76">
        <v>0</v>
      </c>
      <c r="CH103" s="76">
        <v>0</v>
      </c>
      <c r="CI103" s="76">
        <v>74959</v>
      </c>
      <c r="CJ103" s="76">
        <v>3116</v>
      </c>
      <c r="CK103" s="76">
        <v>1519</v>
      </c>
      <c r="CL103" s="76">
        <v>0</v>
      </c>
      <c r="CM103" s="76">
        <v>1597</v>
      </c>
      <c r="CN103" s="76">
        <v>2366</v>
      </c>
      <c r="CO103" s="76">
        <v>0</v>
      </c>
      <c r="CP103" s="76">
        <v>2902</v>
      </c>
      <c r="CQ103" s="76">
        <v>-536</v>
      </c>
      <c r="CR103" s="76">
        <v>0</v>
      </c>
      <c r="CS103" s="76">
        <v>0</v>
      </c>
      <c r="CT103" s="76">
        <v>540</v>
      </c>
      <c r="CU103" s="76">
        <v>-540</v>
      </c>
      <c r="CV103" s="76">
        <v>0</v>
      </c>
      <c r="CW103" s="76">
        <v>0</v>
      </c>
      <c r="CX103" s="76">
        <v>0</v>
      </c>
      <c r="CY103" s="76">
        <v>0</v>
      </c>
      <c r="CZ103" s="76">
        <v>0</v>
      </c>
      <c r="DA103" s="76">
        <v>0</v>
      </c>
      <c r="DB103" s="76">
        <v>0</v>
      </c>
      <c r="DC103" s="76">
        <v>0</v>
      </c>
      <c r="DD103" s="76">
        <v>5482</v>
      </c>
      <c r="DE103" s="76">
        <v>1519</v>
      </c>
      <c r="DF103" s="76">
        <v>3442</v>
      </c>
      <c r="DG103" s="76">
        <v>521</v>
      </c>
      <c r="DH103" s="76">
        <v>0</v>
      </c>
      <c r="DI103" s="76">
        <v>0</v>
      </c>
      <c r="DJ103" s="76">
        <v>0</v>
      </c>
      <c r="DK103" s="76">
        <v>0</v>
      </c>
      <c r="DL103" s="76">
        <v>0</v>
      </c>
      <c r="DM103" s="76">
        <v>0</v>
      </c>
      <c r="DN103" s="76">
        <v>0</v>
      </c>
      <c r="DO103" s="76">
        <v>0</v>
      </c>
      <c r="DP103" s="76">
        <v>0</v>
      </c>
      <c r="DQ103" s="76">
        <v>0</v>
      </c>
      <c r="DR103" s="76">
        <v>0</v>
      </c>
      <c r="DS103" s="76">
        <v>0</v>
      </c>
      <c r="DT103" s="76">
        <v>0</v>
      </c>
      <c r="DU103" s="76">
        <v>0</v>
      </c>
      <c r="DV103" s="76">
        <v>0</v>
      </c>
      <c r="DW103" s="76">
        <v>0</v>
      </c>
      <c r="DX103" s="76">
        <v>0</v>
      </c>
      <c r="DY103" s="76">
        <v>0</v>
      </c>
      <c r="DZ103" s="76">
        <v>0</v>
      </c>
      <c r="EA103" s="76">
        <v>0</v>
      </c>
      <c r="EB103" s="76">
        <v>185</v>
      </c>
      <c r="EC103" s="76">
        <v>0</v>
      </c>
      <c r="ED103" s="76">
        <v>-76</v>
      </c>
      <c r="EE103" s="76">
        <v>261</v>
      </c>
      <c r="EF103" s="76">
        <v>185</v>
      </c>
      <c r="EG103" s="76">
        <v>0</v>
      </c>
      <c r="EH103" s="76">
        <v>-76</v>
      </c>
      <c r="EI103" s="76">
        <v>261</v>
      </c>
      <c r="EJ103" s="76">
        <v>5667</v>
      </c>
      <c r="EK103" s="76">
        <v>1519</v>
      </c>
      <c r="EL103" s="76">
        <v>3366</v>
      </c>
      <c r="EM103" s="76">
        <v>782</v>
      </c>
      <c r="EN103" s="76">
        <v>1059</v>
      </c>
      <c r="EO103" s="76">
        <v>320</v>
      </c>
      <c r="EP103" s="76">
        <v>230</v>
      </c>
      <c r="EQ103" s="76">
        <v>228</v>
      </c>
      <c r="ER103" s="76">
        <v>238040</v>
      </c>
      <c r="ES103" s="76">
        <v>0</v>
      </c>
      <c r="ET103" s="76">
        <v>238040</v>
      </c>
      <c r="EU103" s="76">
        <v>12504</v>
      </c>
      <c r="EV103" s="76">
        <v>-1473</v>
      </c>
      <c r="EW103" s="76">
        <v>0</v>
      </c>
      <c r="EX103" s="76">
        <v>0</v>
      </c>
      <c r="EY103" s="76">
        <v>535</v>
      </c>
      <c r="EZ103" s="76">
        <v>249606</v>
      </c>
      <c r="FA103" s="76">
        <v>26584</v>
      </c>
      <c r="FB103" s="76">
        <v>2747</v>
      </c>
      <c r="FC103" s="76">
        <v>0</v>
      </c>
      <c r="FD103" s="76">
        <v>0</v>
      </c>
      <c r="FE103" s="76">
        <v>-174</v>
      </c>
      <c r="FF103" s="76">
        <v>0</v>
      </c>
      <c r="FG103" s="76">
        <v>0</v>
      </c>
      <c r="FH103" s="76">
        <v>29157</v>
      </c>
      <c r="FI103" s="76">
        <v>220449</v>
      </c>
      <c r="FJ103" s="76">
        <v>211456</v>
      </c>
      <c r="FK103" s="76">
        <v>3408</v>
      </c>
      <c r="FL103" s="76">
        <v>1024</v>
      </c>
      <c r="FM103" s="76">
        <v>2384</v>
      </c>
      <c r="FN103" s="76">
        <v>0</v>
      </c>
      <c r="FO103" s="76">
        <v>0</v>
      </c>
      <c r="FP103" s="76">
        <v>0</v>
      </c>
      <c r="FQ103" s="76">
        <v>244</v>
      </c>
      <c r="FR103" s="76">
        <v>244</v>
      </c>
      <c r="FS103" s="76">
        <v>0</v>
      </c>
      <c r="FT103" s="76">
        <v>1585</v>
      </c>
      <c r="FU103" s="76">
        <v>199</v>
      </c>
      <c r="FV103" s="76">
        <v>1386</v>
      </c>
      <c r="FW103" s="76">
        <v>0</v>
      </c>
      <c r="FX103" s="76">
        <v>0</v>
      </c>
      <c r="FY103" s="76">
        <v>0</v>
      </c>
      <c r="FZ103" s="76">
        <v>0</v>
      </c>
      <c r="GA103" s="76">
        <v>0</v>
      </c>
      <c r="GB103" s="76">
        <v>0</v>
      </c>
      <c r="GC103" s="76">
        <v>5237</v>
      </c>
      <c r="GD103" s="76">
        <v>1467</v>
      </c>
      <c r="GE103" s="76">
        <v>3770</v>
      </c>
      <c r="GF103" s="76">
        <v>1352</v>
      </c>
      <c r="GG103" s="76">
        <v>8</v>
      </c>
      <c r="GH103" s="76">
        <v>0</v>
      </c>
      <c r="GI103" s="76">
        <v>0</v>
      </c>
      <c r="GJ103" s="76">
        <v>0</v>
      </c>
      <c r="GK103" s="76">
        <v>0</v>
      </c>
      <c r="GL103" s="76">
        <v>1360</v>
      </c>
      <c r="GM103" s="76">
        <v>544</v>
      </c>
      <c r="GN103" s="76">
        <v>732</v>
      </c>
      <c r="GO103" s="76">
        <v>388</v>
      </c>
      <c r="GP103" s="76">
        <v>598</v>
      </c>
      <c r="GQ103" s="76">
        <v>460</v>
      </c>
      <c r="GR103" s="76">
        <v>5172</v>
      </c>
      <c r="GS103" s="76">
        <v>0</v>
      </c>
      <c r="GT103" s="76">
        <v>0</v>
      </c>
      <c r="GU103" s="76">
        <v>0</v>
      </c>
      <c r="GV103" s="76">
        <v>0</v>
      </c>
      <c r="GW103" s="76">
        <v>1930</v>
      </c>
      <c r="GX103" s="76">
        <v>9824</v>
      </c>
      <c r="GY103" s="76">
        <v>1104</v>
      </c>
      <c r="GZ103" s="76">
        <v>183</v>
      </c>
      <c r="HA103" s="76">
        <v>1827</v>
      </c>
      <c r="HB103" s="76">
        <v>1526</v>
      </c>
      <c r="HC103" s="76">
        <v>4640</v>
      </c>
      <c r="HD103" s="76">
        <v>0</v>
      </c>
      <c r="HE103" s="76">
        <v>0</v>
      </c>
      <c r="HF103" s="76">
        <v>0</v>
      </c>
      <c r="HG103" s="76">
        <v>2715</v>
      </c>
      <c r="HH103" s="76">
        <v>116</v>
      </c>
      <c r="HI103" s="76">
        <v>44</v>
      </c>
      <c r="HJ103" s="76">
        <v>8</v>
      </c>
      <c r="HK103" s="76">
        <v>0</v>
      </c>
      <c r="HL103" s="76">
        <v>-107</v>
      </c>
      <c r="HM103" s="76">
        <v>2776</v>
      </c>
      <c r="HN103" s="76">
        <v>2823</v>
      </c>
      <c r="HO103" s="76">
        <v>3113</v>
      </c>
      <c r="HP103" s="76">
        <v>0</v>
      </c>
      <c r="HQ103" s="76">
        <v>127</v>
      </c>
      <c r="HR103" s="76">
        <v>-26</v>
      </c>
      <c r="HS103" s="76">
        <v>0</v>
      </c>
      <c r="HT103" s="76">
        <v>2868</v>
      </c>
      <c r="HU103" s="76">
        <v>0</v>
      </c>
      <c r="HV103" s="76">
        <v>0</v>
      </c>
      <c r="HW103" s="76">
        <v>0</v>
      </c>
      <c r="HX103" s="76">
        <v>0</v>
      </c>
    </row>
    <row r="104" spans="1:232" x14ac:dyDescent="0.2">
      <c r="A104" s="74" t="s">
        <v>387</v>
      </c>
      <c r="B104" s="74" t="s">
        <v>388</v>
      </c>
      <c r="C104" s="75" t="s">
        <v>200</v>
      </c>
      <c r="D104" s="75">
        <v>12</v>
      </c>
      <c r="E104" s="76">
        <v>14926</v>
      </c>
      <c r="F104" s="76">
        <v>0</v>
      </c>
      <c r="G104" s="76">
        <v>-11114</v>
      </c>
      <c r="H104" s="76">
        <v>3812</v>
      </c>
      <c r="I104" s="76">
        <v>598</v>
      </c>
      <c r="J104" s="76">
        <v>0</v>
      </c>
      <c r="K104" s="76">
        <v>0</v>
      </c>
      <c r="L104" s="76">
        <v>0</v>
      </c>
      <c r="M104" s="76">
        <v>32</v>
      </c>
      <c r="N104" s="76">
        <v>-1311</v>
      </c>
      <c r="O104" s="76">
        <v>0</v>
      </c>
      <c r="P104" s="76">
        <v>0</v>
      </c>
      <c r="Q104" s="76">
        <v>0</v>
      </c>
      <c r="R104" s="76">
        <v>0</v>
      </c>
      <c r="S104" s="76">
        <v>3131</v>
      </c>
      <c r="T104" s="76">
        <v>0</v>
      </c>
      <c r="U104" s="76">
        <v>3131</v>
      </c>
      <c r="V104" s="76">
        <v>0</v>
      </c>
      <c r="W104" s="76">
        <v>-483</v>
      </c>
      <c r="X104" s="76">
        <v>0</v>
      </c>
      <c r="Y104" s="76">
        <v>0</v>
      </c>
      <c r="Z104" s="76">
        <v>2648</v>
      </c>
      <c r="AA104" s="76">
        <v>13364</v>
      </c>
      <c r="AB104" s="76">
        <v>1106</v>
      </c>
      <c r="AC104" s="76">
        <v>14470</v>
      </c>
      <c r="AD104" s="76">
        <v>6</v>
      </c>
      <c r="AE104" s="76">
        <v>0</v>
      </c>
      <c r="AF104" s="76">
        <v>0</v>
      </c>
      <c r="AG104" s="76">
        <v>0</v>
      </c>
      <c r="AH104" s="76">
        <v>14476</v>
      </c>
      <c r="AI104" s="76">
        <v>2540</v>
      </c>
      <c r="AJ104" s="76">
        <v>1381</v>
      </c>
      <c r="AK104" s="76">
        <v>1939</v>
      </c>
      <c r="AL104" s="76">
        <v>707</v>
      </c>
      <c r="AM104" s="76">
        <v>3279</v>
      </c>
      <c r="AN104" s="76">
        <v>10</v>
      </c>
      <c r="AO104" s="76">
        <v>985</v>
      </c>
      <c r="AP104" s="76">
        <v>0</v>
      </c>
      <c r="AQ104" s="76">
        <v>31</v>
      </c>
      <c r="AR104" s="76">
        <v>10872</v>
      </c>
      <c r="AS104" s="76">
        <v>3604</v>
      </c>
      <c r="AT104" s="76">
        <v>257</v>
      </c>
      <c r="AU104" s="76">
        <v>45614</v>
      </c>
      <c r="AV104" s="76">
        <v>0</v>
      </c>
      <c r="AW104" s="76">
        <v>63</v>
      </c>
      <c r="AX104" s="76">
        <v>0</v>
      </c>
      <c r="AY104" s="76">
        <v>0</v>
      </c>
      <c r="AZ104" s="76">
        <v>0</v>
      </c>
      <c r="BA104" s="76">
        <v>0</v>
      </c>
      <c r="BB104" s="76">
        <v>0</v>
      </c>
      <c r="BC104" s="76">
        <v>0</v>
      </c>
      <c r="BD104" s="76">
        <v>0</v>
      </c>
      <c r="BE104" s="76">
        <v>45677</v>
      </c>
      <c r="BF104" s="76">
        <v>0</v>
      </c>
      <c r="BG104" s="76">
        <v>3557</v>
      </c>
      <c r="BH104" s="76">
        <v>12467</v>
      </c>
      <c r="BI104" s="76">
        <v>0</v>
      </c>
      <c r="BJ104" s="76">
        <v>6842</v>
      </c>
      <c r="BK104" s="76">
        <v>22866</v>
      </c>
      <c r="BL104" s="76">
        <v>0</v>
      </c>
      <c r="BM104" s="76">
        <v>0</v>
      </c>
      <c r="BN104" s="76">
        <v>6</v>
      </c>
      <c r="BO104" s="76">
        <v>4342</v>
      </c>
      <c r="BP104" s="76">
        <v>4348</v>
      </c>
      <c r="BQ104" s="76">
        <v>18518</v>
      </c>
      <c r="BR104" s="76">
        <v>64195</v>
      </c>
      <c r="BS104" s="76">
        <v>21071</v>
      </c>
      <c r="BT104" s="76">
        <v>0</v>
      </c>
      <c r="BU104" s="76">
        <v>0</v>
      </c>
      <c r="BV104" s="76">
        <v>574</v>
      </c>
      <c r="BW104" s="76">
        <v>0</v>
      </c>
      <c r="BX104" s="76">
        <v>0</v>
      </c>
      <c r="BY104" s="76">
        <v>136</v>
      </c>
      <c r="BZ104" s="76">
        <v>21781</v>
      </c>
      <c r="CA104" s="76">
        <v>1355</v>
      </c>
      <c r="CB104" s="76">
        <v>8649</v>
      </c>
      <c r="CC104" s="76">
        <v>32410</v>
      </c>
      <c r="CD104" s="76">
        <v>32410</v>
      </c>
      <c r="CE104" s="76">
        <v>0</v>
      </c>
      <c r="CF104" s="76">
        <v>0</v>
      </c>
      <c r="CG104" s="76">
        <v>0</v>
      </c>
      <c r="CH104" s="76">
        <v>0</v>
      </c>
      <c r="CI104" s="76">
        <v>32410</v>
      </c>
      <c r="CJ104" s="76">
        <v>0</v>
      </c>
      <c r="CK104" s="76">
        <v>0</v>
      </c>
      <c r="CL104" s="76">
        <v>0</v>
      </c>
      <c r="CM104" s="76">
        <v>0</v>
      </c>
      <c r="CN104" s="76">
        <v>0</v>
      </c>
      <c r="CO104" s="76">
        <v>0</v>
      </c>
      <c r="CP104" s="76">
        <v>0</v>
      </c>
      <c r="CQ104" s="76">
        <v>0</v>
      </c>
      <c r="CR104" s="76">
        <v>0</v>
      </c>
      <c r="CS104" s="76">
        <v>0</v>
      </c>
      <c r="CT104" s="76">
        <v>0</v>
      </c>
      <c r="CU104" s="76">
        <v>0</v>
      </c>
      <c r="CV104" s="76">
        <v>0</v>
      </c>
      <c r="CW104" s="76">
        <v>0</v>
      </c>
      <c r="CX104" s="76">
        <v>0</v>
      </c>
      <c r="CY104" s="76">
        <v>0</v>
      </c>
      <c r="CZ104" s="76">
        <v>275</v>
      </c>
      <c r="DA104" s="76">
        <v>0</v>
      </c>
      <c r="DB104" s="76">
        <v>197</v>
      </c>
      <c r="DC104" s="76">
        <v>78</v>
      </c>
      <c r="DD104" s="76">
        <v>275</v>
      </c>
      <c r="DE104" s="76">
        <v>0</v>
      </c>
      <c r="DF104" s="76">
        <v>197</v>
      </c>
      <c r="DG104" s="76">
        <v>78</v>
      </c>
      <c r="DH104" s="76">
        <v>0</v>
      </c>
      <c r="DI104" s="76">
        <v>0</v>
      </c>
      <c r="DJ104" s="76">
        <v>0</v>
      </c>
      <c r="DK104" s="76">
        <v>0</v>
      </c>
      <c r="DL104" s="76">
        <v>0</v>
      </c>
      <c r="DM104" s="76">
        <v>0</v>
      </c>
      <c r="DN104" s="76">
        <v>0</v>
      </c>
      <c r="DO104" s="76">
        <v>0</v>
      </c>
      <c r="DP104" s="76">
        <v>0</v>
      </c>
      <c r="DQ104" s="76">
        <v>0</v>
      </c>
      <c r="DR104" s="76">
        <v>0</v>
      </c>
      <c r="DS104" s="76">
        <v>0</v>
      </c>
      <c r="DT104" s="76">
        <v>0</v>
      </c>
      <c r="DU104" s="76">
        <v>0</v>
      </c>
      <c r="DV104" s="76">
        <v>0</v>
      </c>
      <c r="DW104" s="76">
        <v>0</v>
      </c>
      <c r="DX104" s="76">
        <v>0</v>
      </c>
      <c r="DY104" s="76">
        <v>0</v>
      </c>
      <c r="DZ104" s="76">
        <v>0</v>
      </c>
      <c r="EA104" s="76">
        <v>0</v>
      </c>
      <c r="EB104" s="76">
        <v>175</v>
      </c>
      <c r="EC104" s="76">
        <v>0</v>
      </c>
      <c r="ED104" s="76">
        <v>45</v>
      </c>
      <c r="EE104" s="76">
        <v>130</v>
      </c>
      <c r="EF104" s="76">
        <v>175</v>
      </c>
      <c r="EG104" s="76">
        <v>0</v>
      </c>
      <c r="EH104" s="76">
        <v>45</v>
      </c>
      <c r="EI104" s="76">
        <v>130</v>
      </c>
      <c r="EJ104" s="76">
        <v>450</v>
      </c>
      <c r="EK104" s="76">
        <v>0</v>
      </c>
      <c r="EL104" s="76">
        <v>242</v>
      </c>
      <c r="EM104" s="76">
        <v>208</v>
      </c>
      <c r="EN104" s="76">
        <v>486</v>
      </c>
      <c r="EO104" s="76">
        <v>207</v>
      </c>
      <c r="EP104" s="76">
        <v>74</v>
      </c>
      <c r="EQ104" s="76">
        <v>166</v>
      </c>
      <c r="ER104" s="76">
        <v>47102</v>
      </c>
      <c r="ES104" s="76">
        <v>0</v>
      </c>
      <c r="ET104" s="76">
        <v>47102</v>
      </c>
      <c r="EU104" s="76">
        <v>1514</v>
      </c>
      <c r="EV104" s="76">
        <v>-660</v>
      </c>
      <c r="EW104" s="76">
        <v>0</v>
      </c>
      <c r="EX104" s="76">
        <v>0</v>
      </c>
      <c r="EY104" s="76">
        <v>0</v>
      </c>
      <c r="EZ104" s="76">
        <v>47956</v>
      </c>
      <c r="FA104" s="76">
        <v>1543</v>
      </c>
      <c r="FB104" s="76">
        <v>830</v>
      </c>
      <c r="FC104" s="76">
        <v>0</v>
      </c>
      <c r="FD104" s="76">
        <v>0</v>
      </c>
      <c r="FE104" s="76">
        <v>-31</v>
      </c>
      <c r="FF104" s="76">
        <v>0</v>
      </c>
      <c r="FG104" s="76">
        <v>0</v>
      </c>
      <c r="FH104" s="76">
        <v>2342</v>
      </c>
      <c r="FI104" s="76">
        <v>45614</v>
      </c>
      <c r="FJ104" s="76">
        <v>45559</v>
      </c>
      <c r="FK104" s="76">
        <v>0</v>
      </c>
      <c r="FL104" s="76">
        <v>0</v>
      </c>
      <c r="FM104" s="76">
        <v>0</v>
      </c>
      <c r="FN104" s="76">
        <v>1854</v>
      </c>
      <c r="FO104" s="76">
        <v>1256</v>
      </c>
      <c r="FP104" s="76">
        <v>598</v>
      </c>
      <c r="FQ104" s="76">
        <v>0</v>
      </c>
      <c r="FR104" s="76">
        <v>0</v>
      </c>
      <c r="FS104" s="76">
        <v>0</v>
      </c>
      <c r="FT104" s="76">
        <v>0</v>
      </c>
      <c r="FU104" s="76">
        <v>0</v>
      </c>
      <c r="FV104" s="76">
        <v>0</v>
      </c>
      <c r="FW104" s="76">
        <v>0</v>
      </c>
      <c r="FX104" s="76">
        <v>0</v>
      </c>
      <c r="FY104" s="76">
        <v>0</v>
      </c>
      <c r="FZ104" s="76">
        <v>0</v>
      </c>
      <c r="GA104" s="76">
        <v>0</v>
      </c>
      <c r="GB104" s="76">
        <v>0</v>
      </c>
      <c r="GC104" s="76">
        <v>1854</v>
      </c>
      <c r="GD104" s="76">
        <v>1256</v>
      </c>
      <c r="GE104" s="76">
        <v>598</v>
      </c>
      <c r="GF104" s="76">
        <v>306</v>
      </c>
      <c r="GG104" s="76">
        <v>0</v>
      </c>
      <c r="GH104" s="76">
        <v>507</v>
      </c>
      <c r="GI104" s="76">
        <v>6029</v>
      </c>
      <c r="GJ104" s="76">
        <v>0</v>
      </c>
      <c r="GK104" s="76">
        <v>0</v>
      </c>
      <c r="GL104" s="76">
        <v>6842</v>
      </c>
      <c r="GM104" s="76">
        <v>395</v>
      </c>
      <c r="GN104" s="76">
        <v>186</v>
      </c>
      <c r="GO104" s="76">
        <v>519</v>
      </c>
      <c r="GP104" s="76">
        <v>0</v>
      </c>
      <c r="GQ104" s="76">
        <v>0</v>
      </c>
      <c r="GR104" s="76">
        <v>1811</v>
      </c>
      <c r="GS104" s="76">
        <v>0</v>
      </c>
      <c r="GT104" s="76">
        <v>0</v>
      </c>
      <c r="GU104" s="76">
        <v>0</v>
      </c>
      <c r="GV104" s="76">
        <v>0</v>
      </c>
      <c r="GW104" s="76">
        <v>1431</v>
      </c>
      <c r="GX104" s="76">
        <v>4342</v>
      </c>
      <c r="GY104" s="76">
        <v>0</v>
      </c>
      <c r="GZ104" s="76">
        <v>136</v>
      </c>
      <c r="HA104" s="76">
        <v>0</v>
      </c>
      <c r="HB104" s="76">
        <v>0</v>
      </c>
      <c r="HC104" s="76">
        <v>136</v>
      </c>
      <c r="HD104" s="76">
        <v>8649</v>
      </c>
      <c r="HE104" s="76">
        <v>0</v>
      </c>
      <c r="HF104" s="76">
        <v>8649</v>
      </c>
      <c r="HG104" s="76">
        <v>1306</v>
      </c>
      <c r="HH104" s="76">
        <v>0</v>
      </c>
      <c r="HI104" s="76">
        <v>21</v>
      </c>
      <c r="HJ104" s="76">
        <v>0</v>
      </c>
      <c r="HK104" s="76">
        <v>0</v>
      </c>
      <c r="HL104" s="76">
        <v>-16</v>
      </c>
      <c r="HM104" s="76">
        <v>1311</v>
      </c>
      <c r="HN104" s="76">
        <v>793</v>
      </c>
      <c r="HO104" s="76">
        <v>1016</v>
      </c>
      <c r="HP104" s="76">
        <v>0</v>
      </c>
      <c r="HQ104" s="76">
        <v>0</v>
      </c>
      <c r="HR104" s="76">
        <v>-58</v>
      </c>
      <c r="HS104" s="76">
        <v>6</v>
      </c>
      <c r="HT104" s="76">
        <v>3484</v>
      </c>
      <c r="HU104" s="76">
        <v>0</v>
      </c>
      <c r="HV104" s="76">
        <v>0</v>
      </c>
      <c r="HW104" s="76">
        <v>0</v>
      </c>
      <c r="HX104" s="76">
        <v>0</v>
      </c>
    </row>
    <row r="105" spans="1:232" x14ac:dyDescent="0.2">
      <c r="A105" s="74" t="s">
        <v>389</v>
      </c>
      <c r="B105" s="74" t="s">
        <v>390</v>
      </c>
      <c r="C105" s="75" t="s">
        <v>200</v>
      </c>
      <c r="D105" s="75">
        <v>12</v>
      </c>
      <c r="E105" s="76">
        <v>263200</v>
      </c>
      <c r="F105" s="76">
        <v>-6200</v>
      </c>
      <c r="G105" s="76">
        <v>-204000</v>
      </c>
      <c r="H105" s="76">
        <v>53000</v>
      </c>
      <c r="I105" s="76">
        <v>26000</v>
      </c>
      <c r="J105" s="76">
        <v>0</v>
      </c>
      <c r="K105" s="76">
        <v>0</v>
      </c>
      <c r="L105" s="76">
        <v>0</v>
      </c>
      <c r="M105" s="76">
        <v>2000</v>
      </c>
      <c r="N105" s="76">
        <v>-64800</v>
      </c>
      <c r="O105" s="76">
        <v>12600</v>
      </c>
      <c r="P105" s="76">
        <v>-4200</v>
      </c>
      <c r="Q105" s="76">
        <v>0</v>
      </c>
      <c r="R105" s="76">
        <v>0</v>
      </c>
      <c r="S105" s="76">
        <v>24600</v>
      </c>
      <c r="T105" s="76">
        <v>-200</v>
      </c>
      <c r="U105" s="76">
        <v>24400</v>
      </c>
      <c r="V105" s="76">
        <v>0</v>
      </c>
      <c r="W105" s="76">
        <v>-1500</v>
      </c>
      <c r="X105" s="76">
        <v>5200</v>
      </c>
      <c r="Y105" s="76">
        <v>0</v>
      </c>
      <c r="Z105" s="76">
        <v>28100</v>
      </c>
      <c r="AA105" s="76">
        <v>191700</v>
      </c>
      <c r="AB105" s="76">
        <v>29700</v>
      </c>
      <c r="AC105" s="76">
        <v>221400</v>
      </c>
      <c r="AD105" s="76">
        <v>5700</v>
      </c>
      <c r="AE105" s="76">
        <v>0</v>
      </c>
      <c r="AF105" s="76">
        <v>8700</v>
      </c>
      <c r="AG105" s="76">
        <v>4600</v>
      </c>
      <c r="AH105" s="76">
        <v>240400</v>
      </c>
      <c r="AI105" s="76">
        <v>76500</v>
      </c>
      <c r="AJ105" s="76">
        <v>27300</v>
      </c>
      <c r="AK105" s="76">
        <v>16600</v>
      </c>
      <c r="AL105" s="76">
        <v>8600</v>
      </c>
      <c r="AM105" s="76">
        <v>0</v>
      </c>
      <c r="AN105" s="76">
        <v>3100</v>
      </c>
      <c r="AO105" s="76">
        <v>19100</v>
      </c>
      <c r="AP105" s="76">
        <v>0</v>
      </c>
      <c r="AQ105" s="76">
        <v>42100</v>
      </c>
      <c r="AR105" s="76">
        <v>193300</v>
      </c>
      <c r="AS105" s="76">
        <v>47100</v>
      </c>
      <c r="AT105" s="76">
        <v>4500</v>
      </c>
      <c r="AU105" s="76">
        <v>3073000</v>
      </c>
      <c r="AV105" s="76">
        <v>0</v>
      </c>
      <c r="AW105" s="76">
        <v>30000</v>
      </c>
      <c r="AX105" s="76">
        <v>0</v>
      </c>
      <c r="AY105" s="76">
        <v>0</v>
      </c>
      <c r="AZ105" s="76">
        <v>130500</v>
      </c>
      <c r="BA105" s="76">
        <v>0</v>
      </c>
      <c r="BB105" s="76">
        <v>2500</v>
      </c>
      <c r="BC105" s="76">
        <v>900</v>
      </c>
      <c r="BD105" s="76">
        <v>0</v>
      </c>
      <c r="BE105" s="76">
        <v>3236900</v>
      </c>
      <c r="BF105" s="76">
        <v>74100</v>
      </c>
      <c r="BG105" s="76">
        <v>43500</v>
      </c>
      <c r="BH105" s="76">
        <v>55600</v>
      </c>
      <c r="BI105" s="76">
        <v>33500</v>
      </c>
      <c r="BJ105" s="76">
        <v>4000</v>
      </c>
      <c r="BK105" s="76">
        <v>210700</v>
      </c>
      <c r="BL105" s="76">
        <v>51600</v>
      </c>
      <c r="BM105" s="76">
        <v>0</v>
      </c>
      <c r="BN105" s="76">
        <v>5700</v>
      </c>
      <c r="BO105" s="76">
        <v>67600</v>
      </c>
      <c r="BP105" s="76">
        <v>124900</v>
      </c>
      <c r="BQ105" s="76">
        <v>85800</v>
      </c>
      <c r="BR105" s="76">
        <v>3322700</v>
      </c>
      <c r="BS105" s="76">
        <v>931800</v>
      </c>
      <c r="BT105" s="76">
        <v>529100</v>
      </c>
      <c r="BU105" s="76">
        <v>0</v>
      </c>
      <c r="BV105" s="76">
        <v>868700</v>
      </c>
      <c r="BW105" s="76">
        <v>0</v>
      </c>
      <c r="BX105" s="76">
        <v>119000</v>
      </c>
      <c r="BY105" s="76">
        <v>44300</v>
      </c>
      <c r="BZ105" s="76">
        <v>2492900</v>
      </c>
      <c r="CA105" s="76">
        <v>32900</v>
      </c>
      <c r="CB105" s="76">
        <v>1400</v>
      </c>
      <c r="CC105" s="76">
        <v>795500</v>
      </c>
      <c r="CD105" s="76">
        <v>398600</v>
      </c>
      <c r="CE105" s="76">
        <v>418600</v>
      </c>
      <c r="CF105" s="76">
        <v>200</v>
      </c>
      <c r="CG105" s="76">
        <v>-21900</v>
      </c>
      <c r="CH105" s="76">
        <v>0</v>
      </c>
      <c r="CI105" s="76">
        <v>795500</v>
      </c>
      <c r="CJ105" s="76">
        <v>6300</v>
      </c>
      <c r="CK105" s="76">
        <v>5600</v>
      </c>
      <c r="CL105" s="76">
        <v>0</v>
      </c>
      <c r="CM105" s="76">
        <v>700</v>
      </c>
      <c r="CN105" s="76">
        <v>0</v>
      </c>
      <c r="CO105" s="76">
        <v>0</v>
      </c>
      <c r="CP105" s="76">
        <v>0</v>
      </c>
      <c r="CQ105" s="76">
        <v>0</v>
      </c>
      <c r="CR105" s="76">
        <v>0</v>
      </c>
      <c r="CS105" s="76">
        <v>0</v>
      </c>
      <c r="CT105" s="76">
        <v>0</v>
      </c>
      <c r="CU105" s="76">
        <v>0</v>
      </c>
      <c r="CV105" s="76">
        <v>0</v>
      </c>
      <c r="CW105" s="76">
        <v>0</v>
      </c>
      <c r="CX105" s="76">
        <v>0</v>
      </c>
      <c r="CY105" s="76">
        <v>0</v>
      </c>
      <c r="CZ105" s="76">
        <v>0</v>
      </c>
      <c r="DA105" s="76">
        <v>0</v>
      </c>
      <c r="DB105" s="76">
        <v>0</v>
      </c>
      <c r="DC105" s="76">
        <v>0</v>
      </c>
      <c r="DD105" s="76">
        <v>6300</v>
      </c>
      <c r="DE105" s="76">
        <v>5600</v>
      </c>
      <c r="DF105" s="76">
        <v>0</v>
      </c>
      <c r="DG105" s="76">
        <v>700</v>
      </c>
      <c r="DH105" s="76">
        <v>3500</v>
      </c>
      <c r="DI105" s="76">
        <v>600</v>
      </c>
      <c r="DJ105" s="76">
        <v>0</v>
      </c>
      <c r="DK105" s="76">
        <v>2900</v>
      </c>
      <c r="DL105" s="76">
        <v>0</v>
      </c>
      <c r="DM105" s="76">
        <v>0</v>
      </c>
      <c r="DN105" s="76">
        <v>0</v>
      </c>
      <c r="DO105" s="76">
        <v>0</v>
      </c>
      <c r="DP105" s="76">
        <v>0</v>
      </c>
      <c r="DQ105" s="76">
        <v>0</v>
      </c>
      <c r="DR105" s="76">
        <v>0</v>
      </c>
      <c r="DS105" s="76">
        <v>0</v>
      </c>
      <c r="DT105" s="76">
        <v>13000</v>
      </c>
      <c r="DU105" s="76">
        <v>0</v>
      </c>
      <c r="DV105" s="76">
        <v>10700</v>
      </c>
      <c r="DW105" s="76">
        <v>2300</v>
      </c>
      <c r="DX105" s="76">
        <v>0</v>
      </c>
      <c r="DY105" s="76">
        <v>0</v>
      </c>
      <c r="DZ105" s="76">
        <v>0</v>
      </c>
      <c r="EA105" s="76">
        <v>0</v>
      </c>
      <c r="EB105" s="76">
        <v>0</v>
      </c>
      <c r="EC105" s="76">
        <v>0</v>
      </c>
      <c r="ED105" s="76">
        <v>0</v>
      </c>
      <c r="EE105" s="76">
        <v>0</v>
      </c>
      <c r="EF105" s="76">
        <v>16500</v>
      </c>
      <c r="EG105" s="76">
        <v>600</v>
      </c>
      <c r="EH105" s="76">
        <v>10700</v>
      </c>
      <c r="EI105" s="76">
        <v>5200</v>
      </c>
      <c r="EJ105" s="76">
        <v>22800</v>
      </c>
      <c r="EK105" s="76">
        <v>6200</v>
      </c>
      <c r="EL105" s="76">
        <v>10700</v>
      </c>
      <c r="EM105" s="76">
        <v>5900</v>
      </c>
      <c r="EN105" s="76">
        <v>16441</v>
      </c>
      <c r="EO105" s="76">
        <v>6926</v>
      </c>
      <c r="EP105" s="76">
        <v>1745</v>
      </c>
      <c r="EQ105" s="76">
        <v>6926</v>
      </c>
      <c r="ER105" s="76">
        <v>3249800</v>
      </c>
      <c r="ES105" s="76">
        <v>0</v>
      </c>
      <c r="ET105" s="76">
        <v>3249800</v>
      </c>
      <c r="EU105" s="76">
        <v>78800</v>
      </c>
      <c r="EV105" s="76">
        <v>-37700</v>
      </c>
      <c r="EW105" s="76">
        <v>0</v>
      </c>
      <c r="EX105" s="76">
        <v>0</v>
      </c>
      <c r="EY105" s="76">
        <v>13200</v>
      </c>
      <c r="EZ105" s="76">
        <v>3304100</v>
      </c>
      <c r="FA105" s="76">
        <v>214800</v>
      </c>
      <c r="FB105" s="76">
        <v>19100</v>
      </c>
      <c r="FC105" s="76">
        <v>0</v>
      </c>
      <c r="FD105" s="76">
        <v>0</v>
      </c>
      <c r="FE105" s="76">
        <v>-2800</v>
      </c>
      <c r="FF105" s="76">
        <v>0</v>
      </c>
      <c r="FG105" s="76">
        <v>0</v>
      </c>
      <c r="FH105" s="76">
        <v>231100</v>
      </c>
      <c r="FI105" s="76">
        <v>3073000</v>
      </c>
      <c r="FJ105" s="76">
        <v>3035000</v>
      </c>
      <c r="FK105" s="76">
        <v>32300</v>
      </c>
      <c r="FL105" s="76">
        <v>23300</v>
      </c>
      <c r="FM105" s="76">
        <v>9000</v>
      </c>
      <c r="FN105" s="76">
        <v>300</v>
      </c>
      <c r="FO105" s="76">
        <v>300</v>
      </c>
      <c r="FP105" s="76">
        <v>0</v>
      </c>
      <c r="FQ105" s="76">
        <v>0</v>
      </c>
      <c r="FR105" s="76">
        <v>0</v>
      </c>
      <c r="FS105" s="76">
        <v>0</v>
      </c>
      <c r="FT105" s="76">
        <v>19800</v>
      </c>
      <c r="FU105" s="76">
        <v>9800</v>
      </c>
      <c r="FV105" s="76">
        <v>10000</v>
      </c>
      <c r="FW105" s="76">
        <v>12400</v>
      </c>
      <c r="FX105" s="76">
        <v>5200</v>
      </c>
      <c r="FY105" s="76">
        <v>7200</v>
      </c>
      <c r="FZ105" s="76">
        <v>1100</v>
      </c>
      <c r="GA105" s="76">
        <v>1300</v>
      </c>
      <c r="GB105" s="76">
        <v>-200</v>
      </c>
      <c r="GC105" s="76">
        <v>65900</v>
      </c>
      <c r="GD105" s="76">
        <v>39900</v>
      </c>
      <c r="GE105" s="76">
        <v>26000</v>
      </c>
      <c r="GF105" s="76">
        <v>0</v>
      </c>
      <c r="GG105" s="76">
        <v>0</v>
      </c>
      <c r="GH105" s="76">
        <v>0</v>
      </c>
      <c r="GI105" s="76">
        <v>0</v>
      </c>
      <c r="GJ105" s="76">
        <v>0</v>
      </c>
      <c r="GK105" s="76">
        <v>4000</v>
      </c>
      <c r="GL105" s="76">
        <v>4000</v>
      </c>
      <c r="GM105" s="76">
        <v>5800</v>
      </c>
      <c r="GN105" s="76">
        <v>10910</v>
      </c>
      <c r="GO105" s="76">
        <v>1700</v>
      </c>
      <c r="GP105" s="76">
        <v>5900</v>
      </c>
      <c r="GQ105" s="76">
        <v>300</v>
      </c>
      <c r="GR105" s="76">
        <v>29800</v>
      </c>
      <c r="GS105" s="76">
        <v>0</v>
      </c>
      <c r="GT105" s="76">
        <v>0</v>
      </c>
      <c r="GU105" s="76">
        <v>0</v>
      </c>
      <c r="GV105" s="76">
        <v>0</v>
      </c>
      <c r="GW105" s="76">
        <v>13190</v>
      </c>
      <c r="GX105" s="76">
        <v>67600</v>
      </c>
      <c r="GY105" s="76">
        <v>26900</v>
      </c>
      <c r="GZ105" s="76">
        <v>3400</v>
      </c>
      <c r="HA105" s="76">
        <v>0</v>
      </c>
      <c r="HB105" s="76">
        <v>14000</v>
      </c>
      <c r="HC105" s="76">
        <v>44300</v>
      </c>
      <c r="HD105" s="76">
        <v>1400</v>
      </c>
      <c r="HE105" s="76">
        <v>0</v>
      </c>
      <c r="HF105" s="76">
        <v>1400</v>
      </c>
      <c r="HG105" s="76">
        <v>67700</v>
      </c>
      <c r="HH105" s="76">
        <v>800</v>
      </c>
      <c r="HI105" s="76">
        <v>1000</v>
      </c>
      <c r="HJ105" s="76">
        <v>0</v>
      </c>
      <c r="HK105" s="76">
        <v>0</v>
      </c>
      <c r="HL105" s="76">
        <v>-4700</v>
      </c>
      <c r="HM105" s="76">
        <v>64800</v>
      </c>
      <c r="HN105" s="76">
        <v>25000</v>
      </c>
      <c r="HO105" s="76">
        <v>23600</v>
      </c>
      <c r="HP105" s="76">
        <v>0</v>
      </c>
      <c r="HQ105" s="76">
        <v>70</v>
      </c>
      <c r="HR105" s="76">
        <v>-75</v>
      </c>
      <c r="HS105" s="76">
        <v>-279</v>
      </c>
      <c r="HT105" s="76">
        <v>29623</v>
      </c>
      <c r="HU105" s="76">
        <v>125</v>
      </c>
      <c r="HV105" s="76">
        <v>0</v>
      </c>
      <c r="HW105" s="76">
        <v>-130</v>
      </c>
      <c r="HX105" s="76">
        <v>1154</v>
      </c>
    </row>
    <row r="106" spans="1:232" x14ac:dyDescent="0.2">
      <c r="A106" s="74" t="s">
        <v>392</v>
      </c>
      <c r="B106" s="74" t="s">
        <v>78</v>
      </c>
      <c r="C106" s="75" t="s">
        <v>200</v>
      </c>
      <c r="D106" s="75">
        <v>12</v>
      </c>
      <c r="E106" s="76">
        <v>25068</v>
      </c>
      <c r="F106" s="76">
        <v>-1000</v>
      </c>
      <c r="G106" s="76">
        <v>-22707</v>
      </c>
      <c r="H106" s="76">
        <v>1361</v>
      </c>
      <c r="I106" s="76">
        <v>14</v>
      </c>
      <c r="J106" s="76">
        <v>795</v>
      </c>
      <c r="K106" s="76">
        <v>-1588</v>
      </c>
      <c r="L106" s="76">
        <v>0</v>
      </c>
      <c r="M106" s="76">
        <v>24577</v>
      </c>
      <c r="N106" s="76">
        <v>-24727</v>
      </c>
      <c r="O106" s="76">
        <v>-650</v>
      </c>
      <c r="P106" s="76">
        <v>0</v>
      </c>
      <c r="Q106" s="76">
        <v>0</v>
      </c>
      <c r="R106" s="76">
        <v>0</v>
      </c>
      <c r="S106" s="76">
        <v>-218</v>
      </c>
      <c r="T106" s="76">
        <v>0</v>
      </c>
      <c r="U106" s="76">
        <v>-218</v>
      </c>
      <c r="V106" s="76">
        <v>0</v>
      </c>
      <c r="W106" s="76">
        <v>-11220</v>
      </c>
      <c r="X106" s="76">
        <v>0</v>
      </c>
      <c r="Y106" s="76">
        <v>718</v>
      </c>
      <c r="Z106" s="76">
        <v>-10720</v>
      </c>
      <c r="AA106" s="76">
        <v>315</v>
      </c>
      <c r="AB106" s="76">
        <v>0</v>
      </c>
      <c r="AC106" s="76">
        <v>315</v>
      </c>
      <c r="AD106" s="76">
        <v>4</v>
      </c>
      <c r="AE106" s="76">
        <v>0</v>
      </c>
      <c r="AF106" s="76">
        <v>0</v>
      </c>
      <c r="AG106" s="76">
        <v>0</v>
      </c>
      <c r="AH106" s="76">
        <v>319</v>
      </c>
      <c r="AI106" s="76">
        <v>49</v>
      </c>
      <c r="AJ106" s="76">
        <v>0</v>
      </c>
      <c r="AK106" s="76">
        <v>0</v>
      </c>
      <c r="AL106" s="76">
        <v>0</v>
      </c>
      <c r="AM106" s="76">
        <v>0</v>
      </c>
      <c r="AN106" s="76">
        <v>0</v>
      </c>
      <c r="AO106" s="76">
        <v>320</v>
      </c>
      <c r="AP106" s="76">
        <v>0</v>
      </c>
      <c r="AQ106" s="76">
        <v>0</v>
      </c>
      <c r="AR106" s="76">
        <v>369</v>
      </c>
      <c r="AS106" s="76">
        <v>-50</v>
      </c>
      <c r="AT106" s="76">
        <v>3</v>
      </c>
      <c r="AU106" s="76">
        <v>1033532</v>
      </c>
      <c r="AV106" s="76">
        <v>0</v>
      </c>
      <c r="AW106" s="76">
        <v>17046</v>
      </c>
      <c r="AX106" s="76">
        <v>90</v>
      </c>
      <c r="AY106" s="76">
        <v>879</v>
      </c>
      <c r="AZ106" s="76">
        <v>14818</v>
      </c>
      <c r="BA106" s="76">
        <v>0</v>
      </c>
      <c r="BB106" s="76">
        <v>0</v>
      </c>
      <c r="BC106" s="76">
        <v>35382</v>
      </c>
      <c r="BD106" s="76">
        <v>33882</v>
      </c>
      <c r="BE106" s="76">
        <v>1135629</v>
      </c>
      <c r="BF106" s="76">
        <v>13371</v>
      </c>
      <c r="BG106" s="76">
        <v>14827</v>
      </c>
      <c r="BH106" s="76">
        <v>8054</v>
      </c>
      <c r="BI106" s="76">
        <v>0</v>
      </c>
      <c r="BJ106" s="76">
        <v>562</v>
      </c>
      <c r="BK106" s="76">
        <v>36814</v>
      </c>
      <c r="BL106" s="76">
        <v>12456</v>
      </c>
      <c r="BM106" s="76">
        <v>4314</v>
      </c>
      <c r="BN106" s="76">
        <v>0</v>
      </c>
      <c r="BO106" s="76">
        <v>16015</v>
      </c>
      <c r="BP106" s="76">
        <v>32785</v>
      </c>
      <c r="BQ106" s="76">
        <v>4029</v>
      </c>
      <c r="BR106" s="76">
        <v>1139658</v>
      </c>
      <c r="BS106" s="76">
        <v>574666</v>
      </c>
      <c r="BT106" s="76">
        <v>55943</v>
      </c>
      <c r="BU106" s="76">
        <v>0</v>
      </c>
      <c r="BV106" s="76">
        <v>10236</v>
      </c>
      <c r="BW106" s="76">
        <v>0</v>
      </c>
      <c r="BX106" s="76">
        <v>0</v>
      </c>
      <c r="BY106" s="76">
        <v>0</v>
      </c>
      <c r="BZ106" s="76">
        <v>640845</v>
      </c>
      <c r="CA106" s="76">
        <v>18620</v>
      </c>
      <c r="CB106" s="76">
        <v>0</v>
      </c>
      <c r="CC106" s="76">
        <v>480193</v>
      </c>
      <c r="CD106" s="76">
        <v>37719</v>
      </c>
      <c r="CE106" s="76">
        <v>148609</v>
      </c>
      <c r="CF106" s="76">
        <v>293865</v>
      </c>
      <c r="CG106" s="76">
        <v>0</v>
      </c>
      <c r="CH106" s="76">
        <v>0</v>
      </c>
      <c r="CI106" s="76">
        <v>480193</v>
      </c>
      <c r="CJ106" s="76">
        <v>0</v>
      </c>
      <c r="CK106" s="76">
        <v>0</v>
      </c>
      <c r="CL106" s="76">
        <v>0</v>
      </c>
      <c r="CM106" s="76">
        <v>0</v>
      </c>
      <c r="CN106" s="76">
        <v>0</v>
      </c>
      <c r="CO106" s="76">
        <v>0</v>
      </c>
      <c r="CP106" s="76">
        <v>0</v>
      </c>
      <c r="CQ106" s="76">
        <v>0</v>
      </c>
      <c r="CR106" s="76">
        <v>0</v>
      </c>
      <c r="CS106" s="76">
        <v>0</v>
      </c>
      <c r="CT106" s="76">
        <v>0</v>
      </c>
      <c r="CU106" s="76">
        <v>0</v>
      </c>
      <c r="CV106" s="76">
        <v>0</v>
      </c>
      <c r="CW106" s="76">
        <v>0</v>
      </c>
      <c r="CX106" s="76">
        <v>0</v>
      </c>
      <c r="CY106" s="76">
        <v>0</v>
      </c>
      <c r="CZ106" s="76">
        <v>133</v>
      </c>
      <c r="DA106" s="76">
        <v>0</v>
      </c>
      <c r="DB106" s="76">
        <v>133</v>
      </c>
      <c r="DC106" s="76">
        <v>0</v>
      </c>
      <c r="DD106" s="76">
        <v>133</v>
      </c>
      <c r="DE106" s="76">
        <v>0</v>
      </c>
      <c r="DF106" s="76">
        <v>133</v>
      </c>
      <c r="DG106" s="76">
        <v>0</v>
      </c>
      <c r="DH106" s="76">
        <v>0</v>
      </c>
      <c r="DI106" s="76">
        <v>0</v>
      </c>
      <c r="DJ106" s="76">
        <v>0</v>
      </c>
      <c r="DK106" s="76">
        <v>0</v>
      </c>
      <c r="DL106" s="76">
        <v>0</v>
      </c>
      <c r="DM106" s="76">
        <v>0</v>
      </c>
      <c r="DN106" s="76">
        <v>0</v>
      </c>
      <c r="DO106" s="76">
        <v>0</v>
      </c>
      <c r="DP106" s="76">
        <v>0</v>
      </c>
      <c r="DQ106" s="76">
        <v>0</v>
      </c>
      <c r="DR106" s="76">
        <v>0</v>
      </c>
      <c r="DS106" s="76">
        <v>0</v>
      </c>
      <c r="DT106" s="76">
        <v>385</v>
      </c>
      <c r="DU106" s="76">
        <v>0</v>
      </c>
      <c r="DV106" s="76">
        <v>142</v>
      </c>
      <c r="DW106" s="76">
        <v>243</v>
      </c>
      <c r="DX106" s="76">
        <v>0</v>
      </c>
      <c r="DY106" s="76">
        <v>0</v>
      </c>
      <c r="DZ106" s="76">
        <v>0</v>
      </c>
      <c r="EA106" s="76">
        <v>0</v>
      </c>
      <c r="EB106" s="76">
        <v>24230</v>
      </c>
      <c r="EC106" s="76">
        <v>1000</v>
      </c>
      <c r="ED106" s="76">
        <v>22063</v>
      </c>
      <c r="EE106" s="76">
        <v>1167</v>
      </c>
      <c r="EF106" s="76">
        <v>24615</v>
      </c>
      <c r="EG106" s="76">
        <v>1000</v>
      </c>
      <c r="EH106" s="76">
        <v>22205</v>
      </c>
      <c r="EI106" s="76">
        <v>1410</v>
      </c>
      <c r="EJ106" s="76">
        <v>24748</v>
      </c>
      <c r="EK106" s="76">
        <v>1000</v>
      </c>
      <c r="EL106" s="76">
        <v>22338</v>
      </c>
      <c r="EM106" s="76">
        <v>1410</v>
      </c>
      <c r="EN106" s="76">
        <v>4581</v>
      </c>
      <c r="EO106" s="76">
        <v>2658</v>
      </c>
      <c r="EP106" s="76">
        <v>1296</v>
      </c>
      <c r="EQ106" s="76">
        <v>2207</v>
      </c>
      <c r="ER106" s="76">
        <v>12388</v>
      </c>
      <c r="ES106" s="76">
        <v>0</v>
      </c>
      <c r="ET106" s="76">
        <v>12388</v>
      </c>
      <c r="EU106" s="76">
        <v>37</v>
      </c>
      <c r="EV106" s="76">
        <v>-170</v>
      </c>
      <c r="EW106" s="76">
        <v>0</v>
      </c>
      <c r="EX106" s="76">
        <v>1175084</v>
      </c>
      <c r="EY106" s="76">
        <v>-186</v>
      </c>
      <c r="EZ106" s="76">
        <v>1187153</v>
      </c>
      <c r="FA106" s="76">
        <v>1826</v>
      </c>
      <c r="FB106" s="76">
        <v>320</v>
      </c>
      <c r="FC106" s="76">
        <v>0</v>
      </c>
      <c r="FD106" s="76">
        <v>0</v>
      </c>
      <c r="FE106" s="76">
        <v>-9</v>
      </c>
      <c r="FF106" s="76">
        <v>151670</v>
      </c>
      <c r="FG106" s="76">
        <v>-186</v>
      </c>
      <c r="FH106" s="76">
        <v>153621</v>
      </c>
      <c r="FI106" s="76">
        <v>1033532</v>
      </c>
      <c r="FJ106" s="76">
        <v>10562</v>
      </c>
      <c r="FK106" s="76">
        <v>110</v>
      </c>
      <c r="FL106" s="76">
        <v>126</v>
      </c>
      <c r="FM106" s="76">
        <v>-16</v>
      </c>
      <c r="FN106" s="76">
        <v>0</v>
      </c>
      <c r="FO106" s="76">
        <v>0</v>
      </c>
      <c r="FP106" s="76">
        <v>0</v>
      </c>
      <c r="FQ106" s="76">
        <v>73</v>
      </c>
      <c r="FR106" s="76">
        <v>50</v>
      </c>
      <c r="FS106" s="76">
        <v>23</v>
      </c>
      <c r="FT106" s="76">
        <v>0</v>
      </c>
      <c r="FU106" s="76">
        <v>0</v>
      </c>
      <c r="FV106" s="76">
        <v>0</v>
      </c>
      <c r="FW106" s="76">
        <v>0</v>
      </c>
      <c r="FX106" s="76">
        <v>0</v>
      </c>
      <c r="FY106" s="76">
        <v>0</v>
      </c>
      <c r="FZ106" s="76">
        <v>73</v>
      </c>
      <c r="GA106" s="76">
        <v>66</v>
      </c>
      <c r="GB106" s="76">
        <v>7</v>
      </c>
      <c r="GC106" s="76">
        <v>256</v>
      </c>
      <c r="GD106" s="76">
        <v>242</v>
      </c>
      <c r="GE106" s="76">
        <v>14</v>
      </c>
      <c r="GF106" s="76">
        <v>0</v>
      </c>
      <c r="GG106" s="76">
        <v>0</v>
      </c>
      <c r="GH106" s="76">
        <v>0</v>
      </c>
      <c r="GI106" s="76">
        <v>0</v>
      </c>
      <c r="GJ106" s="76">
        <v>0</v>
      </c>
      <c r="GK106" s="76">
        <v>562</v>
      </c>
      <c r="GL106" s="76">
        <v>562</v>
      </c>
      <c r="GM106" s="76">
        <v>1740</v>
      </c>
      <c r="GN106" s="76">
        <v>1933</v>
      </c>
      <c r="GO106" s="76">
        <v>7</v>
      </c>
      <c r="GP106" s="76">
        <v>49</v>
      </c>
      <c r="GQ106" s="76">
        <v>1627</v>
      </c>
      <c r="GR106" s="76">
        <v>6128</v>
      </c>
      <c r="GS106" s="76">
        <v>0</v>
      </c>
      <c r="GT106" s="76">
        <v>0</v>
      </c>
      <c r="GU106" s="76">
        <v>0</v>
      </c>
      <c r="GV106" s="76">
        <v>0</v>
      </c>
      <c r="GW106" s="76">
        <v>4531</v>
      </c>
      <c r="GX106" s="76">
        <v>16015</v>
      </c>
      <c r="GY106" s="76">
        <v>0</v>
      </c>
      <c r="GZ106" s="76">
        <v>0</v>
      </c>
      <c r="HA106" s="76">
        <v>0</v>
      </c>
      <c r="HB106" s="76">
        <v>0</v>
      </c>
      <c r="HC106" s="76">
        <v>0</v>
      </c>
      <c r="HD106" s="76">
        <v>0</v>
      </c>
      <c r="HE106" s="76">
        <v>0</v>
      </c>
      <c r="HF106" s="76">
        <v>0</v>
      </c>
      <c r="HG106" s="76">
        <v>24344</v>
      </c>
      <c r="HH106" s="76">
        <v>29</v>
      </c>
      <c r="HI106" s="76">
        <v>150</v>
      </c>
      <c r="HJ106" s="76">
        <v>0</v>
      </c>
      <c r="HK106" s="76">
        <v>204</v>
      </c>
      <c r="HL106" s="76">
        <v>0</v>
      </c>
      <c r="HM106" s="76">
        <v>24727</v>
      </c>
      <c r="HN106" s="76">
        <v>37</v>
      </c>
      <c r="HO106" s="76">
        <v>1239</v>
      </c>
      <c r="HP106" s="76">
        <v>0</v>
      </c>
      <c r="HQ106" s="76">
        <v>1</v>
      </c>
      <c r="HR106" s="76">
        <v>-2</v>
      </c>
      <c r="HS106" s="76">
        <v>29654</v>
      </c>
      <c r="HT106" s="76">
        <v>29719</v>
      </c>
      <c r="HU106" s="76">
        <v>3</v>
      </c>
      <c r="HV106" s="76">
        <v>0</v>
      </c>
      <c r="HW106" s="76">
        <v>0</v>
      </c>
      <c r="HX106" s="76">
        <v>316</v>
      </c>
    </row>
    <row r="107" spans="1:232" x14ac:dyDescent="0.2">
      <c r="A107" s="74" t="s">
        <v>393</v>
      </c>
      <c r="B107" s="74" t="s">
        <v>394</v>
      </c>
      <c r="C107" s="75" t="s">
        <v>200</v>
      </c>
      <c r="D107" s="75">
        <v>12</v>
      </c>
      <c r="E107" s="76">
        <v>111471</v>
      </c>
      <c r="F107" s="76">
        <v>-3068</v>
      </c>
      <c r="G107" s="76">
        <v>-63983</v>
      </c>
      <c r="H107" s="76">
        <v>44420</v>
      </c>
      <c r="I107" s="76">
        <v>11473</v>
      </c>
      <c r="J107" s="76">
        <v>0</v>
      </c>
      <c r="K107" s="76">
        <v>0</v>
      </c>
      <c r="L107" s="76">
        <v>0</v>
      </c>
      <c r="M107" s="76">
        <v>8310</v>
      </c>
      <c r="N107" s="76">
        <v>-24966</v>
      </c>
      <c r="O107" s="76">
        <v>-2360</v>
      </c>
      <c r="P107" s="76">
        <v>0</v>
      </c>
      <c r="Q107" s="76">
        <v>0</v>
      </c>
      <c r="R107" s="76">
        <v>0</v>
      </c>
      <c r="S107" s="76">
        <v>36877</v>
      </c>
      <c r="T107" s="76">
        <v>-1291</v>
      </c>
      <c r="U107" s="76">
        <v>35586</v>
      </c>
      <c r="V107" s="76">
        <v>0</v>
      </c>
      <c r="W107" s="76">
        <v>-10497</v>
      </c>
      <c r="X107" s="76">
        <v>0</v>
      </c>
      <c r="Y107" s="76">
        <v>0</v>
      </c>
      <c r="Z107" s="76">
        <v>25089</v>
      </c>
      <c r="AA107" s="76">
        <v>78259</v>
      </c>
      <c r="AB107" s="76">
        <v>4661</v>
      </c>
      <c r="AC107" s="76">
        <v>82920</v>
      </c>
      <c r="AD107" s="76">
        <v>147</v>
      </c>
      <c r="AE107" s="76">
        <v>0</v>
      </c>
      <c r="AF107" s="76">
        <v>468</v>
      </c>
      <c r="AG107" s="76">
        <v>4618</v>
      </c>
      <c r="AH107" s="76">
        <v>88153</v>
      </c>
      <c r="AI107" s="76">
        <v>16806</v>
      </c>
      <c r="AJ107" s="76">
        <v>6962</v>
      </c>
      <c r="AK107" s="76">
        <v>10718</v>
      </c>
      <c r="AL107" s="76">
        <v>7705</v>
      </c>
      <c r="AM107" s="76">
        <v>0</v>
      </c>
      <c r="AN107" s="76">
        <v>616</v>
      </c>
      <c r="AO107" s="76">
        <v>11645</v>
      </c>
      <c r="AP107" s="76">
        <v>0</v>
      </c>
      <c r="AQ107" s="76">
        <v>0</v>
      </c>
      <c r="AR107" s="76">
        <v>54452</v>
      </c>
      <c r="AS107" s="76">
        <v>33701</v>
      </c>
      <c r="AT107" s="76">
        <v>621</v>
      </c>
      <c r="AU107" s="76">
        <v>16697</v>
      </c>
      <c r="AV107" s="76">
        <v>0</v>
      </c>
      <c r="AW107" s="76">
        <v>2551</v>
      </c>
      <c r="AX107" s="76">
        <v>0</v>
      </c>
      <c r="AY107" s="76">
        <v>0</v>
      </c>
      <c r="AZ107" s="76">
        <v>155</v>
      </c>
      <c r="BA107" s="76">
        <v>0</v>
      </c>
      <c r="BB107" s="76">
        <v>0</v>
      </c>
      <c r="BC107" s="76">
        <v>0</v>
      </c>
      <c r="BD107" s="76">
        <v>0</v>
      </c>
      <c r="BE107" s="76">
        <v>19403</v>
      </c>
      <c r="BF107" s="76">
        <v>0</v>
      </c>
      <c r="BG107" s="76">
        <v>96</v>
      </c>
      <c r="BH107" s="76">
        <v>2287</v>
      </c>
      <c r="BI107" s="76">
        <v>0</v>
      </c>
      <c r="BJ107" s="76">
        <v>3200</v>
      </c>
      <c r="BK107" s="76">
        <v>5583</v>
      </c>
      <c r="BL107" s="76">
        <v>0</v>
      </c>
      <c r="BM107" s="76">
        <v>0</v>
      </c>
      <c r="BN107" s="76">
        <v>0</v>
      </c>
      <c r="BO107" s="76">
        <v>2273</v>
      </c>
      <c r="BP107" s="76">
        <v>2273</v>
      </c>
      <c r="BQ107" s="76">
        <v>3310</v>
      </c>
      <c r="BR107" s="76">
        <v>22713</v>
      </c>
      <c r="BS107" s="76">
        <v>0</v>
      </c>
      <c r="BT107" s="76">
        <v>0</v>
      </c>
      <c r="BU107" s="76">
        <v>0</v>
      </c>
      <c r="BV107" s="76">
        <v>0</v>
      </c>
      <c r="BW107" s="76">
        <v>0</v>
      </c>
      <c r="BX107" s="76">
        <v>0</v>
      </c>
      <c r="BY107" s="76">
        <v>0</v>
      </c>
      <c r="BZ107" s="76">
        <v>0</v>
      </c>
      <c r="CA107" s="76">
        <v>0</v>
      </c>
      <c r="CB107" s="76">
        <v>0</v>
      </c>
      <c r="CC107" s="76">
        <v>22713</v>
      </c>
      <c r="CD107" s="76">
        <v>22713</v>
      </c>
      <c r="CE107" s="76">
        <v>0</v>
      </c>
      <c r="CF107" s="76">
        <v>0</v>
      </c>
      <c r="CG107" s="76">
        <v>0</v>
      </c>
      <c r="CH107" s="76">
        <v>0</v>
      </c>
      <c r="CI107" s="76">
        <v>22713</v>
      </c>
      <c r="CJ107" s="76">
        <v>9255</v>
      </c>
      <c r="CK107" s="76">
        <v>3068</v>
      </c>
      <c r="CL107" s="76">
        <v>0</v>
      </c>
      <c r="CM107" s="76">
        <v>6187</v>
      </c>
      <c r="CN107" s="76">
        <v>0</v>
      </c>
      <c r="CO107" s="76">
        <v>0</v>
      </c>
      <c r="CP107" s="76">
        <v>0</v>
      </c>
      <c r="CQ107" s="76">
        <v>0</v>
      </c>
      <c r="CR107" s="76">
        <v>0</v>
      </c>
      <c r="CS107" s="76">
        <v>0</v>
      </c>
      <c r="CT107" s="76">
        <v>0</v>
      </c>
      <c r="CU107" s="76">
        <v>0</v>
      </c>
      <c r="CV107" s="76">
        <v>0</v>
      </c>
      <c r="CW107" s="76">
        <v>0</v>
      </c>
      <c r="CX107" s="76">
        <v>0</v>
      </c>
      <c r="CY107" s="76">
        <v>0</v>
      </c>
      <c r="CZ107" s="76">
        <v>0</v>
      </c>
      <c r="DA107" s="76">
        <v>0</v>
      </c>
      <c r="DB107" s="76">
        <v>2648</v>
      </c>
      <c r="DC107" s="76">
        <v>-2648</v>
      </c>
      <c r="DD107" s="76">
        <v>9255</v>
      </c>
      <c r="DE107" s="76">
        <v>3068</v>
      </c>
      <c r="DF107" s="76">
        <v>2648</v>
      </c>
      <c r="DG107" s="76">
        <v>3539</v>
      </c>
      <c r="DH107" s="76">
        <v>33</v>
      </c>
      <c r="DI107" s="76">
        <v>0</v>
      </c>
      <c r="DJ107" s="76">
        <v>-415</v>
      </c>
      <c r="DK107" s="76">
        <v>448</v>
      </c>
      <c r="DL107" s="76">
        <v>0</v>
      </c>
      <c r="DM107" s="76">
        <v>0</v>
      </c>
      <c r="DN107" s="76">
        <v>0</v>
      </c>
      <c r="DO107" s="76">
        <v>0</v>
      </c>
      <c r="DP107" s="76">
        <v>0</v>
      </c>
      <c r="DQ107" s="76">
        <v>0</v>
      </c>
      <c r="DR107" s="76">
        <v>0</v>
      </c>
      <c r="DS107" s="76">
        <v>0</v>
      </c>
      <c r="DT107" s="76">
        <v>3564</v>
      </c>
      <c r="DU107" s="76">
        <v>0</v>
      </c>
      <c r="DV107" s="76">
        <v>2013</v>
      </c>
      <c r="DW107" s="76">
        <v>1551</v>
      </c>
      <c r="DX107" s="76">
        <v>0</v>
      </c>
      <c r="DY107" s="76">
        <v>0</v>
      </c>
      <c r="DZ107" s="76">
        <v>0</v>
      </c>
      <c r="EA107" s="76">
        <v>0</v>
      </c>
      <c r="EB107" s="76">
        <v>10466</v>
      </c>
      <c r="EC107" s="76">
        <v>0</v>
      </c>
      <c r="ED107" s="76">
        <v>5285</v>
      </c>
      <c r="EE107" s="76">
        <v>5181</v>
      </c>
      <c r="EF107" s="76">
        <v>14063</v>
      </c>
      <c r="EG107" s="76">
        <v>0</v>
      </c>
      <c r="EH107" s="76">
        <v>6883</v>
      </c>
      <c r="EI107" s="76">
        <v>7180</v>
      </c>
      <c r="EJ107" s="76">
        <v>23318</v>
      </c>
      <c r="EK107" s="76">
        <v>3068</v>
      </c>
      <c r="EL107" s="76">
        <v>9531</v>
      </c>
      <c r="EM107" s="76">
        <v>10719</v>
      </c>
      <c r="EN107" s="76">
        <v>0</v>
      </c>
      <c r="EO107" s="76">
        <v>0</v>
      </c>
      <c r="EP107" s="76">
        <v>0</v>
      </c>
      <c r="EQ107" s="76">
        <v>0</v>
      </c>
      <c r="ER107" s="76">
        <v>2041005</v>
      </c>
      <c r="ES107" s="76">
        <v>0</v>
      </c>
      <c r="ET107" s="76">
        <v>2041005</v>
      </c>
      <c r="EU107" s="76">
        <v>68572</v>
      </c>
      <c r="EV107" s="76">
        <v>-29214</v>
      </c>
      <c r="EW107" s="76">
        <v>0</v>
      </c>
      <c r="EX107" s="76">
        <v>-2060879</v>
      </c>
      <c r="EY107" s="76">
        <v>-1594</v>
      </c>
      <c r="EZ107" s="76">
        <v>17890</v>
      </c>
      <c r="FA107" s="76">
        <v>117283</v>
      </c>
      <c r="FB107" s="76">
        <v>9719</v>
      </c>
      <c r="FC107" s="76">
        <v>0</v>
      </c>
      <c r="FD107" s="76">
        <v>0</v>
      </c>
      <c r="FE107" s="76">
        <v>-78</v>
      </c>
      <c r="FF107" s="76">
        <v>-124631</v>
      </c>
      <c r="FG107" s="76">
        <v>-1100</v>
      </c>
      <c r="FH107" s="76">
        <v>1193</v>
      </c>
      <c r="FI107" s="76">
        <v>16697</v>
      </c>
      <c r="FJ107" s="76">
        <v>1923722</v>
      </c>
      <c r="FK107" s="76">
        <v>3816</v>
      </c>
      <c r="FL107" s="76">
        <v>1736</v>
      </c>
      <c r="FM107" s="76">
        <v>2080</v>
      </c>
      <c r="FN107" s="76">
        <v>156</v>
      </c>
      <c r="FO107" s="76">
        <v>247</v>
      </c>
      <c r="FP107" s="76">
        <v>-91</v>
      </c>
      <c r="FQ107" s="76">
        <v>0</v>
      </c>
      <c r="FR107" s="76">
        <v>0</v>
      </c>
      <c r="FS107" s="76">
        <v>0</v>
      </c>
      <c r="FT107" s="76">
        <v>13274</v>
      </c>
      <c r="FU107" s="76">
        <v>3790</v>
      </c>
      <c r="FV107" s="76">
        <v>9484</v>
      </c>
      <c r="FW107" s="76">
        <v>31319</v>
      </c>
      <c r="FX107" s="76">
        <v>31319</v>
      </c>
      <c r="FY107" s="76">
        <v>0</v>
      </c>
      <c r="FZ107" s="76">
        <v>0</v>
      </c>
      <c r="GA107" s="76">
        <v>0</v>
      </c>
      <c r="GB107" s="76">
        <v>0</v>
      </c>
      <c r="GC107" s="76">
        <v>48565</v>
      </c>
      <c r="GD107" s="76">
        <v>37092</v>
      </c>
      <c r="GE107" s="76">
        <v>11473</v>
      </c>
      <c r="GF107" s="76">
        <v>0</v>
      </c>
      <c r="GG107" s="76">
        <v>0</v>
      </c>
      <c r="GH107" s="76">
        <v>0</v>
      </c>
      <c r="GI107" s="76">
        <v>0</v>
      </c>
      <c r="GJ107" s="76">
        <v>0</v>
      </c>
      <c r="GK107" s="76">
        <v>3200</v>
      </c>
      <c r="GL107" s="76">
        <v>3200</v>
      </c>
      <c r="GM107" s="76">
        <v>0</v>
      </c>
      <c r="GN107" s="76">
        <v>0</v>
      </c>
      <c r="GO107" s="76">
        <v>204</v>
      </c>
      <c r="GP107" s="76">
        <v>0</v>
      </c>
      <c r="GQ107" s="76">
        <v>0</v>
      </c>
      <c r="GR107" s="76">
        <v>4</v>
      </c>
      <c r="GS107" s="76">
        <v>0</v>
      </c>
      <c r="GT107" s="76">
        <v>0</v>
      </c>
      <c r="GU107" s="76">
        <v>0</v>
      </c>
      <c r="GV107" s="76">
        <v>0</v>
      </c>
      <c r="GW107" s="76">
        <v>2065</v>
      </c>
      <c r="GX107" s="76">
        <v>2273</v>
      </c>
      <c r="GY107" s="76">
        <v>0</v>
      </c>
      <c r="GZ107" s="76">
        <v>0</v>
      </c>
      <c r="HA107" s="76">
        <v>0</v>
      </c>
      <c r="HB107" s="76">
        <v>0</v>
      </c>
      <c r="HC107" s="76">
        <v>0</v>
      </c>
      <c r="HD107" s="76">
        <v>0</v>
      </c>
      <c r="HE107" s="76">
        <v>0</v>
      </c>
      <c r="HF107" s="76">
        <v>0</v>
      </c>
      <c r="HG107" s="76">
        <v>25940</v>
      </c>
      <c r="HH107" s="76">
        <v>163</v>
      </c>
      <c r="HI107" s="76">
        <v>954</v>
      </c>
      <c r="HJ107" s="76">
        <v>0</v>
      </c>
      <c r="HK107" s="76">
        <v>0</v>
      </c>
      <c r="HL107" s="76">
        <v>-2091</v>
      </c>
      <c r="HM107" s="76">
        <v>24966</v>
      </c>
      <c r="HN107" s="76">
        <v>21347</v>
      </c>
      <c r="HO107" s="76">
        <v>12650</v>
      </c>
      <c r="HP107" s="76">
        <v>0</v>
      </c>
      <c r="HQ107" s="76">
        <v>0</v>
      </c>
      <c r="HR107" s="76">
        <v>-16</v>
      </c>
      <c r="HS107" s="76">
        <v>-16703</v>
      </c>
      <c r="HT107" s="76">
        <v>160</v>
      </c>
      <c r="HU107" s="76">
        <v>0</v>
      </c>
      <c r="HV107" s="76">
        <v>0</v>
      </c>
      <c r="HW107" s="76">
        <v>-3563</v>
      </c>
      <c r="HX107" s="76">
        <v>2</v>
      </c>
    </row>
    <row r="108" spans="1:232" x14ac:dyDescent="0.2">
      <c r="A108" s="74" t="s">
        <v>395</v>
      </c>
      <c r="B108" s="74" t="s">
        <v>396</v>
      </c>
      <c r="C108" s="75" t="s">
        <v>200</v>
      </c>
      <c r="D108" s="75">
        <v>12</v>
      </c>
      <c r="E108" s="76">
        <v>21461</v>
      </c>
      <c r="F108" s="76">
        <v>-675</v>
      </c>
      <c r="G108" s="76">
        <v>-14945</v>
      </c>
      <c r="H108" s="76">
        <v>5841</v>
      </c>
      <c r="I108" s="76">
        <v>2481</v>
      </c>
      <c r="J108" s="76">
        <v>0</v>
      </c>
      <c r="K108" s="76">
        <v>0</v>
      </c>
      <c r="L108" s="76">
        <v>0</v>
      </c>
      <c r="M108" s="76">
        <v>12</v>
      </c>
      <c r="N108" s="76">
        <v>-1140</v>
      </c>
      <c r="O108" s="76">
        <v>0</v>
      </c>
      <c r="P108" s="76">
        <v>0</v>
      </c>
      <c r="Q108" s="76">
        <v>0</v>
      </c>
      <c r="R108" s="76">
        <v>0</v>
      </c>
      <c r="S108" s="76">
        <v>7194</v>
      </c>
      <c r="T108" s="76">
        <v>0</v>
      </c>
      <c r="U108" s="76">
        <v>7194</v>
      </c>
      <c r="V108" s="76">
        <v>0</v>
      </c>
      <c r="W108" s="76">
        <v>-1077</v>
      </c>
      <c r="X108" s="76">
        <v>1465</v>
      </c>
      <c r="Y108" s="76">
        <v>0</v>
      </c>
      <c r="Z108" s="76">
        <v>7582</v>
      </c>
      <c r="AA108" s="76">
        <v>18660</v>
      </c>
      <c r="AB108" s="76">
        <v>1137</v>
      </c>
      <c r="AC108" s="76">
        <v>19797</v>
      </c>
      <c r="AD108" s="76">
        <v>7</v>
      </c>
      <c r="AE108" s="76">
        <v>0</v>
      </c>
      <c r="AF108" s="76">
        <v>204</v>
      </c>
      <c r="AG108" s="76">
        <v>0</v>
      </c>
      <c r="AH108" s="76">
        <v>20008</v>
      </c>
      <c r="AI108" s="76">
        <v>7424</v>
      </c>
      <c r="AJ108" s="76">
        <v>1300</v>
      </c>
      <c r="AK108" s="76">
        <v>3793</v>
      </c>
      <c r="AL108" s="76">
        <v>466</v>
      </c>
      <c r="AM108" s="76">
        <v>84</v>
      </c>
      <c r="AN108" s="76">
        <v>218</v>
      </c>
      <c r="AO108" s="76">
        <v>909</v>
      </c>
      <c r="AP108" s="76">
        <v>0</v>
      </c>
      <c r="AQ108" s="76">
        <v>372</v>
      </c>
      <c r="AR108" s="76">
        <v>14566</v>
      </c>
      <c r="AS108" s="76">
        <v>5442</v>
      </c>
      <c r="AT108" s="76">
        <v>354</v>
      </c>
      <c r="AU108" s="76">
        <v>35895</v>
      </c>
      <c r="AV108" s="76">
        <v>0</v>
      </c>
      <c r="AW108" s="76">
        <v>488</v>
      </c>
      <c r="AX108" s="76">
        <v>544</v>
      </c>
      <c r="AY108" s="76">
        <v>0</v>
      </c>
      <c r="AZ108" s="76">
        <v>0</v>
      </c>
      <c r="BA108" s="76">
        <v>0</v>
      </c>
      <c r="BB108" s="76">
        <v>0</v>
      </c>
      <c r="BC108" s="76">
        <v>0</v>
      </c>
      <c r="BD108" s="76">
        <v>0</v>
      </c>
      <c r="BE108" s="76">
        <v>36927</v>
      </c>
      <c r="BF108" s="76">
        <v>97</v>
      </c>
      <c r="BG108" s="76">
        <v>7684</v>
      </c>
      <c r="BH108" s="76">
        <v>5360</v>
      </c>
      <c r="BI108" s="76">
        <v>0</v>
      </c>
      <c r="BJ108" s="76">
        <v>109511</v>
      </c>
      <c r="BK108" s="76">
        <v>122652</v>
      </c>
      <c r="BL108" s="76">
        <v>0</v>
      </c>
      <c r="BM108" s="76">
        <v>0</v>
      </c>
      <c r="BN108" s="76">
        <v>7</v>
      </c>
      <c r="BO108" s="76">
        <v>5721</v>
      </c>
      <c r="BP108" s="76">
        <v>5728</v>
      </c>
      <c r="BQ108" s="76">
        <v>116924</v>
      </c>
      <c r="BR108" s="76">
        <v>153851</v>
      </c>
      <c r="BS108" s="76">
        <v>20040</v>
      </c>
      <c r="BT108" s="76">
        <v>0</v>
      </c>
      <c r="BU108" s="76">
        <v>0</v>
      </c>
      <c r="BV108" s="76">
        <v>872</v>
      </c>
      <c r="BW108" s="76">
        <v>0</v>
      </c>
      <c r="BX108" s="76">
        <v>-1465</v>
      </c>
      <c r="BY108" s="76">
        <v>0</v>
      </c>
      <c r="BZ108" s="76">
        <v>19447</v>
      </c>
      <c r="CA108" s="76">
        <v>2239</v>
      </c>
      <c r="CB108" s="76">
        <v>115511</v>
      </c>
      <c r="CC108" s="76">
        <v>16654</v>
      </c>
      <c r="CD108" s="76">
        <v>15189</v>
      </c>
      <c r="CE108" s="76">
        <v>0</v>
      </c>
      <c r="CF108" s="76">
        <v>0</v>
      </c>
      <c r="CG108" s="76">
        <v>1465</v>
      </c>
      <c r="CH108" s="76">
        <v>0</v>
      </c>
      <c r="CI108" s="76">
        <v>16654</v>
      </c>
      <c r="CJ108" s="76">
        <v>860</v>
      </c>
      <c r="CK108" s="76">
        <v>675</v>
      </c>
      <c r="CL108" s="76">
        <v>0</v>
      </c>
      <c r="CM108" s="76">
        <v>185</v>
      </c>
      <c r="CN108" s="76">
        <v>0</v>
      </c>
      <c r="CO108" s="76">
        <v>0</v>
      </c>
      <c r="CP108" s="76">
        <v>0</v>
      </c>
      <c r="CQ108" s="76">
        <v>0</v>
      </c>
      <c r="CR108" s="76">
        <v>0</v>
      </c>
      <c r="CS108" s="76">
        <v>0</v>
      </c>
      <c r="CT108" s="76">
        <v>0</v>
      </c>
      <c r="CU108" s="76">
        <v>0</v>
      </c>
      <c r="CV108" s="76">
        <v>0</v>
      </c>
      <c r="CW108" s="76">
        <v>0</v>
      </c>
      <c r="CX108" s="76">
        <v>0</v>
      </c>
      <c r="CY108" s="76">
        <v>0</v>
      </c>
      <c r="CZ108" s="76">
        <v>420</v>
      </c>
      <c r="DA108" s="76">
        <v>0</v>
      </c>
      <c r="DB108" s="76">
        <v>195</v>
      </c>
      <c r="DC108" s="76">
        <v>225</v>
      </c>
      <c r="DD108" s="76">
        <v>1280</v>
      </c>
      <c r="DE108" s="76">
        <v>675</v>
      </c>
      <c r="DF108" s="76">
        <v>195</v>
      </c>
      <c r="DG108" s="76">
        <v>410</v>
      </c>
      <c r="DH108" s="76">
        <v>0</v>
      </c>
      <c r="DI108" s="76">
        <v>0</v>
      </c>
      <c r="DJ108" s="76">
        <v>0</v>
      </c>
      <c r="DK108" s="76">
        <v>0</v>
      </c>
      <c r="DL108" s="76">
        <v>0</v>
      </c>
      <c r="DM108" s="76">
        <v>0</v>
      </c>
      <c r="DN108" s="76">
        <v>0</v>
      </c>
      <c r="DO108" s="76">
        <v>0</v>
      </c>
      <c r="DP108" s="76">
        <v>0</v>
      </c>
      <c r="DQ108" s="76">
        <v>0</v>
      </c>
      <c r="DR108" s="76">
        <v>0</v>
      </c>
      <c r="DS108" s="76">
        <v>0</v>
      </c>
      <c r="DT108" s="76">
        <v>0</v>
      </c>
      <c r="DU108" s="76">
        <v>0</v>
      </c>
      <c r="DV108" s="76">
        <v>0</v>
      </c>
      <c r="DW108" s="76">
        <v>0</v>
      </c>
      <c r="DX108" s="76">
        <v>173</v>
      </c>
      <c r="DY108" s="76">
        <v>0</v>
      </c>
      <c r="DZ108" s="76">
        <v>184</v>
      </c>
      <c r="EA108" s="76">
        <v>-11</v>
      </c>
      <c r="EB108" s="76">
        <v>0</v>
      </c>
      <c r="EC108" s="76">
        <v>0</v>
      </c>
      <c r="ED108" s="76">
        <v>0</v>
      </c>
      <c r="EE108" s="76">
        <v>0</v>
      </c>
      <c r="EF108" s="76">
        <v>173</v>
      </c>
      <c r="EG108" s="76">
        <v>0</v>
      </c>
      <c r="EH108" s="76">
        <v>184</v>
      </c>
      <c r="EI108" s="76">
        <v>-11</v>
      </c>
      <c r="EJ108" s="76">
        <v>1453</v>
      </c>
      <c r="EK108" s="76">
        <v>675</v>
      </c>
      <c r="EL108" s="76">
        <v>379</v>
      </c>
      <c r="EM108" s="76">
        <v>399</v>
      </c>
      <c r="EN108" s="76">
        <v>458</v>
      </c>
      <c r="EO108" s="76">
        <v>330</v>
      </c>
      <c r="EP108" s="76">
        <v>196</v>
      </c>
      <c r="EQ108" s="76">
        <v>330</v>
      </c>
      <c r="ER108" s="76">
        <v>29198</v>
      </c>
      <c r="ES108" s="76">
        <v>0</v>
      </c>
      <c r="ET108" s="76">
        <v>29198</v>
      </c>
      <c r="EU108" s="76">
        <v>8433</v>
      </c>
      <c r="EV108" s="76">
        <v>-267</v>
      </c>
      <c r="EW108" s="76">
        <v>0</v>
      </c>
      <c r="EX108" s="76">
        <v>0</v>
      </c>
      <c r="EY108" s="76">
        <v>0</v>
      </c>
      <c r="EZ108" s="76">
        <v>37364</v>
      </c>
      <c r="FA108" s="76">
        <v>648</v>
      </c>
      <c r="FB108" s="76">
        <v>833</v>
      </c>
      <c r="FC108" s="76">
        <v>0</v>
      </c>
      <c r="FD108" s="76">
        <v>0</v>
      </c>
      <c r="FE108" s="76">
        <v>-12</v>
      </c>
      <c r="FF108" s="76">
        <v>0</v>
      </c>
      <c r="FG108" s="76">
        <v>0</v>
      </c>
      <c r="FH108" s="76">
        <v>1469</v>
      </c>
      <c r="FI108" s="76">
        <v>35895</v>
      </c>
      <c r="FJ108" s="76">
        <v>28550</v>
      </c>
      <c r="FK108" s="76">
        <v>0</v>
      </c>
      <c r="FL108" s="76">
        <v>0</v>
      </c>
      <c r="FM108" s="76">
        <v>0</v>
      </c>
      <c r="FN108" s="76">
        <v>2513</v>
      </c>
      <c r="FO108" s="76">
        <v>176</v>
      </c>
      <c r="FP108" s="76">
        <v>2337</v>
      </c>
      <c r="FQ108" s="76">
        <v>0</v>
      </c>
      <c r="FR108" s="76">
        <v>0</v>
      </c>
      <c r="FS108" s="76">
        <v>0</v>
      </c>
      <c r="FT108" s="76">
        <v>148</v>
      </c>
      <c r="FU108" s="76">
        <v>4</v>
      </c>
      <c r="FV108" s="76">
        <v>144</v>
      </c>
      <c r="FW108" s="76">
        <v>0</v>
      </c>
      <c r="FX108" s="76">
        <v>0</v>
      </c>
      <c r="FY108" s="76">
        <v>0</v>
      </c>
      <c r="FZ108" s="76">
        <v>0</v>
      </c>
      <c r="GA108" s="76">
        <v>0</v>
      </c>
      <c r="GB108" s="76">
        <v>0</v>
      </c>
      <c r="GC108" s="76">
        <v>2661</v>
      </c>
      <c r="GD108" s="76">
        <v>180</v>
      </c>
      <c r="GE108" s="76">
        <v>2481</v>
      </c>
      <c r="GF108" s="76">
        <v>0</v>
      </c>
      <c r="GG108" s="76">
        <v>0</v>
      </c>
      <c r="GH108" s="76">
        <v>0</v>
      </c>
      <c r="GI108" s="76">
        <v>109511</v>
      </c>
      <c r="GJ108" s="76">
        <v>0</v>
      </c>
      <c r="GK108" s="76">
        <v>0</v>
      </c>
      <c r="GL108" s="76">
        <v>109511</v>
      </c>
      <c r="GM108" s="76">
        <v>2252</v>
      </c>
      <c r="GN108" s="76">
        <v>43</v>
      </c>
      <c r="GO108" s="76">
        <v>0</v>
      </c>
      <c r="GP108" s="76">
        <v>0</v>
      </c>
      <c r="GQ108" s="76">
        <v>0</v>
      </c>
      <c r="GR108" s="76">
        <v>1802</v>
      </c>
      <c r="GS108" s="76">
        <v>0</v>
      </c>
      <c r="GT108" s="76">
        <v>0</v>
      </c>
      <c r="GU108" s="76">
        <v>0</v>
      </c>
      <c r="GV108" s="76">
        <v>0</v>
      </c>
      <c r="GW108" s="76">
        <v>1624</v>
      </c>
      <c r="GX108" s="76">
        <v>5721</v>
      </c>
      <c r="GY108" s="76">
        <v>0</v>
      </c>
      <c r="GZ108" s="76">
        <v>0</v>
      </c>
      <c r="HA108" s="76">
        <v>0</v>
      </c>
      <c r="HB108" s="76">
        <v>0</v>
      </c>
      <c r="HC108" s="76">
        <v>0</v>
      </c>
      <c r="HD108" s="76">
        <v>115511</v>
      </c>
      <c r="HE108" s="76">
        <v>0</v>
      </c>
      <c r="HF108" s="76">
        <v>115511</v>
      </c>
      <c r="HG108" s="76">
        <v>724</v>
      </c>
      <c r="HH108" s="76">
        <v>0</v>
      </c>
      <c r="HI108" s="76">
        <v>40</v>
      </c>
      <c r="HJ108" s="76">
        <v>0</v>
      </c>
      <c r="HK108" s="76">
        <v>376</v>
      </c>
      <c r="HL108" s="76">
        <v>0</v>
      </c>
      <c r="HM108" s="76">
        <v>1140</v>
      </c>
      <c r="HN108" s="76">
        <v>5355</v>
      </c>
      <c r="HO108" s="76">
        <v>1163</v>
      </c>
      <c r="HP108" s="76">
        <v>0</v>
      </c>
      <c r="HQ108" s="76">
        <v>33</v>
      </c>
      <c r="HR108" s="76">
        <v>-43</v>
      </c>
      <c r="HS108" s="76">
        <v>5</v>
      </c>
      <c r="HT108" s="76">
        <v>4791</v>
      </c>
      <c r="HU108" s="76">
        <v>0</v>
      </c>
      <c r="HV108" s="76">
        <v>0</v>
      </c>
      <c r="HW108" s="76">
        <v>0</v>
      </c>
      <c r="HX108" s="76">
        <v>0</v>
      </c>
    </row>
    <row r="109" spans="1:232" x14ac:dyDescent="0.2">
      <c r="A109" s="74" t="s">
        <v>397</v>
      </c>
      <c r="B109" s="74" t="s">
        <v>398</v>
      </c>
      <c r="C109" s="75" t="s">
        <v>200</v>
      </c>
      <c r="D109" s="75">
        <v>12</v>
      </c>
      <c r="E109" s="76">
        <v>38036</v>
      </c>
      <c r="F109" s="76">
        <v>0</v>
      </c>
      <c r="G109" s="76">
        <v>-25452</v>
      </c>
      <c r="H109" s="76">
        <v>12584</v>
      </c>
      <c r="I109" s="76">
        <v>1390</v>
      </c>
      <c r="J109" s="76">
        <v>0</v>
      </c>
      <c r="K109" s="76">
        <v>80</v>
      </c>
      <c r="L109" s="76">
        <v>0</v>
      </c>
      <c r="M109" s="76">
        <v>14</v>
      </c>
      <c r="N109" s="76">
        <v>-2631</v>
      </c>
      <c r="O109" s="76">
        <v>0</v>
      </c>
      <c r="P109" s="76">
        <v>-11</v>
      </c>
      <c r="Q109" s="76">
        <v>0</v>
      </c>
      <c r="R109" s="76">
        <v>0</v>
      </c>
      <c r="S109" s="76">
        <v>11426</v>
      </c>
      <c r="T109" s="76">
        <v>0</v>
      </c>
      <c r="U109" s="76">
        <v>11426</v>
      </c>
      <c r="V109" s="76">
        <v>0</v>
      </c>
      <c r="W109" s="76">
        <v>-6502</v>
      </c>
      <c r="X109" s="76">
        <v>0</v>
      </c>
      <c r="Y109" s="76">
        <v>0</v>
      </c>
      <c r="Z109" s="76">
        <v>4924</v>
      </c>
      <c r="AA109" s="76">
        <v>35608</v>
      </c>
      <c r="AB109" s="76">
        <v>664</v>
      </c>
      <c r="AC109" s="76">
        <v>36272</v>
      </c>
      <c r="AD109" s="76">
        <v>4</v>
      </c>
      <c r="AE109" s="76">
        <v>0</v>
      </c>
      <c r="AF109" s="76">
        <v>0</v>
      </c>
      <c r="AG109" s="76">
        <v>752</v>
      </c>
      <c r="AH109" s="76">
        <v>37028</v>
      </c>
      <c r="AI109" s="76">
        <v>8119</v>
      </c>
      <c r="AJ109" s="76">
        <v>1005</v>
      </c>
      <c r="AK109" s="76">
        <v>5986</v>
      </c>
      <c r="AL109" s="76">
        <v>3588</v>
      </c>
      <c r="AM109" s="76">
        <v>1090</v>
      </c>
      <c r="AN109" s="76">
        <v>583</v>
      </c>
      <c r="AO109" s="76">
        <v>3422</v>
      </c>
      <c r="AP109" s="76">
        <v>0</v>
      </c>
      <c r="AQ109" s="76">
        <v>306</v>
      </c>
      <c r="AR109" s="76">
        <v>24099</v>
      </c>
      <c r="AS109" s="76">
        <v>12929</v>
      </c>
      <c r="AT109" s="76">
        <v>334</v>
      </c>
      <c r="AU109" s="76">
        <v>95805</v>
      </c>
      <c r="AV109" s="76">
        <v>0</v>
      </c>
      <c r="AW109" s="76">
        <v>4852</v>
      </c>
      <c r="AX109" s="76">
        <v>0</v>
      </c>
      <c r="AY109" s="76">
        <v>0</v>
      </c>
      <c r="AZ109" s="76">
        <v>0</v>
      </c>
      <c r="BA109" s="76">
        <v>0</v>
      </c>
      <c r="BB109" s="76">
        <v>0</v>
      </c>
      <c r="BC109" s="76">
        <v>0</v>
      </c>
      <c r="BD109" s="76">
        <v>0</v>
      </c>
      <c r="BE109" s="76">
        <v>100657</v>
      </c>
      <c r="BF109" s="76">
        <v>449</v>
      </c>
      <c r="BG109" s="76">
        <v>3433</v>
      </c>
      <c r="BH109" s="76">
        <v>22643</v>
      </c>
      <c r="BI109" s="76">
        <v>0</v>
      </c>
      <c r="BJ109" s="76">
        <v>1072</v>
      </c>
      <c r="BK109" s="76">
        <v>27597</v>
      </c>
      <c r="BL109" s="76">
        <v>48</v>
      </c>
      <c r="BM109" s="76">
        <v>0</v>
      </c>
      <c r="BN109" s="76">
        <v>4</v>
      </c>
      <c r="BO109" s="76">
        <v>6722</v>
      </c>
      <c r="BP109" s="76">
        <v>6774</v>
      </c>
      <c r="BQ109" s="76">
        <v>20823</v>
      </c>
      <c r="BR109" s="76">
        <v>121480</v>
      </c>
      <c r="BS109" s="76">
        <v>36620</v>
      </c>
      <c r="BT109" s="76">
        <v>0</v>
      </c>
      <c r="BU109" s="76">
        <v>0</v>
      </c>
      <c r="BV109" s="76">
        <v>375</v>
      </c>
      <c r="BW109" s="76">
        <v>0</v>
      </c>
      <c r="BX109" s="76">
        <v>0</v>
      </c>
      <c r="BY109" s="76">
        <v>5900</v>
      </c>
      <c r="BZ109" s="76">
        <v>42895</v>
      </c>
      <c r="CA109" s="76">
        <v>4317</v>
      </c>
      <c r="CB109" s="76">
        <v>0</v>
      </c>
      <c r="CC109" s="76">
        <v>74268</v>
      </c>
      <c r="CD109" s="76">
        <v>74268</v>
      </c>
      <c r="CE109" s="76">
        <v>0</v>
      </c>
      <c r="CF109" s="76">
        <v>0</v>
      </c>
      <c r="CG109" s="76">
        <v>0</v>
      </c>
      <c r="CH109" s="76">
        <v>0</v>
      </c>
      <c r="CI109" s="76">
        <v>74268</v>
      </c>
      <c r="CJ109" s="76">
        <v>0</v>
      </c>
      <c r="CK109" s="76">
        <v>0</v>
      </c>
      <c r="CL109" s="76">
        <v>0</v>
      </c>
      <c r="CM109" s="76">
        <v>0</v>
      </c>
      <c r="CN109" s="76">
        <v>107</v>
      </c>
      <c r="CO109" s="76">
        <v>0</v>
      </c>
      <c r="CP109" s="76">
        <v>261</v>
      </c>
      <c r="CQ109" s="76">
        <v>-154</v>
      </c>
      <c r="CR109" s="76">
        <v>0</v>
      </c>
      <c r="CS109" s="76">
        <v>0</v>
      </c>
      <c r="CT109" s="76">
        <v>0</v>
      </c>
      <c r="CU109" s="76">
        <v>0</v>
      </c>
      <c r="CV109" s="76">
        <v>730</v>
      </c>
      <c r="CW109" s="76">
        <v>0</v>
      </c>
      <c r="CX109" s="76">
        <v>1082</v>
      </c>
      <c r="CY109" s="76">
        <v>-352</v>
      </c>
      <c r="CZ109" s="76">
        <v>64</v>
      </c>
      <c r="DA109" s="76">
        <v>0</v>
      </c>
      <c r="DB109" s="76">
        <v>0</v>
      </c>
      <c r="DC109" s="76">
        <v>64</v>
      </c>
      <c r="DD109" s="76">
        <v>901</v>
      </c>
      <c r="DE109" s="76">
        <v>0</v>
      </c>
      <c r="DF109" s="76">
        <v>1343</v>
      </c>
      <c r="DG109" s="76">
        <v>-442</v>
      </c>
      <c r="DH109" s="76">
        <v>0</v>
      </c>
      <c r="DI109" s="76">
        <v>0</v>
      </c>
      <c r="DJ109" s="76">
        <v>0</v>
      </c>
      <c r="DK109" s="76">
        <v>0</v>
      </c>
      <c r="DL109" s="76">
        <v>0</v>
      </c>
      <c r="DM109" s="76">
        <v>0</v>
      </c>
      <c r="DN109" s="76">
        <v>0</v>
      </c>
      <c r="DO109" s="76">
        <v>0</v>
      </c>
      <c r="DP109" s="76">
        <v>0</v>
      </c>
      <c r="DQ109" s="76">
        <v>0</v>
      </c>
      <c r="DR109" s="76">
        <v>0</v>
      </c>
      <c r="DS109" s="76">
        <v>0</v>
      </c>
      <c r="DT109" s="76">
        <v>0</v>
      </c>
      <c r="DU109" s="76">
        <v>0</v>
      </c>
      <c r="DV109" s="76">
        <v>0</v>
      </c>
      <c r="DW109" s="76">
        <v>0</v>
      </c>
      <c r="DX109" s="76">
        <v>0</v>
      </c>
      <c r="DY109" s="76">
        <v>0</v>
      </c>
      <c r="DZ109" s="76">
        <v>0</v>
      </c>
      <c r="EA109" s="76">
        <v>0</v>
      </c>
      <c r="EB109" s="76">
        <v>107</v>
      </c>
      <c r="EC109" s="76">
        <v>0</v>
      </c>
      <c r="ED109" s="76">
        <v>10</v>
      </c>
      <c r="EE109" s="76">
        <v>97</v>
      </c>
      <c r="EF109" s="76">
        <v>107</v>
      </c>
      <c r="EG109" s="76">
        <v>0</v>
      </c>
      <c r="EH109" s="76">
        <v>10</v>
      </c>
      <c r="EI109" s="76">
        <v>97</v>
      </c>
      <c r="EJ109" s="76">
        <v>1008</v>
      </c>
      <c r="EK109" s="76">
        <v>0</v>
      </c>
      <c r="EL109" s="76">
        <v>1353</v>
      </c>
      <c r="EM109" s="76">
        <v>-345</v>
      </c>
      <c r="EN109" s="76">
        <v>2326</v>
      </c>
      <c r="EO109" s="76">
        <v>1145</v>
      </c>
      <c r="EP109" s="76">
        <v>1411</v>
      </c>
      <c r="EQ109" s="76">
        <v>1145</v>
      </c>
      <c r="ER109" s="76">
        <v>104882</v>
      </c>
      <c r="ES109" s="76">
        <v>0</v>
      </c>
      <c r="ET109" s="76">
        <v>104882</v>
      </c>
      <c r="EU109" s="76">
        <v>4417</v>
      </c>
      <c r="EV109" s="76">
        <v>-1790</v>
      </c>
      <c r="EW109" s="76">
        <v>0</v>
      </c>
      <c r="EX109" s="76">
        <v>0</v>
      </c>
      <c r="EY109" s="76">
        <v>0</v>
      </c>
      <c r="EZ109" s="76">
        <v>107509</v>
      </c>
      <c r="FA109" s="76">
        <v>8861</v>
      </c>
      <c r="FB109" s="76">
        <v>3423</v>
      </c>
      <c r="FC109" s="76">
        <v>0</v>
      </c>
      <c r="FD109" s="76">
        <v>0</v>
      </c>
      <c r="FE109" s="76">
        <v>-580</v>
      </c>
      <c r="FF109" s="76">
        <v>0</v>
      </c>
      <c r="FG109" s="76">
        <v>0</v>
      </c>
      <c r="FH109" s="76">
        <v>11704</v>
      </c>
      <c r="FI109" s="76">
        <v>95805</v>
      </c>
      <c r="FJ109" s="76">
        <v>96021</v>
      </c>
      <c r="FK109" s="76">
        <v>0</v>
      </c>
      <c r="FL109" s="76">
        <v>0</v>
      </c>
      <c r="FM109" s="76">
        <v>0</v>
      </c>
      <c r="FN109" s="76">
        <v>861</v>
      </c>
      <c r="FO109" s="76">
        <v>649</v>
      </c>
      <c r="FP109" s="76">
        <v>212</v>
      </c>
      <c r="FQ109" s="76">
        <v>0</v>
      </c>
      <c r="FR109" s="76">
        <v>0</v>
      </c>
      <c r="FS109" s="76">
        <v>0</v>
      </c>
      <c r="FT109" s="76">
        <v>1829</v>
      </c>
      <c r="FU109" s="76">
        <v>651</v>
      </c>
      <c r="FV109" s="76">
        <v>1178</v>
      </c>
      <c r="FW109" s="76">
        <v>0</v>
      </c>
      <c r="FX109" s="76">
        <v>0</v>
      </c>
      <c r="FY109" s="76">
        <v>0</v>
      </c>
      <c r="FZ109" s="76">
        <v>0</v>
      </c>
      <c r="GA109" s="76">
        <v>0</v>
      </c>
      <c r="GB109" s="76">
        <v>0</v>
      </c>
      <c r="GC109" s="76">
        <v>2690</v>
      </c>
      <c r="GD109" s="76">
        <v>1300</v>
      </c>
      <c r="GE109" s="76">
        <v>1390</v>
      </c>
      <c r="GF109" s="76">
        <v>987</v>
      </c>
      <c r="GG109" s="76">
        <v>0</v>
      </c>
      <c r="GH109" s="76">
        <v>0</v>
      </c>
      <c r="GI109" s="76">
        <v>0</v>
      </c>
      <c r="GJ109" s="76">
        <v>0</v>
      </c>
      <c r="GK109" s="76">
        <v>85</v>
      </c>
      <c r="GL109" s="76">
        <v>1072</v>
      </c>
      <c r="GM109" s="76">
        <v>1315</v>
      </c>
      <c r="GN109" s="76">
        <v>786</v>
      </c>
      <c r="GO109" s="76">
        <v>587</v>
      </c>
      <c r="GP109" s="76">
        <v>0</v>
      </c>
      <c r="GQ109" s="76">
        <v>0</v>
      </c>
      <c r="GR109" s="76">
        <v>4034</v>
      </c>
      <c r="GS109" s="76">
        <v>0</v>
      </c>
      <c r="GT109" s="76">
        <v>0</v>
      </c>
      <c r="GU109" s="76">
        <v>0</v>
      </c>
      <c r="GV109" s="76">
        <v>0</v>
      </c>
      <c r="GW109" s="76">
        <v>0</v>
      </c>
      <c r="GX109" s="76">
        <v>6722</v>
      </c>
      <c r="GY109" s="76">
        <v>5900</v>
      </c>
      <c r="GZ109" s="76">
        <v>0</v>
      </c>
      <c r="HA109" s="76">
        <v>0</v>
      </c>
      <c r="HB109" s="76">
        <v>0</v>
      </c>
      <c r="HC109" s="76">
        <v>5900</v>
      </c>
      <c r="HD109" s="76">
        <v>0</v>
      </c>
      <c r="HE109" s="76">
        <v>0</v>
      </c>
      <c r="HF109" s="76">
        <v>0</v>
      </c>
      <c r="HG109" s="76">
        <v>2359</v>
      </c>
      <c r="HH109" s="76">
        <v>0</v>
      </c>
      <c r="HI109" s="76">
        <v>0</v>
      </c>
      <c r="HJ109" s="76">
        <v>0</v>
      </c>
      <c r="HK109" s="76">
        <v>272</v>
      </c>
      <c r="HL109" s="76">
        <v>0</v>
      </c>
      <c r="HM109" s="76">
        <v>2631</v>
      </c>
      <c r="HN109" s="76">
        <v>3089</v>
      </c>
      <c r="HO109" s="76">
        <v>3982</v>
      </c>
      <c r="HP109" s="76">
        <v>0</v>
      </c>
      <c r="HQ109" s="76">
        <v>0</v>
      </c>
      <c r="HR109" s="76">
        <v>-133</v>
      </c>
      <c r="HS109" s="76">
        <v>0</v>
      </c>
      <c r="HT109" s="76">
        <v>8430</v>
      </c>
      <c r="HU109" s="76">
        <v>0</v>
      </c>
      <c r="HV109" s="76">
        <v>0</v>
      </c>
      <c r="HW109" s="76">
        <v>0</v>
      </c>
      <c r="HX109" s="76">
        <v>0</v>
      </c>
    </row>
    <row r="110" spans="1:232" x14ac:dyDescent="0.2">
      <c r="A110" s="74" t="s">
        <v>399</v>
      </c>
      <c r="B110" s="74" t="s">
        <v>400</v>
      </c>
      <c r="C110" s="75" t="s">
        <v>200</v>
      </c>
      <c r="D110" s="75">
        <v>12</v>
      </c>
      <c r="E110" s="76">
        <v>14563</v>
      </c>
      <c r="F110" s="76">
        <v>0</v>
      </c>
      <c r="G110" s="76">
        <v>-10377</v>
      </c>
      <c r="H110" s="76">
        <v>4186</v>
      </c>
      <c r="I110" s="76">
        <v>250</v>
      </c>
      <c r="J110" s="76">
        <v>0</v>
      </c>
      <c r="K110" s="76">
        <v>0</v>
      </c>
      <c r="L110" s="76">
        <v>0</v>
      </c>
      <c r="M110" s="76">
        <v>18</v>
      </c>
      <c r="N110" s="76">
        <v>-1898</v>
      </c>
      <c r="O110" s="76">
        <v>0</v>
      </c>
      <c r="P110" s="76">
        <v>0</v>
      </c>
      <c r="Q110" s="76">
        <v>0</v>
      </c>
      <c r="R110" s="76">
        <v>0</v>
      </c>
      <c r="S110" s="76">
        <v>2556</v>
      </c>
      <c r="T110" s="76">
        <v>0</v>
      </c>
      <c r="U110" s="76">
        <v>2556</v>
      </c>
      <c r="V110" s="76">
        <v>0</v>
      </c>
      <c r="W110" s="76">
        <v>0</v>
      </c>
      <c r="X110" s="76">
        <v>0</v>
      </c>
      <c r="Y110" s="76">
        <v>0</v>
      </c>
      <c r="Z110" s="76">
        <v>2556</v>
      </c>
      <c r="AA110" s="76">
        <v>13080</v>
      </c>
      <c r="AB110" s="76">
        <v>486</v>
      </c>
      <c r="AC110" s="76">
        <v>13566</v>
      </c>
      <c r="AD110" s="76">
        <v>184</v>
      </c>
      <c r="AE110" s="76">
        <v>0</v>
      </c>
      <c r="AF110" s="76">
        <v>104</v>
      </c>
      <c r="AG110" s="76">
        <v>363</v>
      </c>
      <c r="AH110" s="76">
        <v>14217</v>
      </c>
      <c r="AI110" s="76">
        <v>3733</v>
      </c>
      <c r="AJ110" s="76">
        <v>463</v>
      </c>
      <c r="AK110" s="76">
        <v>644</v>
      </c>
      <c r="AL110" s="76">
        <v>873</v>
      </c>
      <c r="AM110" s="76">
        <v>145</v>
      </c>
      <c r="AN110" s="76">
        <v>157</v>
      </c>
      <c r="AO110" s="76">
        <v>986</v>
      </c>
      <c r="AP110" s="76">
        <v>0</v>
      </c>
      <c r="AQ110" s="76">
        <v>3375</v>
      </c>
      <c r="AR110" s="76">
        <v>10376</v>
      </c>
      <c r="AS110" s="76">
        <v>3841</v>
      </c>
      <c r="AT110" s="76">
        <v>671</v>
      </c>
      <c r="AU110" s="76">
        <v>89946</v>
      </c>
      <c r="AV110" s="76">
        <v>0</v>
      </c>
      <c r="AW110" s="76">
        <v>151</v>
      </c>
      <c r="AX110" s="76">
        <v>0</v>
      </c>
      <c r="AY110" s="76">
        <v>0</v>
      </c>
      <c r="AZ110" s="76">
        <v>0</v>
      </c>
      <c r="BA110" s="76">
        <v>0</v>
      </c>
      <c r="BB110" s="76">
        <v>0</v>
      </c>
      <c r="BC110" s="76">
        <v>0</v>
      </c>
      <c r="BD110" s="76">
        <v>0</v>
      </c>
      <c r="BE110" s="76">
        <v>90097</v>
      </c>
      <c r="BF110" s="76">
        <v>0</v>
      </c>
      <c r="BG110" s="76">
        <v>1124</v>
      </c>
      <c r="BH110" s="76">
        <v>8090</v>
      </c>
      <c r="BI110" s="76">
        <v>0</v>
      </c>
      <c r="BJ110" s="76">
        <v>11</v>
      </c>
      <c r="BK110" s="76">
        <v>9225</v>
      </c>
      <c r="BL110" s="76">
        <v>986</v>
      </c>
      <c r="BM110" s="76">
        <v>0</v>
      </c>
      <c r="BN110" s="76">
        <v>189</v>
      </c>
      <c r="BO110" s="76">
        <v>1933</v>
      </c>
      <c r="BP110" s="76">
        <v>3108</v>
      </c>
      <c r="BQ110" s="76">
        <v>6117</v>
      </c>
      <c r="BR110" s="76">
        <v>96214</v>
      </c>
      <c r="BS110" s="76">
        <v>44506</v>
      </c>
      <c r="BT110" s="76">
        <v>3495</v>
      </c>
      <c r="BU110" s="76">
        <v>0</v>
      </c>
      <c r="BV110" s="76">
        <v>17484</v>
      </c>
      <c r="BW110" s="76">
        <v>0</v>
      </c>
      <c r="BX110" s="76">
        <v>0</v>
      </c>
      <c r="BY110" s="76">
        <v>2067</v>
      </c>
      <c r="BZ110" s="76">
        <v>67552</v>
      </c>
      <c r="CA110" s="76">
        <v>0</v>
      </c>
      <c r="CB110" s="76">
        <v>0</v>
      </c>
      <c r="CC110" s="76">
        <v>28662</v>
      </c>
      <c r="CD110" s="76">
        <v>21829</v>
      </c>
      <c r="CE110" s="76">
        <v>0</v>
      </c>
      <c r="CF110" s="76">
        <v>424</v>
      </c>
      <c r="CG110" s="76">
        <v>0</v>
      </c>
      <c r="CH110" s="76">
        <v>6409</v>
      </c>
      <c r="CI110" s="76">
        <v>28662</v>
      </c>
      <c r="CJ110" s="76">
        <v>0</v>
      </c>
      <c r="CK110" s="76">
        <v>0</v>
      </c>
      <c r="CL110" s="76">
        <v>0</v>
      </c>
      <c r="CM110" s="76">
        <v>0</v>
      </c>
      <c r="CN110" s="76">
        <v>0</v>
      </c>
      <c r="CO110" s="76">
        <v>0</v>
      </c>
      <c r="CP110" s="76">
        <v>0</v>
      </c>
      <c r="CQ110" s="76">
        <v>0</v>
      </c>
      <c r="CR110" s="76">
        <v>0</v>
      </c>
      <c r="CS110" s="76">
        <v>0</v>
      </c>
      <c r="CT110" s="76">
        <v>0</v>
      </c>
      <c r="CU110" s="76">
        <v>0</v>
      </c>
      <c r="CV110" s="76">
        <v>0</v>
      </c>
      <c r="CW110" s="76">
        <v>0</v>
      </c>
      <c r="CX110" s="76">
        <v>0</v>
      </c>
      <c r="CY110" s="76">
        <v>0</v>
      </c>
      <c r="CZ110" s="76">
        <v>256</v>
      </c>
      <c r="DA110" s="76">
        <v>0</v>
      </c>
      <c r="DB110" s="76">
        <v>0</v>
      </c>
      <c r="DC110" s="76">
        <v>256</v>
      </c>
      <c r="DD110" s="76">
        <v>256</v>
      </c>
      <c r="DE110" s="76">
        <v>0</v>
      </c>
      <c r="DF110" s="76">
        <v>0</v>
      </c>
      <c r="DG110" s="76">
        <v>256</v>
      </c>
      <c r="DH110" s="76">
        <v>0</v>
      </c>
      <c r="DI110" s="76">
        <v>0</v>
      </c>
      <c r="DJ110" s="76">
        <v>0</v>
      </c>
      <c r="DK110" s="76">
        <v>0</v>
      </c>
      <c r="DL110" s="76">
        <v>0</v>
      </c>
      <c r="DM110" s="76">
        <v>0</v>
      </c>
      <c r="DN110" s="76">
        <v>0</v>
      </c>
      <c r="DO110" s="76">
        <v>0</v>
      </c>
      <c r="DP110" s="76">
        <v>0</v>
      </c>
      <c r="DQ110" s="76">
        <v>0</v>
      </c>
      <c r="DR110" s="76">
        <v>0</v>
      </c>
      <c r="DS110" s="76">
        <v>0</v>
      </c>
      <c r="DT110" s="76">
        <v>64</v>
      </c>
      <c r="DU110" s="76">
        <v>0</v>
      </c>
      <c r="DV110" s="76">
        <v>0</v>
      </c>
      <c r="DW110" s="76">
        <v>64</v>
      </c>
      <c r="DX110" s="76">
        <v>16</v>
      </c>
      <c r="DY110" s="76">
        <v>0</v>
      </c>
      <c r="DZ110" s="76">
        <v>1</v>
      </c>
      <c r="EA110" s="76">
        <v>15</v>
      </c>
      <c r="EB110" s="76">
        <v>9</v>
      </c>
      <c r="EC110" s="76">
        <v>0</v>
      </c>
      <c r="ED110" s="76">
        <v>0</v>
      </c>
      <c r="EE110" s="76">
        <v>9</v>
      </c>
      <c r="EF110" s="76">
        <v>89</v>
      </c>
      <c r="EG110" s="76">
        <v>0</v>
      </c>
      <c r="EH110" s="76">
        <v>1</v>
      </c>
      <c r="EI110" s="76">
        <v>88</v>
      </c>
      <c r="EJ110" s="76">
        <v>345</v>
      </c>
      <c r="EK110" s="76">
        <v>0</v>
      </c>
      <c r="EL110" s="76">
        <v>1</v>
      </c>
      <c r="EM110" s="76">
        <v>344</v>
      </c>
      <c r="EN110" s="76">
        <v>732</v>
      </c>
      <c r="EO110" s="76">
        <v>72</v>
      </c>
      <c r="EP110" s="76">
        <v>155</v>
      </c>
      <c r="EQ110" s="76">
        <v>0</v>
      </c>
      <c r="ER110" s="76">
        <v>96424</v>
      </c>
      <c r="ES110" s="76">
        <v>0</v>
      </c>
      <c r="ET110" s="76">
        <v>96424</v>
      </c>
      <c r="EU110" s="76">
        <v>2505</v>
      </c>
      <c r="EV110" s="76">
        <v>-732</v>
      </c>
      <c r="EW110" s="76">
        <v>0</v>
      </c>
      <c r="EX110" s="76">
        <v>0</v>
      </c>
      <c r="EY110" s="76">
        <v>0</v>
      </c>
      <c r="EZ110" s="76">
        <v>98197</v>
      </c>
      <c r="FA110" s="76">
        <v>7469</v>
      </c>
      <c r="FB110" s="76">
        <v>903</v>
      </c>
      <c r="FC110" s="76">
        <v>0</v>
      </c>
      <c r="FD110" s="76">
        <v>0</v>
      </c>
      <c r="FE110" s="76">
        <v>-120</v>
      </c>
      <c r="FF110" s="76">
        <v>0</v>
      </c>
      <c r="FG110" s="76">
        <v>0</v>
      </c>
      <c r="FH110" s="76">
        <v>8252</v>
      </c>
      <c r="FI110" s="76">
        <v>89945</v>
      </c>
      <c r="FJ110" s="76">
        <v>88955</v>
      </c>
      <c r="FK110" s="76">
        <v>0</v>
      </c>
      <c r="FL110" s="76">
        <v>0</v>
      </c>
      <c r="FM110" s="76">
        <v>0</v>
      </c>
      <c r="FN110" s="76">
        <v>0</v>
      </c>
      <c r="FO110" s="76">
        <v>0</v>
      </c>
      <c r="FP110" s="76">
        <v>0</v>
      </c>
      <c r="FQ110" s="76">
        <v>0</v>
      </c>
      <c r="FR110" s="76">
        <v>0</v>
      </c>
      <c r="FS110" s="76">
        <v>0</v>
      </c>
      <c r="FT110" s="76">
        <v>724</v>
      </c>
      <c r="FU110" s="76">
        <v>474</v>
      </c>
      <c r="FV110" s="76">
        <v>250</v>
      </c>
      <c r="FW110" s="76">
        <v>0</v>
      </c>
      <c r="FX110" s="76">
        <v>0</v>
      </c>
      <c r="FY110" s="76">
        <v>0</v>
      </c>
      <c r="FZ110" s="76">
        <v>0</v>
      </c>
      <c r="GA110" s="76">
        <v>0</v>
      </c>
      <c r="GB110" s="76">
        <v>0</v>
      </c>
      <c r="GC110" s="76">
        <v>724</v>
      </c>
      <c r="GD110" s="76">
        <v>474</v>
      </c>
      <c r="GE110" s="76">
        <v>250</v>
      </c>
      <c r="GF110" s="76">
        <v>0</v>
      </c>
      <c r="GG110" s="76">
        <v>0</v>
      </c>
      <c r="GH110" s="76">
        <v>0</v>
      </c>
      <c r="GI110" s="76">
        <v>0</v>
      </c>
      <c r="GJ110" s="76">
        <v>0</v>
      </c>
      <c r="GK110" s="76">
        <v>11</v>
      </c>
      <c r="GL110" s="76">
        <v>11</v>
      </c>
      <c r="GM110" s="76">
        <v>316</v>
      </c>
      <c r="GN110" s="76">
        <v>0</v>
      </c>
      <c r="GO110" s="76">
        <v>401</v>
      </c>
      <c r="GP110" s="76">
        <v>0</v>
      </c>
      <c r="GQ110" s="76">
        <v>0</v>
      </c>
      <c r="GR110" s="76">
        <v>1114</v>
      </c>
      <c r="GS110" s="76">
        <v>0</v>
      </c>
      <c r="GT110" s="76">
        <v>0</v>
      </c>
      <c r="GU110" s="76">
        <v>0</v>
      </c>
      <c r="GV110" s="76">
        <v>0</v>
      </c>
      <c r="GW110" s="76">
        <v>102</v>
      </c>
      <c r="GX110" s="76">
        <v>1933</v>
      </c>
      <c r="GY110" s="76">
        <v>0</v>
      </c>
      <c r="GZ110" s="76">
        <v>0</v>
      </c>
      <c r="HA110" s="76">
        <v>0</v>
      </c>
      <c r="HB110" s="76">
        <v>2067</v>
      </c>
      <c r="HC110" s="76">
        <v>2067</v>
      </c>
      <c r="HD110" s="76">
        <v>0</v>
      </c>
      <c r="HE110" s="76">
        <v>0</v>
      </c>
      <c r="HF110" s="76">
        <v>0</v>
      </c>
      <c r="HG110" s="76">
        <v>1898</v>
      </c>
      <c r="HH110" s="76">
        <v>0</v>
      </c>
      <c r="HI110" s="76">
        <v>0</v>
      </c>
      <c r="HJ110" s="76">
        <v>0</v>
      </c>
      <c r="HK110" s="76">
        <v>0</v>
      </c>
      <c r="HL110" s="76">
        <v>0</v>
      </c>
      <c r="HM110" s="76">
        <v>1898</v>
      </c>
      <c r="HN110" s="76">
        <v>501</v>
      </c>
      <c r="HO110" s="76">
        <v>965</v>
      </c>
      <c r="HP110" s="76">
        <v>0</v>
      </c>
      <c r="HQ110" s="76">
        <v>49</v>
      </c>
      <c r="HR110" s="76">
        <v>0</v>
      </c>
      <c r="HS110" s="76">
        <v>0</v>
      </c>
      <c r="HT110" s="76">
        <v>1775</v>
      </c>
      <c r="HU110" s="76">
        <v>0</v>
      </c>
      <c r="HV110" s="76">
        <v>0</v>
      </c>
      <c r="HW110" s="76">
        <v>0</v>
      </c>
      <c r="HX110" s="76">
        <v>0</v>
      </c>
    </row>
    <row r="111" spans="1:232" x14ac:dyDescent="0.2">
      <c r="A111" s="71" t="s">
        <v>81</v>
      </c>
      <c r="B111" s="71" t="s">
        <v>80</v>
      </c>
      <c r="C111" s="72" t="s">
        <v>200</v>
      </c>
      <c r="D111" s="72">
        <v>12</v>
      </c>
      <c r="E111" s="73">
        <v>41555</v>
      </c>
      <c r="F111" s="73">
        <v>-1344</v>
      </c>
      <c r="G111" s="73">
        <v>-26624</v>
      </c>
      <c r="H111" s="73">
        <v>13587</v>
      </c>
      <c r="I111" s="73">
        <v>-736</v>
      </c>
      <c r="J111" s="73">
        <v>150</v>
      </c>
      <c r="K111" s="73">
        <v>-161</v>
      </c>
      <c r="L111" s="73">
        <v>0</v>
      </c>
      <c r="M111" s="73">
        <v>125</v>
      </c>
      <c r="N111" s="73">
        <v>-4524</v>
      </c>
      <c r="O111" s="73">
        <v>855</v>
      </c>
      <c r="P111" s="73">
        <v>0</v>
      </c>
      <c r="Q111" s="73">
        <v>0</v>
      </c>
      <c r="R111" s="73">
        <v>0</v>
      </c>
      <c r="S111" s="73">
        <v>9296</v>
      </c>
      <c r="T111" s="73">
        <v>22</v>
      </c>
      <c r="U111" s="73">
        <v>9318</v>
      </c>
      <c r="V111" s="73">
        <v>0</v>
      </c>
      <c r="W111" s="73">
        <v>-1653</v>
      </c>
      <c r="X111" s="73">
        <v>0</v>
      </c>
      <c r="Y111" s="73">
        <v>0</v>
      </c>
      <c r="Z111" s="73">
        <v>7665</v>
      </c>
      <c r="AA111" s="73">
        <v>35609</v>
      </c>
      <c r="AB111" s="73">
        <v>1747</v>
      </c>
      <c r="AC111" s="73">
        <v>37356</v>
      </c>
      <c r="AD111" s="73">
        <v>360</v>
      </c>
      <c r="AE111" s="73">
        <v>0</v>
      </c>
      <c r="AF111" s="73">
        <v>0</v>
      </c>
      <c r="AG111" s="73">
        <v>0</v>
      </c>
      <c r="AH111" s="73">
        <v>37716</v>
      </c>
      <c r="AI111" s="73">
        <v>5949</v>
      </c>
      <c r="AJ111" s="73">
        <v>1781</v>
      </c>
      <c r="AK111" s="73">
        <v>4996</v>
      </c>
      <c r="AL111" s="73">
        <v>1860</v>
      </c>
      <c r="AM111" s="73">
        <v>2679</v>
      </c>
      <c r="AN111" s="73">
        <v>-64</v>
      </c>
      <c r="AO111" s="73">
        <v>7686</v>
      </c>
      <c r="AP111" s="73">
        <v>-36</v>
      </c>
      <c r="AQ111" s="73">
        <v>179</v>
      </c>
      <c r="AR111" s="73">
        <v>25030</v>
      </c>
      <c r="AS111" s="73">
        <v>12686</v>
      </c>
      <c r="AT111" s="73">
        <v>181</v>
      </c>
      <c r="AU111" s="73">
        <v>341575</v>
      </c>
      <c r="AV111" s="73">
        <v>0</v>
      </c>
      <c r="AW111" s="73">
        <v>4032</v>
      </c>
      <c r="AX111" s="73">
        <v>0</v>
      </c>
      <c r="AY111" s="73">
        <v>0</v>
      </c>
      <c r="AZ111" s="73">
        <v>17641</v>
      </c>
      <c r="BA111" s="73">
        <v>0</v>
      </c>
      <c r="BB111" s="73">
        <v>0</v>
      </c>
      <c r="BC111" s="73">
        <v>0</v>
      </c>
      <c r="BD111" s="73">
        <v>0</v>
      </c>
      <c r="BE111" s="73">
        <v>363248</v>
      </c>
      <c r="BF111" s="73">
        <v>4489</v>
      </c>
      <c r="BG111" s="73">
        <v>0</v>
      </c>
      <c r="BH111" s="73">
        <v>15497</v>
      </c>
      <c r="BI111" s="73">
        <v>0</v>
      </c>
      <c r="BJ111" s="73">
        <v>2446</v>
      </c>
      <c r="BK111" s="73">
        <v>22432</v>
      </c>
      <c r="BL111" s="73">
        <v>2674</v>
      </c>
      <c r="BM111" s="73">
        <v>1</v>
      </c>
      <c r="BN111" s="73">
        <v>0</v>
      </c>
      <c r="BO111" s="73">
        <v>11373</v>
      </c>
      <c r="BP111" s="73">
        <v>14048</v>
      </c>
      <c r="BQ111" s="73">
        <v>8384</v>
      </c>
      <c r="BR111" s="73">
        <v>371632</v>
      </c>
      <c r="BS111" s="73">
        <v>139975</v>
      </c>
      <c r="BT111" s="73">
        <v>0</v>
      </c>
      <c r="BU111" s="73">
        <v>0</v>
      </c>
      <c r="BV111" s="73">
        <v>27023</v>
      </c>
      <c r="BW111" s="73">
        <v>0</v>
      </c>
      <c r="BX111" s="73">
        <v>0</v>
      </c>
      <c r="BY111" s="73">
        <v>285</v>
      </c>
      <c r="BZ111" s="73">
        <v>167283</v>
      </c>
      <c r="CA111" s="73">
        <v>6210</v>
      </c>
      <c r="CB111" s="73">
        <v>0</v>
      </c>
      <c r="CC111" s="73">
        <v>198139</v>
      </c>
      <c r="CD111" s="73">
        <v>81817</v>
      </c>
      <c r="CE111" s="73">
        <v>116322</v>
      </c>
      <c r="CF111" s="73">
        <v>0</v>
      </c>
      <c r="CG111" s="73">
        <v>0</v>
      </c>
      <c r="CH111" s="73">
        <v>0</v>
      </c>
      <c r="CI111" s="73">
        <v>198139</v>
      </c>
      <c r="CJ111" s="73">
        <v>1632</v>
      </c>
      <c r="CK111" s="73">
        <v>1266</v>
      </c>
      <c r="CL111" s="73">
        <v>0</v>
      </c>
      <c r="CM111" s="73">
        <v>366</v>
      </c>
      <c r="CN111" s="73">
        <v>744</v>
      </c>
      <c r="CO111" s="73">
        <v>0</v>
      </c>
      <c r="CP111" s="73">
        <v>735</v>
      </c>
      <c r="CQ111" s="73">
        <v>9</v>
      </c>
      <c r="CR111" s="73">
        <v>0</v>
      </c>
      <c r="CS111" s="73">
        <v>0</v>
      </c>
      <c r="CT111" s="73">
        <v>0</v>
      </c>
      <c r="CU111" s="73">
        <v>0</v>
      </c>
      <c r="CV111" s="73">
        <v>0</v>
      </c>
      <c r="CW111" s="73">
        <v>0</v>
      </c>
      <c r="CX111" s="73">
        <v>0</v>
      </c>
      <c r="CY111" s="73">
        <v>0</v>
      </c>
      <c r="CZ111" s="73">
        <v>340</v>
      </c>
      <c r="DA111" s="73">
        <v>0</v>
      </c>
      <c r="DB111" s="73">
        <v>173</v>
      </c>
      <c r="DC111" s="73">
        <v>167</v>
      </c>
      <c r="DD111" s="73">
        <v>2716</v>
      </c>
      <c r="DE111" s="73">
        <v>1266</v>
      </c>
      <c r="DF111" s="73">
        <v>908</v>
      </c>
      <c r="DG111" s="73">
        <v>542</v>
      </c>
      <c r="DH111" s="73">
        <v>544</v>
      </c>
      <c r="DI111" s="73">
        <v>78</v>
      </c>
      <c r="DJ111" s="73">
        <v>0</v>
      </c>
      <c r="DK111" s="73">
        <v>466</v>
      </c>
      <c r="DL111" s="73">
        <v>0</v>
      </c>
      <c r="DM111" s="73">
        <v>0</v>
      </c>
      <c r="DN111" s="73">
        <v>0</v>
      </c>
      <c r="DO111" s="73">
        <v>0</v>
      </c>
      <c r="DP111" s="73">
        <v>0</v>
      </c>
      <c r="DQ111" s="73">
        <v>0</v>
      </c>
      <c r="DR111" s="73">
        <v>0</v>
      </c>
      <c r="DS111" s="73">
        <v>0</v>
      </c>
      <c r="DT111" s="73">
        <v>0</v>
      </c>
      <c r="DU111" s="73">
        <v>0</v>
      </c>
      <c r="DV111" s="73">
        <v>0</v>
      </c>
      <c r="DW111" s="73">
        <v>0</v>
      </c>
      <c r="DX111" s="73">
        <v>0</v>
      </c>
      <c r="DY111" s="73">
        <v>0</v>
      </c>
      <c r="DZ111" s="73">
        <v>0</v>
      </c>
      <c r="EA111" s="73">
        <v>0</v>
      </c>
      <c r="EB111" s="73">
        <v>579</v>
      </c>
      <c r="EC111" s="73">
        <v>0</v>
      </c>
      <c r="ED111" s="73">
        <v>686</v>
      </c>
      <c r="EE111" s="73">
        <v>-107</v>
      </c>
      <c r="EF111" s="73">
        <v>1123</v>
      </c>
      <c r="EG111" s="73">
        <v>78</v>
      </c>
      <c r="EH111" s="73">
        <v>686</v>
      </c>
      <c r="EI111" s="73">
        <v>359</v>
      </c>
      <c r="EJ111" s="73">
        <v>3839</v>
      </c>
      <c r="EK111" s="73">
        <v>1344</v>
      </c>
      <c r="EL111" s="73">
        <v>1594</v>
      </c>
      <c r="EM111" s="73">
        <v>901</v>
      </c>
      <c r="EN111" s="73">
        <v>1479</v>
      </c>
      <c r="EO111" s="73">
        <v>263</v>
      </c>
      <c r="EP111" s="73">
        <v>338</v>
      </c>
      <c r="EQ111" s="73">
        <v>263</v>
      </c>
      <c r="ER111" s="73">
        <v>371155</v>
      </c>
      <c r="ES111" s="73">
        <v>0</v>
      </c>
      <c r="ET111" s="73">
        <v>371155</v>
      </c>
      <c r="EU111" s="73">
        <v>19233</v>
      </c>
      <c r="EV111" s="73">
        <v>-1394</v>
      </c>
      <c r="EW111" s="73">
        <v>0</v>
      </c>
      <c r="EX111" s="73">
        <v>0</v>
      </c>
      <c r="EY111" s="73">
        <v>0</v>
      </c>
      <c r="EZ111" s="73">
        <v>388994</v>
      </c>
      <c r="FA111" s="73">
        <v>40349</v>
      </c>
      <c r="FB111" s="73">
        <v>7350</v>
      </c>
      <c r="FC111" s="73">
        <v>-36</v>
      </c>
      <c r="FD111" s="73">
        <v>0</v>
      </c>
      <c r="FE111" s="73">
        <v>-244</v>
      </c>
      <c r="FF111" s="73">
        <v>0</v>
      </c>
      <c r="FG111" s="73">
        <v>0</v>
      </c>
      <c r="FH111" s="73">
        <v>47419</v>
      </c>
      <c r="FI111" s="73">
        <v>341575</v>
      </c>
      <c r="FJ111" s="73">
        <v>330806</v>
      </c>
      <c r="FK111" s="73">
        <v>0</v>
      </c>
      <c r="FL111" s="73">
        <v>0</v>
      </c>
      <c r="FM111" s="73">
        <v>0</v>
      </c>
      <c r="FN111" s="73">
        <v>1267</v>
      </c>
      <c r="FO111" s="73">
        <v>1869</v>
      </c>
      <c r="FP111" s="73">
        <v>-602</v>
      </c>
      <c r="FQ111" s="73">
        <v>840</v>
      </c>
      <c r="FR111" s="73">
        <v>975</v>
      </c>
      <c r="FS111" s="73">
        <v>-135</v>
      </c>
      <c r="FT111" s="73">
        <v>0</v>
      </c>
      <c r="FU111" s="73">
        <v>0</v>
      </c>
      <c r="FV111" s="73">
        <v>0</v>
      </c>
      <c r="FW111" s="73">
        <v>0</v>
      </c>
      <c r="FX111" s="73">
        <v>0</v>
      </c>
      <c r="FY111" s="73">
        <v>0</v>
      </c>
      <c r="FZ111" s="73">
        <v>1</v>
      </c>
      <c r="GA111" s="73">
        <v>0</v>
      </c>
      <c r="GB111" s="73">
        <v>1</v>
      </c>
      <c r="GC111" s="73">
        <v>2108</v>
      </c>
      <c r="GD111" s="73">
        <v>2844</v>
      </c>
      <c r="GE111" s="73">
        <v>-736</v>
      </c>
      <c r="GF111" s="73">
        <v>160</v>
      </c>
      <c r="GG111" s="73">
        <v>0</v>
      </c>
      <c r="GH111" s="73">
        <v>0</v>
      </c>
      <c r="GI111" s="73">
        <v>0</v>
      </c>
      <c r="GJ111" s="73">
        <v>0</v>
      </c>
      <c r="GK111" s="73">
        <v>2286</v>
      </c>
      <c r="GL111" s="73">
        <v>2446</v>
      </c>
      <c r="GM111" s="73">
        <v>2120</v>
      </c>
      <c r="GN111" s="73">
        <v>681</v>
      </c>
      <c r="GO111" s="73">
        <v>0</v>
      </c>
      <c r="GP111" s="73">
        <v>0</v>
      </c>
      <c r="GQ111" s="73">
        <v>1422</v>
      </c>
      <c r="GR111" s="73">
        <v>5817</v>
      </c>
      <c r="GS111" s="73">
        <v>0</v>
      </c>
      <c r="GT111" s="73">
        <v>0</v>
      </c>
      <c r="GU111" s="73">
        <v>0</v>
      </c>
      <c r="GV111" s="73">
        <v>0</v>
      </c>
      <c r="GW111" s="73">
        <v>1334</v>
      </c>
      <c r="GX111" s="73">
        <v>11374</v>
      </c>
      <c r="GY111" s="73">
        <v>0</v>
      </c>
      <c r="GZ111" s="73">
        <v>0</v>
      </c>
      <c r="HA111" s="73">
        <v>285</v>
      </c>
      <c r="HB111" s="73">
        <v>0</v>
      </c>
      <c r="HC111" s="73">
        <v>285</v>
      </c>
      <c r="HD111" s="73">
        <v>0</v>
      </c>
      <c r="HE111" s="73">
        <v>0</v>
      </c>
      <c r="HF111" s="73">
        <v>0</v>
      </c>
      <c r="HG111" s="73">
        <v>5732</v>
      </c>
      <c r="HH111" s="73">
        <v>-776</v>
      </c>
      <c r="HI111" s="73">
        <v>0</v>
      </c>
      <c r="HJ111" s="73">
        <v>0</v>
      </c>
      <c r="HK111" s="73">
        <v>0</v>
      </c>
      <c r="HL111" s="73">
        <v>-432</v>
      </c>
      <c r="HM111" s="73">
        <v>4524</v>
      </c>
      <c r="HN111" s="73">
        <v>4242</v>
      </c>
      <c r="HO111" s="73">
        <v>7686</v>
      </c>
      <c r="HP111" s="73">
        <v>-36</v>
      </c>
      <c r="HQ111" s="73">
        <v>64</v>
      </c>
      <c r="HR111" s="73">
        <v>-40</v>
      </c>
      <c r="HS111" s="73">
        <v>46</v>
      </c>
      <c r="HT111" s="73">
        <v>6764</v>
      </c>
      <c r="HU111" s="73">
        <v>0</v>
      </c>
      <c r="HV111" s="73">
        <v>-16</v>
      </c>
      <c r="HW111" s="73">
        <v>1</v>
      </c>
      <c r="HX111" s="73">
        <v>99</v>
      </c>
    </row>
    <row r="112" spans="1:232" x14ac:dyDescent="0.2">
      <c r="A112" s="74" t="s">
        <v>84</v>
      </c>
      <c r="B112" s="74" t="s">
        <v>83</v>
      </c>
      <c r="C112" s="75" t="s">
        <v>200</v>
      </c>
      <c r="D112" s="75">
        <v>12</v>
      </c>
      <c r="E112" s="76">
        <v>100706</v>
      </c>
      <c r="F112" s="76">
        <v>-11884</v>
      </c>
      <c r="G112" s="76">
        <v>-59173</v>
      </c>
      <c r="H112" s="76">
        <v>29649</v>
      </c>
      <c r="I112" s="76">
        <v>2485</v>
      </c>
      <c r="J112" s="76">
        <v>508</v>
      </c>
      <c r="K112" s="76">
        <v>-211</v>
      </c>
      <c r="L112" s="76">
        <v>0</v>
      </c>
      <c r="M112" s="76">
        <v>382</v>
      </c>
      <c r="N112" s="76">
        <v>-21557</v>
      </c>
      <c r="O112" s="76">
        <v>0</v>
      </c>
      <c r="P112" s="76">
        <v>167</v>
      </c>
      <c r="Q112" s="76">
        <v>0</v>
      </c>
      <c r="R112" s="76">
        <v>0</v>
      </c>
      <c r="S112" s="76">
        <v>11423</v>
      </c>
      <c r="T112" s="76">
        <v>0</v>
      </c>
      <c r="U112" s="76">
        <v>11423</v>
      </c>
      <c r="V112" s="76">
        <v>0</v>
      </c>
      <c r="W112" s="76">
        <v>-560</v>
      </c>
      <c r="X112" s="76">
        <v>-2938</v>
      </c>
      <c r="Y112" s="76">
        <v>0</v>
      </c>
      <c r="Z112" s="76">
        <v>7925</v>
      </c>
      <c r="AA112" s="76">
        <v>69815</v>
      </c>
      <c r="AB112" s="76">
        <v>6015</v>
      </c>
      <c r="AC112" s="76">
        <v>75830</v>
      </c>
      <c r="AD112" s="76">
        <v>5295</v>
      </c>
      <c r="AE112" s="76">
        <v>0</v>
      </c>
      <c r="AF112" s="76">
        <v>0</v>
      </c>
      <c r="AG112" s="76">
        <v>2379</v>
      </c>
      <c r="AH112" s="76">
        <v>83504</v>
      </c>
      <c r="AI112" s="76">
        <v>17486</v>
      </c>
      <c r="AJ112" s="76">
        <v>5951</v>
      </c>
      <c r="AK112" s="76">
        <v>6917</v>
      </c>
      <c r="AL112" s="76">
        <v>2832</v>
      </c>
      <c r="AM112" s="76">
        <v>4758</v>
      </c>
      <c r="AN112" s="76">
        <v>336</v>
      </c>
      <c r="AO112" s="76">
        <v>15446</v>
      </c>
      <c r="AP112" s="76">
        <v>1190</v>
      </c>
      <c r="AQ112" s="76">
        <v>264</v>
      </c>
      <c r="AR112" s="76">
        <v>55180</v>
      </c>
      <c r="AS112" s="76">
        <v>28324</v>
      </c>
      <c r="AT112" s="76">
        <v>898</v>
      </c>
      <c r="AU112" s="76">
        <v>1027233</v>
      </c>
      <c r="AV112" s="76">
        <v>0</v>
      </c>
      <c r="AW112" s="76">
        <v>8887</v>
      </c>
      <c r="AX112" s="76">
        <v>0</v>
      </c>
      <c r="AY112" s="76">
        <v>8134</v>
      </c>
      <c r="AZ112" s="76">
        <v>12995</v>
      </c>
      <c r="BA112" s="76">
        <v>10</v>
      </c>
      <c r="BB112" s="76">
        <v>0</v>
      </c>
      <c r="BC112" s="76">
        <v>0</v>
      </c>
      <c r="BD112" s="76">
        <v>548</v>
      </c>
      <c r="BE112" s="76">
        <v>1057807</v>
      </c>
      <c r="BF112" s="76">
        <v>6249</v>
      </c>
      <c r="BG112" s="76">
        <v>37105</v>
      </c>
      <c r="BH112" s="76">
        <v>46933</v>
      </c>
      <c r="BI112" s="76">
        <v>3852</v>
      </c>
      <c r="BJ112" s="76">
        <v>5880</v>
      </c>
      <c r="BK112" s="76">
        <v>100019</v>
      </c>
      <c r="BL112" s="76">
        <v>1652</v>
      </c>
      <c r="BM112" s="76">
        <v>0</v>
      </c>
      <c r="BN112" s="76">
        <v>5536</v>
      </c>
      <c r="BO112" s="76">
        <v>45994</v>
      </c>
      <c r="BP112" s="76">
        <v>53182</v>
      </c>
      <c r="BQ112" s="76">
        <v>46837</v>
      </c>
      <c r="BR112" s="76">
        <v>1104644</v>
      </c>
      <c r="BS112" s="76">
        <v>91329</v>
      </c>
      <c r="BT112" s="76">
        <v>438589</v>
      </c>
      <c r="BU112" s="76">
        <v>3125</v>
      </c>
      <c r="BV112" s="76">
        <v>457609</v>
      </c>
      <c r="BW112" s="76">
        <v>8134</v>
      </c>
      <c r="BX112" s="76">
        <v>45779</v>
      </c>
      <c r="BY112" s="76">
        <v>9410</v>
      </c>
      <c r="BZ112" s="76">
        <v>1053975</v>
      </c>
      <c r="CA112" s="76">
        <v>1182</v>
      </c>
      <c r="CB112" s="76">
        <v>0</v>
      </c>
      <c r="CC112" s="76">
        <v>49487</v>
      </c>
      <c r="CD112" s="76">
        <v>97030</v>
      </c>
      <c r="CE112" s="76">
        <v>1999</v>
      </c>
      <c r="CF112" s="76">
        <v>0</v>
      </c>
      <c r="CG112" s="76">
        <v>-49703</v>
      </c>
      <c r="CH112" s="76">
        <v>161</v>
      </c>
      <c r="CI112" s="76">
        <v>49487</v>
      </c>
      <c r="CJ112" s="76">
        <v>13168</v>
      </c>
      <c r="CK112" s="76">
        <v>11884</v>
      </c>
      <c r="CL112" s="76">
        <v>0</v>
      </c>
      <c r="CM112" s="76">
        <v>1284</v>
      </c>
      <c r="CN112" s="76">
        <v>2307</v>
      </c>
      <c r="CO112" s="76">
        <v>0</v>
      </c>
      <c r="CP112" s="76">
        <v>3259</v>
      </c>
      <c r="CQ112" s="76">
        <v>-952</v>
      </c>
      <c r="CR112" s="76">
        <v>0</v>
      </c>
      <c r="CS112" s="76">
        <v>0</v>
      </c>
      <c r="CT112" s="76">
        <v>0</v>
      </c>
      <c r="CU112" s="76">
        <v>0</v>
      </c>
      <c r="CV112" s="76">
        <v>0</v>
      </c>
      <c r="CW112" s="76">
        <v>0</v>
      </c>
      <c r="CX112" s="76">
        <v>0</v>
      </c>
      <c r="CY112" s="76">
        <v>0</v>
      </c>
      <c r="CZ112" s="76">
        <v>1472</v>
      </c>
      <c r="DA112" s="76">
        <v>0</v>
      </c>
      <c r="DB112" s="76">
        <v>677</v>
      </c>
      <c r="DC112" s="76">
        <v>795</v>
      </c>
      <c r="DD112" s="76">
        <v>16947</v>
      </c>
      <c r="DE112" s="76">
        <v>11884</v>
      </c>
      <c r="DF112" s="76">
        <v>3936</v>
      </c>
      <c r="DG112" s="76">
        <v>1127</v>
      </c>
      <c r="DH112" s="76">
        <v>0</v>
      </c>
      <c r="DI112" s="76">
        <v>0</v>
      </c>
      <c r="DJ112" s="76">
        <v>0</v>
      </c>
      <c r="DK112" s="76">
        <v>0</v>
      </c>
      <c r="DL112" s="76">
        <v>0</v>
      </c>
      <c r="DM112" s="76">
        <v>0</v>
      </c>
      <c r="DN112" s="76">
        <v>0</v>
      </c>
      <c r="DO112" s="76">
        <v>0</v>
      </c>
      <c r="DP112" s="76">
        <v>0</v>
      </c>
      <c r="DQ112" s="76">
        <v>0</v>
      </c>
      <c r="DR112" s="76">
        <v>0</v>
      </c>
      <c r="DS112" s="76">
        <v>0</v>
      </c>
      <c r="DT112" s="76">
        <v>255</v>
      </c>
      <c r="DU112" s="76">
        <v>0</v>
      </c>
      <c r="DV112" s="76">
        <v>57</v>
      </c>
      <c r="DW112" s="76">
        <v>198</v>
      </c>
      <c r="DX112" s="76">
        <v>0</v>
      </c>
      <c r="DY112" s="76">
        <v>0</v>
      </c>
      <c r="DZ112" s="76">
        <v>0</v>
      </c>
      <c r="EA112" s="76">
        <v>0</v>
      </c>
      <c r="EB112" s="76">
        <v>0</v>
      </c>
      <c r="EC112" s="76">
        <v>0</v>
      </c>
      <c r="ED112" s="76">
        <v>0</v>
      </c>
      <c r="EE112" s="76">
        <v>0</v>
      </c>
      <c r="EF112" s="76">
        <v>255</v>
      </c>
      <c r="EG112" s="76">
        <v>0</v>
      </c>
      <c r="EH112" s="76">
        <v>57</v>
      </c>
      <c r="EI112" s="76">
        <v>198</v>
      </c>
      <c r="EJ112" s="76">
        <v>17202</v>
      </c>
      <c r="EK112" s="76">
        <v>11884</v>
      </c>
      <c r="EL112" s="76">
        <v>3993</v>
      </c>
      <c r="EM112" s="76">
        <v>1325</v>
      </c>
      <c r="EN112" s="76">
        <v>2322</v>
      </c>
      <c r="EO112" s="76">
        <v>1217</v>
      </c>
      <c r="EP112" s="76">
        <v>735</v>
      </c>
      <c r="EQ112" s="76">
        <v>1217</v>
      </c>
      <c r="ER112" s="76">
        <v>1136067</v>
      </c>
      <c r="ES112" s="76">
        <v>0</v>
      </c>
      <c r="ET112" s="76">
        <v>1136067</v>
      </c>
      <c r="EU112" s="76">
        <v>52444</v>
      </c>
      <c r="EV112" s="76">
        <v>-14406</v>
      </c>
      <c r="EW112" s="76">
        <v>0</v>
      </c>
      <c r="EX112" s="76">
        <v>0</v>
      </c>
      <c r="EY112" s="76">
        <v>0</v>
      </c>
      <c r="EZ112" s="76">
        <v>1174105</v>
      </c>
      <c r="FA112" s="76">
        <v>134154</v>
      </c>
      <c r="FB112" s="76">
        <v>14680</v>
      </c>
      <c r="FC112" s="76">
        <v>1190</v>
      </c>
      <c r="FD112" s="76">
        <v>0</v>
      </c>
      <c r="FE112" s="76">
        <v>-3152</v>
      </c>
      <c r="FF112" s="76">
        <v>0</v>
      </c>
      <c r="FG112" s="76">
        <v>0</v>
      </c>
      <c r="FH112" s="76">
        <v>146872</v>
      </c>
      <c r="FI112" s="76">
        <v>1027233</v>
      </c>
      <c r="FJ112" s="76">
        <v>1001913</v>
      </c>
      <c r="FK112" s="76">
        <v>2846</v>
      </c>
      <c r="FL112" s="76">
        <v>2346</v>
      </c>
      <c r="FM112" s="76">
        <v>500</v>
      </c>
      <c r="FN112" s="76">
        <v>329</v>
      </c>
      <c r="FO112" s="76">
        <v>258</v>
      </c>
      <c r="FP112" s="76">
        <v>71</v>
      </c>
      <c r="FQ112" s="76">
        <v>193</v>
      </c>
      <c r="FR112" s="76">
        <v>193</v>
      </c>
      <c r="FS112" s="76">
        <v>0</v>
      </c>
      <c r="FT112" s="76">
        <v>5009</v>
      </c>
      <c r="FU112" s="76">
        <v>3132</v>
      </c>
      <c r="FV112" s="76">
        <v>1877</v>
      </c>
      <c r="FW112" s="76">
        <v>75</v>
      </c>
      <c r="FX112" s="76">
        <v>65</v>
      </c>
      <c r="FY112" s="76">
        <v>10</v>
      </c>
      <c r="FZ112" s="76">
        <v>120</v>
      </c>
      <c r="GA112" s="76">
        <v>93</v>
      </c>
      <c r="GB112" s="76">
        <v>27</v>
      </c>
      <c r="GC112" s="76">
        <v>8572</v>
      </c>
      <c r="GD112" s="76">
        <v>6087</v>
      </c>
      <c r="GE112" s="76">
        <v>2485</v>
      </c>
      <c r="GF112" s="76">
        <v>5445</v>
      </c>
      <c r="GG112" s="76">
        <v>0</v>
      </c>
      <c r="GH112" s="76">
        <v>0</v>
      </c>
      <c r="GI112" s="76">
        <v>0</v>
      </c>
      <c r="GJ112" s="76">
        <v>0</v>
      </c>
      <c r="GK112" s="76">
        <v>435</v>
      </c>
      <c r="GL112" s="76">
        <v>5880</v>
      </c>
      <c r="GM112" s="76">
        <v>1594</v>
      </c>
      <c r="GN112" s="76">
        <v>2212</v>
      </c>
      <c r="GO112" s="76">
        <v>9938</v>
      </c>
      <c r="GP112" s="76">
        <v>2863</v>
      </c>
      <c r="GQ112" s="76">
        <v>470</v>
      </c>
      <c r="GR112" s="76">
        <v>9518</v>
      </c>
      <c r="GS112" s="76">
        <v>74</v>
      </c>
      <c r="GT112" s="76">
        <v>0</v>
      </c>
      <c r="GU112" s="76">
        <v>898</v>
      </c>
      <c r="GV112" s="76">
        <v>4826</v>
      </c>
      <c r="GW112" s="76">
        <v>13601</v>
      </c>
      <c r="GX112" s="76">
        <v>45994</v>
      </c>
      <c r="GY112" s="76">
        <v>3084</v>
      </c>
      <c r="GZ112" s="76">
        <v>82</v>
      </c>
      <c r="HA112" s="76">
        <v>6215</v>
      </c>
      <c r="HB112" s="76">
        <v>29</v>
      </c>
      <c r="HC112" s="76">
        <v>9410</v>
      </c>
      <c r="HD112" s="76">
        <v>0</v>
      </c>
      <c r="HE112" s="76">
        <v>0</v>
      </c>
      <c r="HF112" s="76">
        <v>0</v>
      </c>
      <c r="HG112" s="76">
        <v>22181</v>
      </c>
      <c r="HH112" s="76">
        <v>948</v>
      </c>
      <c r="HI112" s="76">
        <v>149</v>
      </c>
      <c r="HJ112" s="76">
        <v>17</v>
      </c>
      <c r="HK112" s="76">
        <v>0</v>
      </c>
      <c r="HL112" s="76">
        <v>-1738</v>
      </c>
      <c r="HM112" s="76">
        <v>21557</v>
      </c>
      <c r="HN112" s="76">
        <v>10259</v>
      </c>
      <c r="HO112" s="76">
        <v>16398</v>
      </c>
      <c r="HP112" s="76">
        <v>1190</v>
      </c>
      <c r="HQ112" s="76">
        <v>436</v>
      </c>
      <c r="HR112" s="76">
        <v>-130</v>
      </c>
      <c r="HS112" s="76">
        <v>172</v>
      </c>
      <c r="HT112" s="76">
        <v>15642</v>
      </c>
      <c r="HU112" s="76">
        <v>0</v>
      </c>
      <c r="HV112" s="76">
        <v>0</v>
      </c>
      <c r="HW112" s="76">
        <v>164</v>
      </c>
      <c r="HX112" s="76">
        <v>164</v>
      </c>
    </row>
    <row r="113" spans="1:232" x14ac:dyDescent="0.2">
      <c r="A113" s="74" t="s">
        <v>403</v>
      </c>
      <c r="B113" s="74" t="s">
        <v>404</v>
      </c>
      <c r="C113" s="75" t="s">
        <v>200</v>
      </c>
      <c r="D113" s="75">
        <v>12</v>
      </c>
      <c r="E113" s="76">
        <v>42990</v>
      </c>
      <c r="F113" s="76">
        <v>-833</v>
      </c>
      <c r="G113" s="76">
        <v>-28725</v>
      </c>
      <c r="H113" s="76">
        <v>13432</v>
      </c>
      <c r="I113" s="76">
        <v>-63</v>
      </c>
      <c r="J113" s="76">
        <v>0</v>
      </c>
      <c r="K113" s="76">
        <v>0</v>
      </c>
      <c r="L113" s="76">
        <v>0</v>
      </c>
      <c r="M113" s="76">
        <v>138</v>
      </c>
      <c r="N113" s="76">
        <v>-5297</v>
      </c>
      <c r="O113" s="76">
        <v>0</v>
      </c>
      <c r="P113" s="76">
        <v>0</v>
      </c>
      <c r="Q113" s="76">
        <v>0</v>
      </c>
      <c r="R113" s="76">
        <v>0</v>
      </c>
      <c r="S113" s="76">
        <v>8210</v>
      </c>
      <c r="T113" s="76">
        <v>0</v>
      </c>
      <c r="U113" s="76">
        <v>8210</v>
      </c>
      <c r="V113" s="76">
        <v>0</v>
      </c>
      <c r="W113" s="76">
        <v>-2444</v>
      </c>
      <c r="X113" s="76">
        <v>0</v>
      </c>
      <c r="Y113" s="76">
        <v>0</v>
      </c>
      <c r="Z113" s="76">
        <v>5766</v>
      </c>
      <c r="AA113" s="76">
        <v>40014</v>
      </c>
      <c r="AB113" s="76">
        <v>884</v>
      </c>
      <c r="AC113" s="76">
        <v>40898</v>
      </c>
      <c r="AD113" s="76">
        <v>36</v>
      </c>
      <c r="AE113" s="76">
        <v>0</v>
      </c>
      <c r="AF113" s="76">
        <v>0</v>
      </c>
      <c r="AG113" s="76">
        <v>0</v>
      </c>
      <c r="AH113" s="76">
        <v>40934</v>
      </c>
      <c r="AI113" s="76">
        <v>7740</v>
      </c>
      <c r="AJ113" s="76">
        <v>876</v>
      </c>
      <c r="AK113" s="76">
        <v>4465</v>
      </c>
      <c r="AL113" s="76">
        <v>3656</v>
      </c>
      <c r="AM113" s="76">
        <v>2834</v>
      </c>
      <c r="AN113" s="76">
        <v>131</v>
      </c>
      <c r="AO113" s="76">
        <v>5282</v>
      </c>
      <c r="AP113" s="76">
        <v>0</v>
      </c>
      <c r="AQ113" s="76">
        <v>0</v>
      </c>
      <c r="AR113" s="76">
        <v>24984</v>
      </c>
      <c r="AS113" s="76">
        <v>15950</v>
      </c>
      <c r="AT113" s="76">
        <v>401</v>
      </c>
      <c r="AU113" s="76">
        <v>278186</v>
      </c>
      <c r="AV113" s="76">
        <v>0</v>
      </c>
      <c r="AW113" s="76">
        <v>5814</v>
      </c>
      <c r="AX113" s="76">
        <v>86</v>
      </c>
      <c r="AY113" s="76">
        <v>0</v>
      </c>
      <c r="AZ113" s="76">
        <v>0</v>
      </c>
      <c r="BA113" s="76">
        <v>0</v>
      </c>
      <c r="BB113" s="76">
        <v>0</v>
      </c>
      <c r="BC113" s="76">
        <v>0</v>
      </c>
      <c r="BD113" s="76">
        <v>0</v>
      </c>
      <c r="BE113" s="76">
        <v>284086</v>
      </c>
      <c r="BF113" s="76">
        <v>2406</v>
      </c>
      <c r="BG113" s="76">
        <v>6441</v>
      </c>
      <c r="BH113" s="76">
        <v>15900</v>
      </c>
      <c r="BI113" s="76">
        <v>22904</v>
      </c>
      <c r="BJ113" s="76">
        <v>278</v>
      </c>
      <c r="BK113" s="76">
        <v>47929</v>
      </c>
      <c r="BL113" s="76">
        <v>0</v>
      </c>
      <c r="BM113" s="76">
        <v>0</v>
      </c>
      <c r="BN113" s="76">
        <v>36</v>
      </c>
      <c r="BO113" s="76">
        <v>13372</v>
      </c>
      <c r="BP113" s="76">
        <v>13408</v>
      </c>
      <c r="BQ113" s="76">
        <v>34521</v>
      </c>
      <c r="BR113" s="76">
        <v>318607</v>
      </c>
      <c r="BS113" s="76">
        <v>136000</v>
      </c>
      <c r="BT113" s="76">
        <v>0</v>
      </c>
      <c r="BU113" s="76">
        <v>0</v>
      </c>
      <c r="BV113" s="76">
        <v>3448</v>
      </c>
      <c r="BW113" s="76">
        <v>0</v>
      </c>
      <c r="BX113" s="76">
        <v>0</v>
      </c>
      <c r="BY113" s="76">
        <v>15326</v>
      </c>
      <c r="BZ113" s="76">
        <v>154774</v>
      </c>
      <c r="CA113" s="76">
        <v>0</v>
      </c>
      <c r="CB113" s="76">
        <v>0</v>
      </c>
      <c r="CC113" s="76">
        <v>163833</v>
      </c>
      <c r="CD113" s="76">
        <v>61072</v>
      </c>
      <c r="CE113" s="76">
        <v>100595</v>
      </c>
      <c r="CF113" s="76">
        <v>2165</v>
      </c>
      <c r="CG113" s="76">
        <v>0</v>
      </c>
      <c r="CH113" s="76">
        <v>1</v>
      </c>
      <c r="CI113" s="76">
        <v>163833</v>
      </c>
      <c r="CJ113" s="76">
        <v>1454</v>
      </c>
      <c r="CK113" s="76">
        <v>833</v>
      </c>
      <c r="CL113" s="76">
        <v>0</v>
      </c>
      <c r="CM113" s="76">
        <v>621</v>
      </c>
      <c r="CN113" s="76">
        <v>215</v>
      </c>
      <c r="CO113" s="76">
        <v>0</v>
      </c>
      <c r="CP113" s="76">
        <v>202</v>
      </c>
      <c r="CQ113" s="76">
        <v>13</v>
      </c>
      <c r="CR113" s="76">
        <v>0</v>
      </c>
      <c r="CS113" s="76">
        <v>0</v>
      </c>
      <c r="CT113" s="76">
        <v>275</v>
      </c>
      <c r="CU113" s="76">
        <v>-275</v>
      </c>
      <c r="CV113" s="76">
        <v>0</v>
      </c>
      <c r="CW113" s="76">
        <v>0</v>
      </c>
      <c r="CX113" s="76">
        <v>0</v>
      </c>
      <c r="CY113" s="76">
        <v>0</v>
      </c>
      <c r="CZ113" s="76">
        <v>248</v>
      </c>
      <c r="DA113" s="76">
        <v>0</v>
      </c>
      <c r="DB113" s="76">
        <v>178</v>
      </c>
      <c r="DC113" s="76">
        <v>70</v>
      </c>
      <c r="DD113" s="76">
        <v>1917</v>
      </c>
      <c r="DE113" s="76">
        <v>833</v>
      </c>
      <c r="DF113" s="76">
        <v>655</v>
      </c>
      <c r="DG113" s="76">
        <v>429</v>
      </c>
      <c r="DH113" s="76">
        <v>0</v>
      </c>
      <c r="DI113" s="76">
        <v>0</v>
      </c>
      <c r="DJ113" s="76">
        <v>0</v>
      </c>
      <c r="DK113" s="76">
        <v>0</v>
      </c>
      <c r="DL113" s="76">
        <v>0</v>
      </c>
      <c r="DM113" s="76">
        <v>0</v>
      </c>
      <c r="DN113" s="76">
        <v>0</v>
      </c>
      <c r="DO113" s="76">
        <v>0</v>
      </c>
      <c r="DP113" s="76">
        <v>0</v>
      </c>
      <c r="DQ113" s="76">
        <v>0</v>
      </c>
      <c r="DR113" s="76">
        <v>0</v>
      </c>
      <c r="DS113" s="76">
        <v>0</v>
      </c>
      <c r="DT113" s="76">
        <v>0</v>
      </c>
      <c r="DU113" s="76">
        <v>0</v>
      </c>
      <c r="DV113" s="76">
        <v>0</v>
      </c>
      <c r="DW113" s="76">
        <v>0</v>
      </c>
      <c r="DX113" s="76">
        <v>0</v>
      </c>
      <c r="DY113" s="76">
        <v>0</v>
      </c>
      <c r="DZ113" s="76">
        <v>0</v>
      </c>
      <c r="EA113" s="76">
        <v>0</v>
      </c>
      <c r="EB113" s="76">
        <v>139</v>
      </c>
      <c r="EC113" s="76">
        <v>0</v>
      </c>
      <c r="ED113" s="76">
        <v>3086</v>
      </c>
      <c r="EE113" s="76">
        <v>-2947</v>
      </c>
      <c r="EF113" s="76">
        <v>139</v>
      </c>
      <c r="EG113" s="76">
        <v>0</v>
      </c>
      <c r="EH113" s="76">
        <v>3086</v>
      </c>
      <c r="EI113" s="76">
        <v>-2947</v>
      </c>
      <c r="EJ113" s="76">
        <v>2056</v>
      </c>
      <c r="EK113" s="76">
        <v>833</v>
      </c>
      <c r="EL113" s="76">
        <v>3741</v>
      </c>
      <c r="EM113" s="76">
        <v>-2518</v>
      </c>
      <c r="EN113" s="76">
        <v>421</v>
      </c>
      <c r="EO113" s="76">
        <v>164</v>
      </c>
      <c r="EP113" s="76">
        <v>61</v>
      </c>
      <c r="EQ113" s="76">
        <v>164</v>
      </c>
      <c r="ER113" s="76">
        <v>275728</v>
      </c>
      <c r="ES113" s="76">
        <v>0</v>
      </c>
      <c r="ET113" s="76">
        <v>275728</v>
      </c>
      <c r="EU113" s="76">
        <v>29733</v>
      </c>
      <c r="EV113" s="76">
        <v>-1499</v>
      </c>
      <c r="EW113" s="76">
        <v>0</v>
      </c>
      <c r="EX113" s="76">
        <v>0</v>
      </c>
      <c r="EY113" s="76">
        <v>-108</v>
      </c>
      <c r="EZ113" s="76">
        <v>303854</v>
      </c>
      <c r="FA113" s="76">
        <v>21023</v>
      </c>
      <c r="FB113" s="76">
        <v>4753</v>
      </c>
      <c r="FC113" s="76">
        <v>0</v>
      </c>
      <c r="FD113" s="76">
        <v>0</v>
      </c>
      <c r="FE113" s="76">
        <v>-108</v>
      </c>
      <c r="FF113" s="76">
        <v>0</v>
      </c>
      <c r="FG113" s="76">
        <v>0</v>
      </c>
      <c r="FH113" s="76">
        <v>25668</v>
      </c>
      <c r="FI113" s="76">
        <v>278186</v>
      </c>
      <c r="FJ113" s="76">
        <v>254705</v>
      </c>
      <c r="FK113" s="76">
        <v>29</v>
      </c>
      <c r="FL113" s="76">
        <v>5</v>
      </c>
      <c r="FM113" s="76">
        <v>24</v>
      </c>
      <c r="FN113" s="76">
        <v>721</v>
      </c>
      <c r="FO113" s="76">
        <v>1247</v>
      </c>
      <c r="FP113" s="76">
        <v>-526</v>
      </c>
      <c r="FQ113" s="76">
        <v>0</v>
      </c>
      <c r="FR113" s="76">
        <v>0</v>
      </c>
      <c r="FS113" s="76">
        <v>0</v>
      </c>
      <c r="FT113" s="76">
        <v>346</v>
      </c>
      <c r="FU113" s="76">
        <v>42</v>
      </c>
      <c r="FV113" s="76">
        <v>304</v>
      </c>
      <c r="FW113" s="76">
        <v>0</v>
      </c>
      <c r="FX113" s="76">
        <v>0</v>
      </c>
      <c r="FY113" s="76">
        <v>0</v>
      </c>
      <c r="FZ113" s="76">
        <v>135</v>
      </c>
      <c r="GA113" s="76">
        <v>0</v>
      </c>
      <c r="GB113" s="76">
        <v>135</v>
      </c>
      <c r="GC113" s="76">
        <v>1231</v>
      </c>
      <c r="GD113" s="76">
        <v>1294</v>
      </c>
      <c r="GE113" s="76">
        <v>-63</v>
      </c>
      <c r="GF113" s="76">
        <v>0</v>
      </c>
      <c r="GG113" s="76">
        <v>0</v>
      </c>
      <c r="GH113" s="76">
        <v>0</v>
      </c>
      <c r="GI113" s="76">
        <v>0</v>
      </c>
      <c r="GJ113" s="76">
        <v>0</v>
      </c>
      <c r="GK113" s="76">
        <v>278</v>
      </c>
      <c r="GL113" s="76">
        <v>278</v>
      </c>
      <c r="GM113" s="76">
        <v>1248</v>
      </c>
      <c r="GN113" s="76">
        <v>565</v>
      </c>
      <c r="GO113" s="76">
        <v>0</v>
      </c>
      <c r="GP113" s="76">
        <v>0</v>
      </c>
      <c r="GQ113" s="76">
        <v>0</v>
      </c>
      <c r="GR113" s="76">
        <v>11559</v>
      </c>
      <c r="GS113" s="76">
        <v>0</v>
      </c>
      <c r="GT113" s="76">
        <v>0</v>
      </c>
      <c r="GU113" s="76">
        <v>0</v>
      </c>
      <c r="GV113" s="76">
        <v>0</v>
      </c>
      <c r="GW113" s="76">
        <v>0</v>
      </c>
      <c r="GX113" s="76">
        <v>13372</v>
      </c>
      <c r="GY113" s="76">
        <v>0</v>
      </c>
      <c r="GZ113" s="76">
        <v>144</v>
      </c>
      <c r="HA113" s="76">
        <v>8555</v>
      </c>
      <c r="HB113" s="76">
        <v>6627</v>
      </c>
      <c r="HC113" s="76">
        <v>15326</v>
      </c>
      <c r="HD113" s="76">
        <v>0</v>
      </c>
      <c r="HE113" s="76">
        <v>0</v>
      </c>
      <c r="HF113" s="76">
        <v>0</v>
      </c>
      <c r="HG113" s="76">
        <v>5425</v>
      </c>
      <c r="HH113" s="76">
        <v>10</v>
      </c>
      <c r="HI113" s="76">
        <v>208</v>
      </c>
      <c r="HJ113" s="76">
        <v>0</v>
      </c>
      <c r="HK113" s="76">
        <v>7</v>
      </c>
      <c r="HL113" s="76">
        <v>-353</v>
      </c>
      <c r="HM113" s="76">
        <v>5297</v>
      </c>
      <c r="HN113" s="76">
        <v>3327</v>
      </c>
      <c r="HO113" s="76">
        <v>5282</v>
      </c>
      <c r="HP113" s="76">
        <v>0</v>
      </c>
      <c r="HQ113" s="76">
        <v>80</v>
      </c>
      <c r="HR113" s="76">
        <v>-62</v>
      </c>
      <c r="HS113" s="76">
        <v>0</v>
      </c>
      <c r="HT113" s="76">
        <v>7924</v>
      </c>
      <c r="HU113" s="76">
        <v>1</v>
      </c>
      <c r="HV113" s="76">
        <v>0</v>
      </c>
      <c r="HW113" s="76">
        <v>0</v>
      </c>
      <c r="HX113" s="76">
        <v>477</v>
      </c>
    </row>
    <row r="114" spans="1:232" x14ac:dyDescent="0.2">
      <c r="A114" s="74" t="s">
        <v>405</v>
      </c>
      <c r="B114" s="74" t="s">
        <v>406</v>
      </c>
      <c r="C114" s="75" t="s">
        <v>865</v>
      </c>
      <c r="D114" s="75">
        <v>12</v>
      </c>
      <c r="E114" s="76">
        <v>33209</v>
      </c>
      <c r="F114" s="76">
        <v>-9766</v>
      </c>
      <c r="G114" s="76">
        <v>-13850</v>
      </c>
      <c r="H114" s="76">
        <v>9593</v>
      </c>
      <c r="I114" s="76">
        <v>740</v>
      </c>
      <c r="J114" s="76">
        <v>-850</v>
      </c>
      <c r="K114" s="76">
        <v>0</v>
      </c>
      <c r="L114" s="76">
        <v>0</v>
      </c>
      <c r="M114" s="76">
        <v>123</v>
      </c>
      <c r="N114" s="76">
        <v>-5166</v>
      </c>
      <c r="O114" s="76">
        <v>0</v>
      </c>
      <c r="P114" s="76">
        <v>92</v>
      </c>
      <c r="Q114" s="76">
        <v>0</v>
      </c>
      <c r="R114" s="76">
        <v>0</v>
      </c>
      <c r="S114" s="76">
        <v>4532</v>
      </c>
      <c r="T114" s="76">
        <v>0</v>
      </c>
      <c r="U114" s="76">
        <v>4532</v>
      </c>
      <c r="V114" s="76">
        <v>0</v>
      </c>
      <c r="W114" s="76">
        <v>-110</v>
      </c>
      <c r="X114" s="76">
        <v>0</v>
      </c>
      <c r="Y114" s="76">
        <v>0</v>
      </c>
      <c r="Z114" s="76">
        <v>4422</v>
      </c>
      <c r="AA114" s="76">
        <v>18417</v>
      </c>
      <c r="AB114" s="76">
        <v>1583</v>
      </c>
      <c r="AC114" s="76">
        <v>20000</v>
      </c>
      <c r="AD114" s="76">
        <v>51</v>
      </c>
      <c r="AE114" s="76">
        <v>0</v>
      </c>
      <c r="AF114" s="76">
        <v>2730</v>
      </c>
      <c r="AG114" s="76">
        <v>58</v>
      </c>
      <c r="AH114" s="76">
        <v>22839</v>
      </c>
      <c r="AI114" s="76">
        <v>4521</v>
      </c>
      <c r="AJ114" s="76">
        <v>1462</v>
      </c>
      <c r="AK114" s="76">
        <v>2603</v>
      </c>
      <c r="AL114" s="76">
        <v>1311</v>
      </c>
      <c r="AM114" s="76">
        <v>0</v>
      </c>
      <c r="AN114" s="76">
        <v>-31</v>
      </c>
      <c r="AO114" s="76">
        <v>3755</v>
      </c>
      <c r="AP114" s="76">
        <v>0</v>
      </c>
      <c r="AQ114" s="76">
        <v>0</v>
      </c>
      <c r="AR114" s="76">
        <v>13621</v>
      </c>
      <c r="AS114" s="76">
        <v>9218</v>
      </c>
      <c r="AT114" s="76">
        <v>97</v>
      </c>
      <c r="AU114" s="76">
        <v>249369</v>
      </c>
      <c r="AV114" s="76">
        <v>0</v>
      </c>
      <c r="AW114" s="76">
        <v>3956</v>
      </c>
      <c r="AX114" s="76">
        <v>0</v>
      </c>
      <c r="AY114" s="76">
        <v>0</v>
      </c>
      <c r="AZ114" s="76">
        <v>6923</v>
      </c>
      <c r="BA114" s="76">
        <v>0</v>
      </c>
      <c r="BB114" s="76">
        <v>3315</v>
      </c>
      <c r="BC114" s="76">
        <v>0</v>
      </c>
      <c r="BD114" s="76">
        <v>0</v>
      </c>
      <c r="BE114" s="76">
        <v>263563</v>
      </c>
      <c r="BF114" s="76">
        <v>6136</v>
      </c>
      <c r="BG114" s="76">
        <v>1613</v>
      </c>
      <c r="BH114" s="76">
        <v>38198</v>
      </c>
      <c r="BI114" s="76">
        <v>537</v>
      </c>
      <c r="BJ114" s="76">
        <v>378</v>
      </c>
      <c r="BK114" s="76">
        <v>46862</v>
      </c>
      <c r="BL114" s="76">
        <v>1901</v>
      </c>
      <c r="BM114" s="76">
        <v>0</v>
      </c>
      <c r="BN114" s="76">
        <v>0</v>
      </c>
      <c r="BO114" s="76">
        <v>4872</v>
      </c>
      <c r="BP114" s="76">
        <v>6773</v>
      </c>
      <c r="BQ114" s="76">
        <v>40089</v>
      </c>
      <c r="BR114" s="76">
        <v>303652</v>
      </c>
      <c r="BS114" s="76">
        <v>130364</v>
      </c>
      <c r="BT114" s="76">
        <v>0</v>
      </c>
      <c r="BU114" s="76">
        <v>0</v>
      </c>
      <c r="BV114" s="76">
        <v>4541</v>
      </c>
      <c r="BW114" s="76">
        <v>0</v>
      </c>
      <c r="BX114" s="76">
        <v>0</v>
      </c>
      <c r="BY114" s="76">
        <v>2393</v>
      </c>
      <c r="BZ114" s="76">
        <v>137298</v>
      </c>
      <c r="CA114" s="76">
        <v>0</v>
      </c>
      <c r="CB114" s="76">
        <v>3288</v>
      </c>
      <c r="CC114" s="76">
        <v>163066</v>
      </c>
      <c r="CD114" s="76">
        <v>52096</v>
      </c>
      <c r="CE114" s="76">
        <v>110939</v>
      </c>
      <c r="CF114" s="76">
        <v>31</v>
      </c>
      <c r="CG114" s="76">
        <v>0</v>
      </c>
      <c r="CH114" s="76">
        <v>0</v>
      </c>
      <c r="CI114" s="76">
        <v>163066</v>
      </c>
      <c r="CJ114" s="76">
        <v>3057</v>
      </c>
      <c r="CK114" s="76">
        <v>2726</v>
      </c>
      <c r="CL114" s="76">
        <v>0</v>
      </c>
      <c r="CM114" s="76">
        <v>331</v>
      </c>
      <c r="CN114" s="76">
        <v>-3</v>
      </c>
      <c r="CO114" s="76">
        <v>0</v>
      </c>
      <c r="CP114" s="76">
        <v>27</v>
      </c>
      <c r="CQ114" s="76">
        <v>-30</v>
      </c>
      <c r="CR114" s="76">
        <v>31</v>
      </c>
      <c r="CS114" s="76">
        <v>0</v>
      </c>
      <c r="CT114" s="76">
        <v>0</v>
      </c>
      <c r="CU114" s="76">
        <v>31</v>
      </c>
      <c r="CV114" s="76">
        <v>0</v>
      </c>
      <c r="CW114" s="76">
        <v>0</v>
      </c>
      <c r="CX114" s="76">
        <v>0</v>
      </c>
      <c r="CY114" s="76">
        <v>0</v>
      </c>
      <c r="CZ114" s="76">
        <v>245</v>
      </c>
      <c r="DA114" s="76">
        <v>0</v>
      </c>
      <c r="DB114" s="76">
        <v>202</v>
      </c>
      <c r="DC114" s="76">
        <v>43</v>
      </c>
      <c r="DD114" s="76">
        <v>3330</v>
      </c>
      <c r="DE114" s="76">
        <v>2726</v>
      </c>
      <c r="DF114" s="76">
        <v>229</v>
      </c>
      <c r="DG114" s="76">
        <v>375</v>
      </c>
      <c r="DH114" s="76">
        <v>7040</v>
      </c>
      <c r="DI114" s="76">
        <v>7040</v>
      </c>
      <c r="DJ114" s="76">
        <v>0</v>
      </c>
      <c r="DK114" s="76">
        <v>0</v>
      </c>
      <c r="DL114" s="76">
        <v>0</v>
      </c>
      <c r="DM114" s="76">
        <v>0</v>
      </c>
      <c r="DN114" s="76">
        <v>0</v>
      </c>
      <c r="DO114" s="76">
        <v>0</v>
      </c>
      <c r="DP114" s="76">
        <v>0</v>
      </c>
      <c r="DQ114" s="76">
        <v>0</v>
      </c>
      <c r="DR114" s="76">
        <v>0</v>
      </c>
      <c r="DS114" s="76">
        <v>0</v>
      </c>
      <c r="DT114" s="76">
        <v>0</v>
      </c>
      <c r="DU114" s="76">
        <v>0</v>
      </c>
      <c r="DV114" s="76">
        <v>0</v>
      </c>
      <c r="DW114" s="76">
        <v>0</v>
      </c>
      <c r="DX114" s="76">
        <v>0</v>
      </c>
      <c r="DY114" s="76">
        <v>0</v>
      </c>
      <c r="DZ114" s="76">
        <v>0</v>
      </c>
      <c r="EA114" s="76">
        <v>0</v>
      </c>
      <c r="EB114" s="76">
        <v>0</v>
      </c>
      <c r="EC114" s="76">
        <v>0</v>
      </c>
      <c r="ED114" s="76">
        <v>0</v>
      </c>
      <c r="EE114" s="76">
        <v>0</v>
      </c>
      <c r="EF114" s="76">
        <v>7040</v>
      </c>
      <c r="EG114" s="76">
        <v>7040</v>
      </c>
      <c r="EH114" s="76">
        <v>0</v>
      </c>
      <c r="EI114" s="76">
        <v>0</v>
      </c>
      <c r="EJ114" s="76">
        <v>10370</v>
      </c>
      <c r="EK114" s="76">
        <v>9766</v>
      </c>
      <c r="EL114" s="76">
        <v>229</v>
      </c>
      <c r="EM114" s="76">
        <v>375</v>
      </c>
      <c r="EN114" s="76">
        <v>889</v>
      </c>
      <c r="EO114" s="76">
        <v>363</v>
      </c>
      <c r="EP114" s="76">
        <v>138</v>
      </c>
      <c r="EQ114" s="76">
        <v>363</v>
      </c>
      <c r="ER114" s="76">
        <v>251875</v>
      </c>
      <c r="ES114" s="76">
        <v>0</v>
      </c>
      <c r="ET114" s="76">
        <v>251875</v>
      </c>
      <c r="EU114" s="76">
        <v>16825</v>
      </c>
      <c r="EV114" s="76">
        <v>-1760</v>
      </c>
      <c r="EW114" s="76">
        <v>0</v>
      </c>
      <c r="EX114" s="76">
        <v>0</v>
      </c>
      <c r="EY114" s="76">
        <v>0</v>
      </c>
      <c r="EZ114" s="76">
        <v>266940</v>
      </c>
      <c r="FA114" s="76">
        <v>14323</v>
      </c>
      <c r="FB114" s="76">
        <v>3754</v>
      </c>
      <c r="FC114" s="76">
        <v>0</v>
      </c>
      <c r="FD114" s="76">
        <v>0</v>
      </c>
      <c r="FE114" s="76">
        <v>-506</v>
      </c>
      <c r="FF114" s="76">
        <v>0</v>
      </c>
      <c r="FG114" s="76">
        <v>0</v>
      </c>
      <c r="FH114" s="76">
        <v>17571</v>
      </c>
      <c r="FI114" s="76">
        <v>249369</v>
      </c>
      <c r="FJ114" s="76">
        <v>237552</v>
      </c>
      <c r="FK114" s="76">
        <v>1366</v>
      </c>
      <c r="FL114" s="76">
        <v>767</v>
      </c>
      <c r="FM114" s="76">
        <v>599</v>
      </c>
      <c r="FN114" s="76">
        <v>0</v>
      </c>
      <c r="FO114" s="76">
        <v>0</v>
      </c>
      <c r="FP114" s="76">
        <v>0</v>
      </c>
      <c r="FQ114" s="76">
        <v>180</v>
      </c>
      <c r="FR114" s="76">
        <v>41</v>
      </c>
      <c r="FS114" s="76">
        <v>139</v>
      </c>
      <c r="FT114" s="76">
        <v>0</v>
      </c>
      <c r="FU114" s="76">
        <v>0</v>
      </c>
      <c r="FV114" s="76">
        <v>0</v>
      </c>
      <c r="FW114" s="76">
        <v>0</v>
      </c>
      <c r="FX114" s="76">
        <v>0</v>
      </c>
      <c r="FY114" s="76">
        <v>0</v>
      </c>
      <c r="FZ114" s="76">
        <v>0</v>
      </c>
      <c r="GA114" s="76">
        <v>-2</v>
      </c>
      <c r="GB114" s="76">
        <v>2</v>
      </c>
      <c r="GC114" s="76">
        <v>1546</v>
      </c>
      <c r="GD114" s="76">
        <v>806</v>
      </c>
      <c r="GE114" s="76">
        <v>740</v>
      </c>
      <c r="GF114" s="76">
        <v>0</v>
      </c>
      <c r="GG114" s="76">
        <v>0</v>
      </c>
      <c r="GH114" s="76">
        <v>0</v>
      </c>
      <c r="GI114" s="76">
        <v>0</v>
      </c>
      <c r="GJ114" s="76">
        <v>0</v>
      </c>
      <c r="GK114" s="76">
        <v>378</v>
      </c>
      <c r="GL114" s="76">
        <v>378</v>
      </c>
      <c r="GM114" s="76">
        <v>930</v>
      </c>
      <c r="GN114" s="76">
        <v>515</v>
      </c>
      <c r="GO114" s="76">
        <v>307</v>
      </c>
      <c r="GP114" s="76">
        <v>0</v>
      </c>
      <c r="GQ114" s="76">
        <v>0</v>
      </c>
      <c r="GR114" s="76">
        <v>0</v>
      </c>
      <c r="GS114" s="76">
        <v>0</v>
      </c>
      <c r="GT114" s="76">
        <v>0</v>
      </c>
      <c r="GU114" s="76">
        <v>0</v>
      </c>
      <c r="GV114" s="76">
        <v>0</v>
      </c>
      <c r="GW114" s="76">
        <v>3120</v>
      </c>
      <c r="GX114" s="76">
        <v>4872</v>
      </c>
      <c r="GY114" s="76">
        <v>1044</v>
      </c>
      <c r="GZ114" s="76">
        <v>171</v>
      </c>
      <c r="HA114" s="76">
        <v>0</v>
      </c>
      <c r="HB114" s="76">
        <v>1178</v>
      </c>
      <c r="HC114" s="76">
        <v>2393</v>
      </c>
      <c r="HD114" s="76">
        <v>0</v>
      </c>
      <c r="HE114" s="76">
        <v>3288</v>
      </c>
      <c r="HF114" s="76">
        <v>3288</v>
      </c>
      <c r="HG114" s="76">
        <v>5339</v>
      </c>
      <c r="HH114" s="76">
        <v>0</v>
      </c>
      <c r="HI114" s="76">
        <v>0</v>
      </c>
      <c r="HJ114" s="76">
        <v>0</v>
      </c>
      <c r="HK114" s="76">
        <v>119</v>
      </c>
      <c r="HL114" s="76">
        <v>-292</v>
      </c>
      <c r="HM114" s="76">
        <v>5166</v>
      </c>
      <c r="HN114" s="76">
        <v>1295</v>
      </c>
      <c r="HO114" s="76">
        <v>4695</v>
      </c>
      <c r="HP114" s="76">
        <v>0</v>
      </c>
      <c r="HQ114" s="76">
        <v>70</v>
      </c>
      <c r="HR114" s="76">
        <v>-12</v>
      </c>
      <c r="HS114" s="76">
        <v>-342</v>
      </c>
      <c r="HT114" s="76">
        <v>4104</v>
      </c>
      <c r="HU114" s="76">
        <v>0</v>
      </c>
      <c r="HV114" s="76">
        <v>0</v>
      </c>
      <c r="HW114" s="76">
        <v>52</v>
      </c>
      <c r="HX114" s="76">
        <v>53</v>
      </c>
    </row>
    <row r="115" spans="1:232" x14ac:dyDescent="0.2">
      <c r="A115" s="74" t="s">
        <v>408</v>
      </c>
      <c r="B115" s="74" t="s">
        <v>409</v>
      </c>
      <c r="C115" s="75" t="s">
        <v>200</v>
      </c>
      <c r="D115" s="75">
        <v>12</v>
      </c>
      <c r="E115" s="76">
        <v>19913</v>
      </c>
      <c r="F115" s="76">
        <v>0</v>
      </c>
      <c r="G115" s="76">
        <v>-20479</v>
      </c>
      <c r="H115" s="76">
        <v>-566</v>
      </c>
      <c r="I115" s="76">
        <v>245</v>
      </c>
      <c r="J115" s="76">
        <v>259</v>
      </c>
      <c r="K115" s="76">
        <v>-72</v>
      </c>
      <c r="L115" s="76">
        <v>0</v>
      </c>
      <c r="M115" s="76">
        <v>2</v>
      </c>
      <c r="N115" s="76">
        <v>-264</v>
      </c>
      <c r="O115" s="76">
        <v>0</v>
      </c>
      <c r="P115" s="76">
        <v>0</v>
      </c>
      <c r="Q115" s="76">
        <v>0</v>
      </c>
      <c r="R115" s="76">
        <v>0</v>
      </c>
      <c r="S115" s="76">
        <v>-396</v>
      </c>
      <c r="T115" s="76">
        <v>0</v>
      </c>
      <c r="U115" s="76">
        <v>-396</v>
      </c>
      <c r="V115" s="76">
        <v>0</v>
      </c>
      <c r="W115" s="76">
        <v>0</v>
      </c>
      <c r="X115" s="76">
        <v>0</v>
      </c>
      <c r="Y115" s="76">
        <v>0</v>
      </c>
      <c r="Z115" s="76">
        <v>-396</v>
      </c>
      <c r="AA115" s="76">
        <v>6750</v>
      </c>
      <c r="AB115" s="76">
        <v>1033</v>
      </c>
      <c r="AC115" s="76">
        <v>7783</v>
      </c>
      <c r="AD115" s="76">
        <v>282</v>
      </c>
      <c r="AE115" s="76">
        <v>0</v>
      </c>
      <c r="AF115" s="76">
        <v>0</v>
      </c>
      <c r="AG115" s="76">
        <v>0</v>
      </c>
      <c r="AH115" s="76">
        <v>8065</v>
      </c>
      <c r="AI115" s="76">
        <v>37</v>
      </c>
      <c r="AJ115" s="76">
        <v>6658</v>
      </c>
      <c r="AK115" s="76">
        <v>569</v>
      </c>
      <c r="AL115" s="76">
        <v>200</v>
      </c>
      <c r="AM115" s="76">
        <v>0</v>
      </c>
      <c r="AN115" s="76">
        <v>22</v>
      </c>
      <c r="AO115" s="76">
        <v>827</v>
      </c>
      <c r="AP115" s="76">
        <v>-362</v>
      </c>
      <c r="AQ115" s="76">
        <v>112</v>
      </c>
      <c r="AR115" s="76">
        <v>8063</v>
      </c>
      <c r="AS115" s="76">
        <v>2</v>
      </c>
      <c r="AT115" s="76">
        <v>632</v>
      </c>
      <c r="AU115" s="76">
        <v>40684</v>
      </c>
      <c r="AV115" s="76">
        <v>0</v>
      </c>
      <c r="AW115" s="76">
        <v>1973</v>
      </c>
      <c r="AX115" s="76">
        <v>0</v>
      </c>
      <c r="AY115" s="76">
        <v>0</v>
      </c>
      <c r="AZ115" s="76">
        <v>0</v>
      </c>
      <c r="BA115" s="76">
        <v>0</v>
      </c>
      <c r="BB115" s="76">
        <v>0</v>
      </c>
      <c r="BC115" s="76">
        <v>0</v>
      </c>
      <c r="BD115" s="76">
        <v>0</v>
      </c>
      <c r="BE115" s="76">
        <v>42657</v>
      </c>
      <c r="BF115" s="76">
        <v>0</v>
      </c>
      <c r="BG115" s="76">
        <v>1980</v>
      </c>
      <c r="BH115" s="76">
        <v>3084</v>
      </c>
      <c r="BI115" s="76">
        <v>0</v>
      </c>
      <c r="BJ115" s="76">
        <v>1097</v>
      </c>
      <c r="BK115" s="76">
        <v>6161</v>
      </c>
      <c r="BL115" s="76">
        <v>13</v>
      </c>
      <c r="BM115" s="76">
        <v>0</v>
      </c>
      <c r="BN115" s="76">
        <v>282</v>
      </c>
      <c r="BO115" s="76">
        <v>8187</v>
      </c>
      <c r="BP115" s="76">
        <v>8482</v>
      </c>
      <c r="BQ115" s="76">
        <v>-2321</v>
      </c>
      <c r="BR115" s="76">
        <v>40336</v>
      </c>
      <c r="BS115" s="76">
        <v>1846</v>
      </c>
      <c r="BT115" s="76">
        <v>0</v>
      </c>
      <c r="BU115" s="76">
        <v>0</v>
      </c>
      <c r="BV115" s="76">
        <v>21370</v>
      </c>
      <c r="BW115" s="76">
        <v>0</v>
      </c>
      <c r="BX115" s="76">
        <v>0</v>
      </c>
      <c r="BY115" s="76">
        <v>0</v>
      </c>
      <c r="BZ115" s="76">
        <v>23216</v>
      </c>
      <c r="CA115" s="76">
        <v>0</v>
      </c>
      <c r="CB115" s="76">
        <v>2611</v>
      </c>
      <c r="CC115" s="76">
        <v>14509</v>
      </c>
      <c r="CD115" s="76">
        <v>14509</v>
      </c>
      <c r="CE115" s="76">
        <v>0</v>
      </c>
      <c r="CF115" s="76">
        <v>0</v>
      </c>
      <c r="CG115" s="76">
        <v>0</v>
      </c>
      <c r="CH115" s="76">
        <v>0</v>
      </c>
      <c r="CI115" s="76">
        <v>14509</v>
      </c>
      <c r="CJ115" s="76">
        <v>0</v>
      </c>
      <c r="CK115" s="76">
        <v>0</v>
      </c>
      <c r="CL115" s="76">
        <v>0</v>
      </c>
      <c r="CM115" s="76">
        <v>0</v>
      </c>
      <c r="CN115" s="76">
        <v>0</v>
      </c>
      <c r="CO115" s="76">
        <v>0</v>
      </c>
      <c r="CP115" s="76">
        <v>0</v>
      </c>
      <c r="CQ115" s="76">
        <v>0</v>
      </c>
      <c r="CR115" s="76">
        <v>0</v>
      </c>
      <c r="CS115" s="76">
        <v>0</v>
      </c>
      <c r="CT115" s="76">
        <v>0</v>
      </c>
      <c r="CU115" s="76">
        <v>0</v>
      </c>
      <c r="CV115" s="76">
        <v>0</v>
      </c>
      <c r="CW115" s="76">
        <v>0</v>
      </c>
      <c r="CX115" s="76">
        <v>0</v>
      </c>
      <c r="CY115" s="76">
        <v>0</v>
      </c>
      <c r="CZ115" s="76">
        <v>0</v>
      </c>
      <c r="DA115" s="76">
        <v>0</v>
      </c>
      <c r="DB115" s="76">
        <v>0</v>
      </c>
      <c r="DC115" s="76">
        <v>0</v>
      </c>
      <c r="DD115" s="76">
        <v>0</v>
      </c>
      <c r="DE115" s="76">
        <v>0</v>
      </c>
      <c r="DF115" s="76">
        <v>0</v>
      </c>
      <c r="DG115" s="76">
        <v>0</v>
      </c>
      <c r="DH115" s="76">
        <v>0</v>
      </c>
      <c r="DI115" s="76">
        <v>0</v>
      </c>
      <c r="DJ115" s="76">
        <v>0</v>
      </c>
      <c r="DK115" s="76">
        <v>0</v>
      </c>
      <c r="DL115" s="76">
        <v>0</v>
      </c>
      <c r="DM115" s="76">
        <v>0</v>
      </c>
      <c r="DN115" s="76">
        <v>0</v>
      </c>
      <c r="DO115" s="76">
        <v>0</v>
      </c>
      <c r="DP115" s="76">
        <v>0</v>
      </c>
      <c r="DQ115" s="76">
        <v>0</v>
      </c>
      <c r="DR115" s="76">
        <v>0</v>
      </c>
      <c r="DS115" s="76">
        <v>0</v>
      </c>
      <c r="DT115" s="76">
        <v>0</v>
      </c>
      <c r="DU115" s="76">
        <v>0</v>
      </c>
      <c r="DV115" s="76">
        <v>0</v>
      </c>
      <c r="DW115" s="76">
        <v>0</v>
      </c>
      <c r="DX115" s="76">
        <v>0</v>
      </c>
      <c r="DY115" s="76">
        <v>0</v>
      </c>
      <c r="DZ115" s="76">
        <v>0</v>
      </c>
      <c r="EA115" s="76">
        <v>0</v>
      </c>
      <c r="EB115" s="76">
        <v>11848</v>
      </c>
      <c r="EC115" s="76">
        <v>0</v>
      </c>
      <c r="ED115" s="76">
        <v>12416</v>
      </c>
      <c r="EE115" s="76">
        <v>-568</v>
      </c>
      <c r="EF115" s="76">
        <v>11848</v>
      </c>
      <c r="EG115" s="76">
        <v>0</v>
      </c>
      <c r="EH115" s="76">
        <v>12416</v>
      </c>
      <c r="EI115" s="76">
        <v>-568</v>
      </c>
      <c r="EJ115" s="76">
        <v>11848</v>
      </c>
      <c r="EK115" s="76">
        <v>0</v>
      </c>
      <c r="EL115" s="76">
        <v>12416</v>
      </c>
      <c r="EM115" s="76">
        <v>-568</v>
      </c>
      <c r="EN115" s="76">
        <v>687</v>
      </c>
      <c r="EO115" s="76">
        <v>173</v>
      </c>
      <c r="EP115" s="76">
        <v>5</v>
      </c>
      <c r="EQ115" s="76">
        <v>142</v>
      </c>
      <c r="ER115" s="76">
        <v>55143</v>
      </c>
      <c r="ES115" s="76">
        <v>0</v>
      </c>
      <c r="ET115" s="76">
        <v>55143</v>
      </c>
      <c r="EU115" s="76">
        <v>1016</v>
      </c>
      <c r="EV115" s="76">
        <v>-1015</v>
      </c>
      <c r="EW115" s="76">
        <v>0</v>
      </c>
      <c r="EX115" s="76">
        <v>0</v>
      </c>
      <c r="EY115" s="76">
        <v>0</v>
      </c>
      <c r="EZ115" s="76">
        <v>55144</v>
      </c>
      <c r="FA115" s="76">
        <v>14403</v>
      </c>
      <c r="FB115" s="76">
        <v>827</v>
      </c>
      <c r="FC115" s="76">
        <v>-362</v>
      </c>
      <c r="FD115" s="76">
        <v>0</v>
      </c>
      <c r="FE115" s="76">
        <v>-408</v>
      </c>
      <c r="FF115" s="76">
        <v>0</v>
      </c>
      <c r="FG115" s="76">
        <v>0</v>
      </c>
      <c r="FH115" s="76">
        <v>14460</v>
      </c>
      <c r="FI115" s="76">
        <v>40684</v>
      </c>
      <c r="FJ115" s="76">
        <v>40740</v>
      </c>
      <c r="FK115" s="76">
        <v>0</v>
      </c>
      <c r="FL115" s="76">
        <v>0</v>
      </c>
      <c r="FM115" s="76">
        <v>0</v>
      </c>
      <c r="FN115" s="76">
        <v>0</v>
      </c>
      <c r="FO115" s="76">
        <v>0</v>
      </c>
      <c r="FP115" s="76">
        <v>0</v>
      </c>
      <c r="FQ115" s="76">
        <v>0</v>
      </c>
      <c r="FR115" s="76">
        <v>0</v>
      </c>
      <c r="FS115" s="76">
        <v>0</v>
      </c>
      <c r="FT115" s="76">
        <v>929</v>
      </c>
      <c r="FU115" s="76">
        <v>681</v>
      </c>
      <c r="FV115" s="76">
        <v>248</v>
      </c>
      <c r="FW115" s="76">
        <v>0</v>
      </c>
      <c r="FX115" s="76">
        <v>0</v>
      </c>
      <c r="FY115" s="76">
        <v>0</v>
      </c>
      <c r="FZ115" s="76">
        <v>0</v>
      </c>
      <c r="GA115" s="76">
        <v>3</v>
      </c>
      <c r="GB115" s="76">
        <v>-3</v>
      </c>
      <c r="GC115" s="76">
        <v>929</v>
      </c>
      <c r="GD115" s="76">
        <v>684</v>
      </c>
      <c r="GE115" s="76">
        <v>245</v>
      </c>
      <c r="GF115" s="76">
        <v>379</v>
      </c>
      <c r="GG115" s="76">
        <v>0</v>
      </c>
      <c r="GH115" s="76">
        <v>0</v>
      </c>
      <c r="GI115" s="76">
        <v>0</v>
      </c>
      <c r="GJ115" s="76">
        <v>0</v>
      </c>
      <c r="GK115" s="76">
        <v>718</v>
      </c>
      <c r="GL115" s="76">
        <v>1097</v>
      </c>
      <c r="GM115" s="76">
        <v>194</v>
      </c>
      <c r="GN115" s="76">
        <v>233</v>
      </c>
      <c r="GO115" s="76">
        <v>5157</v>
      </c>
      <c r="GP115" s="76">
        <v>634</v>
      </c>
      <c r="GQ115" s="76">
        <v>0</v>
      </c>
      <c r="GR115" s="76">
        <v>1557</v>
      </c>
      <c r="GS115" s="76">
        <v>0</v>
      </c>
      <c r="GT115" s="76">
        <v>0</v>
      </c>
      <c r="GU115" s="76">
        <v>0</v>
      </c>
      <c r="GV115" s="76">
        <v>0</v>
      </c>
      <c r="GW115" s="76">
        <v>412</v>
      </c>
      <c r="GX115" s="76">
        <v>8187</v>
      </c>
      <c r="GY115" s="76">
        <v>0</v>
      </c>
      <c r="GZ115" s="76">
        <v>0</v>
      </c>
      <c r="HA115" s="76">
        <v>0</v>
      </c>
      <c r="HB115" s="76">
        <v>0</v>
      </c>
      <c r="HC115" s="76">
        <v>0</v>
      </c>
      <c r="HD115" s="76">
        <v>0</v>
      </c>
      <c r="HE115" s="76">
        <v>2611</v>
      </c>
      <c r="HF115" s="76">
        <v>2611</v>
      </c>
      <c r="HG115" s="76">
        <v>205</v>
      </c>
      <c r="HH115" s="76">
        <v>0</v>
      </c>
      <c r="HI115" s="76">
        <v>54</v>
      </c>
      <c r="HJ115" s="76">
        <v>5</v>
      </c>
      <c r="HK115" s="76">
        <v>0</v>
      </c>
      <c r="HL115" s="76">
        <v>0</v>
      </c>
      <c r="HM115" s="76">
        <v>264</v>
      </c>
      <c r="HN115" s="76">
        <v>1016</v>
      </c>
      <c r="HO115" s="76">
        <v>975</v>
      </c>
      <c r="HP115" s="76">
        <v>-362</v>
      </c>
      <c r="HQ115" s="76">
        <v>0</v>
      </c>
      <c r="HR115" s="76">
        <v>-12</v>
      </c>
      <c r="HS115" s="76">
        <v>0</v>
      </c>
      <c r="HT115" s="76">
        <v>179</v>
      </c>
      <c r="HU115" s="76">
        <v>0</v>
      </c>
      <c r="HV115" s="76">
        <v>0</v>
      </c>
      <c r="HW115" s="76">
        <v>0</v>
      </c>
      <c r="HX115" s="76">
        <v>0</v>
      </c>
    </row>
    <row r="116" spans="1:232" x14ac:dyDescent="0.2">
      <c r="A116" s="74" t="s">
        <v>410</v>
      </c>
      <c r="B116" s="74" t="s">
        <v>411</v>
      </c>
      <c r="C116" s="75" t="s">
        <v>200</v>
      </c>
      <c r="D116" s="75">
        <v>12</v>
      </c>
      <c r="E116" s="76">
        <v>4162</v>
      </c>
      <c r="F116" s="76">
        <v>0</v>
      </c>
      <c r="G116" s="76">
        <v>-3114</v>
      </c>
      <c r="H116" s="76">
        <v>1048</v>
      </c>
      <c r="I116" s="76">
        <v>44</v>
      </c>
      <c r="J116" s="76">
        <v>-744</v>
      </c>
      <c r="K116" s="76">
        <v>0</v>
      </c>
      <c r="L116" s="76">
        <v>0</v>
      </c>
      <c r="M116" s="76">
        <v>4</v>
      </c>
      <c r="N116" s="76">
        <v>-157</v>
      </c>
      <c r="O116" s="76">
        <v>0</v>
      </c>
      <c r="P116" s="76">
        <v>0</v>
      </c>
      <c r="Q116" s="76">
        <v>0</v>
      </c>
      <c r="R116" s="76">
        <v>0</v>
      </c>
      <c r="S116" s="76">
        <v>195</v>
      </c>
      <c r="T116" s="76">
        <v>-195</v>
      </c>
      <c r="U116" s="76">
        <v>0</v>
      </c>
      <c r="V116" s="76">
        <v>0</v>
      </c>
      <c r="W116" s="76">
        <v>0</v>
      </c>
      <c r="X116" s="76">
        <v>0</v>
      </c>
      <c r="Y116" s="76">
        <v>0</v>
      </c>
      <c r="Z116" s="76">
        <v>0</v>
      </c>
      <c r="AA116" s="76">
        <v>2651</v>
      </c>
      <c r="AB116" s="76">
        <v>509</v>
      </c>
      <c r="AC116" s="76">
        <v>3160</v>
      </c>
      <c r="AD116" s="76">
        <v>163</v>
      </c>
      <c r="AE116" s="76">
        <v>0</v>
      </c>
      <c r="AF116" s="76">
        <v>0</v>
      </c>
      <c r="AG116" s="76">
        <v>0</v>
      </c>
      <c r="AH116" s="76">
        <v>3323</v>
      </c>
      <c r="AI116" s="76">
        <v>701</v>
      </c>
      <c r="AJ116" s="76">
        <v>481</v>
      </c>
      <c r="AK116" s="76">
        <v>382</v>
      </c>
      <c r="AL116" s="76">
        <v>0</v>
      </c>
      <c r="AM116" s="76">
        <v>162</v>
      </c>
      <c r="AN116" s="76">
        <v>89</v>
      </c>
      <c r="AO116" s="76">
        <v>588</v>
      </c>
      <c r="AP116" s="76">
        <v>0</v>
      </c>
      <c r="AQ116" s="76">
        <v>0</v>
      </c>
      <c r="AR116" s="76">
        <v>2403</v>
      </c>
      <c r="AS116" s="76">
        <v>920</v>
      </c>
      <c r="AT116" s="76">
        <v>29</v>
      </c>
      <c r="AU116" s="76">
        <v>21821</v>
      </c>
      <c r="AV116" s="76">
        <v>0</v>
      </c>
      <c r="AW116" s="76">
        <v>4</v>
      </c>
      <c r="AX116" s="76">
        <v>0</v>
      </c>
      <c r="AY116" s="76">
        <v>76</v>
      </c>
      <c r="AZ116" s="76">
        <v>0</v>
      </c>
      <c r="BA116" s="76">
        <v>0</v>
      </c>
      <c r="BB116" s="76">
        <v>0</v>
      </c>
      <c r="BC116" s="76">
        <v>0</v>
      </c>
      <c r="BD116" s="76">
        <v>0</v>
      </c>
      <c r="BE116" s="76">
        <v>21901</v>
      </c>
      <c r="BF116" s="76">
        <v>0</v>
      </c>
      <c r="BG116" s="76">
        <v>144</v>
      </c>
      <c r="BH116" s="76">
        <v>3723</v>
      </c>
      <c r="BI116" s="76">
        <v>0</v>
      </c>
      <c r="BJ116" s="76">
        <v>137</v>
      </c>
      <c r="BK116" s="76">
        <v>4004</v>
      </c>
      <c r="BL116" s="76">
        <v>462</v>
      </c>
      <c r="BM116" s="76">
        <v>0</v>
      </c>
      <c r="BN116" s="76">
        <v>163</v>
      </c>
      <c r="BO116" s="76">
        <v>5371</v>
      </c>
      <c r="BP116" s="76">
        <v>5996</v>
      </c>
      <c r="BQ116" s="76">
        <v>-1992</v>
      </c>
      <c r="BR116" s="76">
        <v>19909</v>
      </c>
      <c r="BS116" s="76">
        <v>2775</v>
      </c>
      <c r="BT116" s="76">
        <v>0</v>
      </c>
      <c r="BU116" s="76">
        <v>0</v>
      </c>
      <c r="BV116" s="76">
        <v>11819</v>
      </c>
      <c r="BW116" s="76">
        <v>0</v>
      </c>
      <c r="BX116" s="76">
        <v>0</v>
      </c>
      <c r="BY116" s="76">
        <v>56</v>
      </c>
      <c r="BZ116" s="76">
        <v>14650</v>
      </c>
      <c r="CA116" s="76">
        <v>0</v>
      </c>
      <c r="CB116" s="76">
        <v>0</v>
      </c>
      <c r="CC116" s="76">
        <v>5259</v>
      </c>
      <c r="CD116" s="76">
        <v>5259</v>
      </c>
      <c r="CE116" s="76">
        <v>0</v>
      </c>
      <c r="CF116" s="76">
        <v>0</v>
      </c>
      <c r="CG116" s="76">
        <v>0</v>
      </c>
      <c r="CH116" s="76">
        <v>0</v>
      </c>
      <c r="CI116" s="76">
        <v>5259</v>
      </c>
      <c r="CJ116" s="76">
        <v>0</v>
      </c>
      <c r="CK116" s="76">
        <v>0</v>
      </c>
      <c r="CL116" s="76">
        <v>0</v>
      </c>
      <c r="CM116" s="76">
        <v>0</v>
      </c>
      <c r="CN116" s="76">
        <v>59</v>
      </c>
      <c r="CO116" s="76">
        <v>0</v>
      </c>
      <c r="CP116" s="76">
        <v>129</v>
      </c>
      <c r="CQ116" s="76">
        <v>-70</v>
      </c>
      <c r="CR116" s="76">
        <v>0</v>
      </c>
      <c r="CS116" s="76">
        <v>0</v>
      </c>
      <c r="CT116" s="76">
        <v>0</v>
      </c>
      <c r="CU116" s="76">
        <v>0</v>
      </c>
      <c r="CV116" s="76">
        <v>0</v>
      </c>
      <c r="CW116" s="76">
        <v>0</v>
      </c>
      <c r="CX116" s="76">
        <v>0</v>
      </c>
      <c r="CY116" s="76">
        <v>0</v>
      </c>
      <c r="CZ116" s="76">
        <v>0</v>
      </c>
      <c r="DA116" s="76">
        <v>0</v>
      </c>
      <c r="DB116" s="76">
        <v>0</v>
      </c>
      <c r="DC116" s="76">
        <v>0</v>
      </c>
      <c r="DD116" s="76">
        <v>59</v>
      </c>
      <c r="DE116" s="76">
        <v>0</v>
      </c>
      <c r="DF116" s="76">
        <v>129</v>
      </c>
      <c r="DG116" s="76">
        <v>-70</v>
      </c>
      <c r="DH116" s="76">
        <v>0</v>
      </c>
      <c r="DI116" s="76">
        <v>0</v>
      </c>
      <c r="DJ116" s="76">
        <v>0</v>
      </c>
      <c r="DK116" s="76">
        <v>0</v>
      </c>
      <c r="DL116" s="76">
        <v>0</v>
      </c>
      <c r="DM116" s="76">
        <v>0</v>
      </c>
      <c r="DN116" s="76">
        <v>0</v>
      </c>
      <c r="DO116" s="76">
        <v>0</v>
      </c>
      <c r="DP116" s="76">
        <v>0</v>
      </c>
      <c r="DQ116" s="76">
        <v>0</v>
      </c>
      <c r="DR116" s="76">
        <v>0</v>
      </c>
      <c r="DS116" s="76">
        <v>0</v>
      </c>
      <c r="DT116" s="76">
        <v>0</v>
      </c>
      <c r="DU116" s="76">
        <v>0</v>
      </c>
      <c r="DV116" s="76">
        <v>0</v>
      </c>
      <c r="DW116" s="76">
        <v>0</v>
      </c>
      <c r="DX116" s="76">
        <v>0</v>
      </c>
      <c r="DY116" s="76">
        <v>0</v>
      </c>
      <c r="DZ116" s="76">
        <v>0</v>
      </c>
      <c r="EA116" s="76">
        <v>0</v>
      </c>
      <c r="EB116" s="76">
        <v>780</v>
      </c>
      <c r="EC116" s="76">
        <v>0</v>
      </c>
      <c r="ED116" s="76">
        <v>582</v>
      </c>
      <c r="EE116" s="76">
        <v>198</v>
      </c>
      <c r="EF116" s="76">
        <v>780</v>
      </c>
      <c r="EG116" s="76">
        <v>0</v>
      </c>
      <c r="EH116" s="76">
        <v>582</v>
      </c>
      <c r="EI116" s="76">
        <v>198</v>
      </c>
      <c r="EJ116" s="76">
        <v>839</v>
      </c>
      <c r="EK116" s="76">
        <v>0</v>
      </c>
      <c r="EL116" s="76">
        <v>711</v>
      </c>
      <c r="EM116" s="76">
        <v>128</v>
      </c>
      <c r="EN116" s="76">
        <v>235</v>
      </c>
      <c r="EO116" s="76">
        <v>46</v>
      </c>
      <c r="EP116" s="76">
        <v>91</v>
      </c>
      <c r="EQ116" s="76">
        <v>46</v>
      </c>
      <c r="ER116" s="76">
        <v>30293</v>
      </c>
      <c r="ES116" s="76">
        <v>0</v>
      </c>
      <c r="ET116" s="76">
        <v>30293</v>
      </c>
      <c r="EU116" s="76">
        <v>445</v>
      </c>
      <c r="EV116" s="76">
        <v>-345</v>
      </c>
      <c r="EW116" s="76">
        <v>0</v>
      </c>
      <c r="EX116" s="76">
        <v>0</v>
      </c>
      <c r="EY116" s="76">
        <v>0</v>
      </c>
      <c r="EZ116" s="76">
        <v>30393</v>
      </c>
      <c r="FA116" s="76">
        <v>8682</v>
      </c>
      <c r="FB116" s="76">
        <v>523</v>
      </c>
      <c r="FC116" s="76">
        <v>0</v>
      </c>
      <c r="FD116" s="76">
        <v>0</v>
      </c>
      <c r="FE116" s="76">
        <v>-257</v>
      </c>
      <c r="FF116" s="76">
        <v>0</v>
      </c>
      <c r="FG116" s="76">
        <v>-376</v>
      </c>
      <c r="FH116" s="76">
        <v>8572</v>
      </c>
      <c r="FI116" s="76">
        <v>21821</v>
      </c>
      <c r="FJ116" s="76">
        <v>21611</v>
      </c>
      <c r="FK116" s="76">
        <v>0</v>
      </c>
      <c r="FL116" s="76">
        <v>0</v>
      </c>
      <c r="FM116" s="76">
        <v>0</v>
      </c>
      <c r="FN116" s="76">
        <v>0</v>
      </c>
      <c r="FO116" s="76">
        <v>0</v>
      </c>
      <c r="FP116" s="76">
        <v>0</v>
      </c>
      <c r="FQ116" s="76">
        <v>0</v>
      </c>
      <c r="FR116" s="76">
        <v>0</v>
      </c>
      <c r="FS116" s="76">
        <v>0</v>
      </c>
      <c r="FT116" s="76">
        <v>70</v>
      </c>
      <c r="FU116" s="76">
        <v>26</v>
      </c>
      <c r="FV116" s="76">
        <v>44</v>
      </c>
      <c r="FW116" s="76">
        <v>0</v>
      </c>
      <c r="FX116" s="76">
        <v>0</v>
      </c>
      <c r="FY116" s="76">
        <v>0</v>
      </c>
      <c r="FZ116" s="76">
        <v>0</v>
      </c>
      <c r="GA116" s="76">
        <v>0</v>
      </c>
      <c r="GB116" s="76">
        <v>0</v>
      </c>
      <c r="GC116" s="76">
        <v>70</v>
      </c>
      <c r="GD116" s="76">
        <v>26</v>
      </c>
      <c r="GE116" s="76">
        <v>44</v>
      </c>
      <c r="GF116" s="76">
        <v>0</v>
      </c>
      <c r="GG116" s="76">
        <v>0</v>
      </c>
      <c r="GH116" s="76">
        <v>0</v>
      </c>
      <c r="GI116" s="76">
        <v>0</v>
      </c>
      <c r="GJ116" s="76">
        <v>0</v>
      </c>
      <c r="GK116" s="76">
        <v>137</v>
      </c>
      <c r="GL116" s="76">
        <v>137</v>
      </c>
      <c r="GM116" s="76">
        <v>227</v>
      </c>
      <c r="GN116" s="76">
        <v>327</v>
      </c>
      <c r="GO116" s="76">
        <v>3321</v>
      </c>
      <c r="GP116" s="76">
        <v>56</v>
      </c>
      <c r="GQ116" s="76">
        <v>0</v>
      </c>
      <c r="GR116" s="76">
        <v>421</v>
      </c>
      <c r="GS116" s="76">
        <v>0</v>
      </c>
      <c r="GT116" s="76">
        <v>0</v>
      </c>
      <c r="GU116" s="76">
        <v>0</v>
      </c>
      <c r="GV116" s="76">
        <v>0</v>
      </c>
      <c r="GW116" s="76">
        <v>1019</v>
      </c>
      <c r="GX116" s="76">
        <v>5371</v>
      </c>
      <c r="GY116" s="76">
        <v>56</v>
      </c>
      <c r="GZ116" s="76">
        <v>0</v>
      </c>
      <c r="HA116" s="76">
        <v>0</v>
      </c>
      <c r="HB116" s="76">
        <v>0</v>
      </c>
      <c r="HC116" s="76">
        <v>56</v>
      </c>
      <c r="HD116" s="76">
        <v>0</v>
      </c>
      <c r="HE116" s="76">
        <v>0</v>
      </c>
      <c r="HF116" s="76">
        <v>0</v>
      </c>
      <c r="HG116" s="76">
        <v>157</v>
      </c>
      <c r="HH116" s="76">
        <v>0</v>
      </c>
      <c r="HI116" s="76">
        <v>0</v>
      </c>
      <c r="HJ116" s="76">
        <v>0</v>
      </c>
      <c r="HK116" s="76">
        <v>0</v>
      </c>
      <c r="HL116" s="76">
        <v>0</v>
      </c>
      <c r="HM116" s="76">
        <v>157</v>
      </c>
      <c r="HN116" s="76">
        <v>445</v>
      </c>
      <c r="HO116" s="76">
        <v>588</v>
      </c>
      <c r="HP116" s="76">
        <v>0</v>
      </c>
      <c r="HQ116" s="76">
        <v>0</v>
      </c>
      <c r="HR116" s="76">
        <v>0</v>
      </c>
      <c r="HS116" s="76">
        <v>0</v>
      </c>
      <c r="HT116" s="76">
        <v>0</v>
      </c>
      <c r="HU116" s="76">
        <v>129</v>
      </c>
      <c r="HV116" s="76">
        <v>-7</v>
      </c>
      <c r="HW116" s="76">
        <v>0</v>
      </c>
      <c r="HX116" s="76">
        <v>611</v>
      </c>
    </row>
    <row r="117" spans="1:232" x14ac:dyDescent="0.2">
      <c r="A117" s="71" t="s">
        <v>412</v>
      </c>
      <c r="B117" s="71" t="s">
        <v>413</v>
      </c>
      <c r="C117" s="72" t="s">
        <v>200</v>
      </c>
      <c r="D117" s="72">
        <v>12</v>
      </c>
      <c r="E117" s="73">
        <v>23077</v>
      </c>
      <c r="F117" s="73">
        <v>0</v>
      </c>
      <c r="G117" s="73">
        <v>-17573</v>
      </c>
      <c r="H117" s="73">
        <v>5504</v>
      </c>
      <c r="I117" s="73">
        <v>0</v>
      </c>
      <c r="J117" s="73">
        <v>0</v>
      </c>
      <c r="K117" s="73">
        <v>0</v>
      </c>
      <c r="L117" s="73">
        <v>0</v>
      </c>
      <c r="M117" s="73">
        <v>12</v>
      </c>
      <c r="N117" s="73">
        <v>-2933</v>
      </c>
      <c r="O117" s="73">
        <v>0</v>
      </c>
      <c r="P117" s="73">
        <v>0</v>
      </c>
      <c r="Q117" s="73">
        <v>0</v>
      </c>
      <c r="R117" s="73">
        <v>0</v>
      </c>
      <c r="S117" s="73">
        <v>2583</v>
      </c>
      <c r="T117" s="73">
        <v>-44</v>
      </c>
      <c r="U117" s="73">
        <v>2539</v>
      </c>
      <c r="V117" s="73">
        <v>0</v>
      </c>
      <c r="W117" s="73">
        <v>0</v>
      </c>
      <c r="X117" s="73">
        <v>0</v>
      </c>
      <c r="Y117" s="73">
        <v>0</v>
      </c>
      <c r="Z117" s="73">
        <v>2539</v>
      </c>
      <c r="AA117" s="73">
        <v>17047</v>
      </c>
      <c r="AB117" s="73">
        <v>2859</v>
      </c>
      <c r="AC117" s="73">
        <v>19906</v>
      </c>
      <c r="AD117" s="73">
        <v>1328</v>
      </c>
      <c r="AE117" s="73">
        <v>0</v>
      </c>
      <c r="AF117" s="73">
        <v>308</v>
      </c>
      <c r="AG117" s="73">
        <v>0</v>
      </c>
      <c r="AH117" s="73">
        <v>21542</v>
      </c>
      <c r="AI117" s="73">
        <v>3713</v>
      </c>
      <c r="AJ117" s="73">
        <v>3700</v>
      </c>
      <c r="AK117" s="73">
        <v>3056</v>
      </c>
      <c r="AL117" s="73">
        <v>1655</v>
      </c>
      <c r="AM117" s="73">
        <v>589</v>
      </c>
      <c r="AN117" s="73">
        <v>82</v>
      </c>
      <c r="AO117" s="73">
        <v>3287</v>
      </c>
      <c r="AP117" s="73">
        <v>0</v>
      </c>
      <c r="AQ117" s="73">
        <v>191</v>
      </c>
      <c r="AR117" s="73">
        <v>16273</v>
      </c>
      <c r="AS117" s="73">
        <v>5269</v>
      </c>
      <c r="AT117" s="73">
        <v>149</v>
      </c>
      <c r="AU117" s="73">
        <v>198241</v>
      </c>
      <c r="AV117" s="73">
        <v>0</v>
      </c>
      <c r="AW117" s="73">
        <v>7082</v>
      </c>
      <c r="AX117" s="73">
        <v>0</v>
      </c>
      <c r="AY117" s="73">
        <v>0</v>
      </c>
      <c r="AZ117" s="73">
        <v>0</v>
      </c>
      <c r="BA117" s="73">
        <v>0</v>
      </c>
      <c r="BB117" s="73">
        <v>0</v>
      </c>
      <c r="BC117" s="73">
        <v>0</v>
      </c>
      <c r="BD117" s="73">
        <v>0</v>
      </c>
      <c r="BE117" s="73">
        <v>205323</v>
      </c>
      <c r="BF117" s="73">
        <v>0</v>
      </c>
      <c r="BG117" s="73">
        <v>55</v>
      </c>
      <c r="BH117" s="73">
        <v>5419</v>
      </c>
      <c r="BI117" s="73">
        <v>0</v>
      </c>
      <c r="BJ117" s="73">
        <v>1402</v>
      </c>
      <c r="BK117" s="73">
        <v>6876</v>
      </c>
      <c r="BL117" s="73">
        <v>2317</v>
      </c>
      <c r="BM117" s="73">
        <v>0</v>
      </c>
      <c r="BN117" s="73">
        <v>1822</v>
      </c>
      <c r="BO117" s="73">
        <v>3511</v>
      </c>
      <c r="BP117" s="73">
        <v>7650</v>
      </c>
      <c r="BQ117" s="73">
        <v>-774</v>
      </c>
      <c r="BR117" s="73">
        <v>204549</v>
      </c>
      <c r="BS117" s="73">
        <v>45627</v>
      </c>
      <c r="BT117" s="73">
        <v>0</v>
      </c>
      <c r="BU117" s="73">
        <v>0</v>
      </c>
      <c r="BV117" s="73">
        <v>105949</v>
      </c>
      <c r="BW117" s="73">
        <v>0</v>
      </c>
      <c r="BX117" s="73">
        <v>0</v>
      </c>
      <c r="BY117" s="73">
        <v>78</v>
      </c>
      <c r="BZ117" s="73">
        <v>151654</v>
      </c>
      <c r="CA117" s="73">
        <v>2359</v>
      </c>
      <c r="CB117" s="73">
        <v>0</v>
      </c>
      <c r="CC117" s="73">
        <v>50536</v>
      </c>
      <c r="CD117" s="73">
        <v>50507</v>
      </c>
      <c r="CE117" s="73">
        <v>0</v>
      </c>
      <c r="CF117" s="73">
        <v>29</v>
      </c>
      <c r="CG117" s="73">
        <v>0</v>
      </c>
      <c r="CH117" s="73">
        <v>0</v>
      </c>
      <c r="CI117" s="73">
        <v>50536</v>
      </c>
      <c r="CJ117" s="73">
        <v>0</v>
      </c>
      <c r="CK117" s="73">
        <v>0</v>
      </c>
      <c r="CL117" s="73">
        <v>0</v>
      </c>
      <c r="CM117" s="73">
        <v>0</v>
      </c>
      <c r="CN117" s="73">
        <v>0</v>
      </c>
      <c r="CO117" s="73">
        <v>0</v>
      </c>
      <c r="CP117" s="73">
        <v>0</v>
      </c>
      <c r="CQ117" s="73">
        <v>0</v>
      </c>
      <c r="CR117" s="73">
        <v>0</v>
      </c>
      <c r="CS117" s="73">
        <v>0</v>
      </c>
      <c r="CT117" s="73">
        <v>0</v>
      </c>
      <c r="CU117" s="73">
        <v>0</v>
      </c>
      <c r="CV117" s="73">
        <v>0</v>
      </c>
      <c r="CW117" s="73">
        <v>0</v>
      </c>
      <c r="CX117" s="73">
        <v>0</v>
      </c>
      <c r="CY117" s="73">
        <v>0</v>
      </c>
      <c r="CZ117" s="73">
        <v>86</v>
      </c>
      <c r="DA117" s="73">
        <v>0</v>
      </c>
      <c r="DB117" s="73">
        <v>0</v>
      </c>
      <c r="DC117" s="73">
        <v>86</v>
      </c>
      <c r="DD117" s="73">
        <v>86</v>
      </c>
      <c r="DE117" s="73">
        <v>0</v>
      </c>
      <c r="DF117" s="73">
        <v>0</v>
      </c>
      <c r="DG117" s="73">
        <v>86</v>
      </c>
      <c r="DH117" s="73">
        <v>0</v>
      </c>
      <c r="DI117" s="73">
        <v>0</v>
      </c>
      <c r="DJ117" s="73">
        <v>0</v>
      </c>
      <c r="DK117" s="73">
        <v>0</v>
      </c>
      <c r="DL117" s="73">
        <v>0</v>
      </c>
      <c r="DM117" s="73">
        <v>0</v>
      </c>
      <c r="DN117" s="73">
        <v>0</v>
      </c>
      <c r="DO117" s="73">
        <v>0</v>
      </c>
      <c r="DP117" s="73">
        <v>0</v>
      </c>
      <c r="DQ117" s="73">
        <v>0</v>
      </c>
      <c r="DR117" s="73">
        <v>0</v>
      </c>
      <c r="DS117" s="73">
        <v>0</v>
      </c>
      <c r="DT117" s="73">
        <v>0</v>
      </c>
      <c r="DU117" s="73">
        <v>0</v>
      </c>
      <c r="DV117" s="73">
        <v>0</v>
      </c>
      <c r="DW117" s="73">
        <v>0</v>
      </c>
      <c r="DX117" s="73">
        <v>0</v>
      </c>
      <c r="DY117" s="73">
        <v>0</v>
      </c>
      <c r="DZ117" s="73">
        <v>0</v>
      </c>
      <c r="EA117" s="73">
        <v>0</v>
      </c>
      <c r="EB117" s="73">
        <v>1449</v>
      </c>
      <c r="EC117" s="73">
        <v>0</v>
      </c>
      <c r="ED117" s="73">
        <v>1300</v>
      </c>
      <c r="EE117" s="73">
        <v>149</v>
      </c>
      <c r="EF117" s="73">
        <v>1449</v>
      </c>
      <c r="EG117" s="73">
        <v>0</v>
      </c>
      <c r="EH117" s="73">
        <v>1300</v>
      </c>
      <c r="EI117" s="73">
        <v>149</v>
      </c>
      <c r="EJ117" s="73">
        <v>1535</v>
      </c>
      <c r="EK117" s="73">
        <v>0</v>
      </c>
      <c r="EL117" s="73">
        <v>1300</v>
      </c>
      <c r="EM117" s="73">
        <v>235</v>
      </c>
      <c r="EN117" s="73">
        <v>977</v>
      </c>
      <c r="EO117" s="73">
        <v>276</v>
      </c>
      <c r="EP117" s="73">
        <v>53</v>
      </c>
      <c r="EQ117" s="73">
        <v>276</v>
      </c>
      <c r="ER117" s="73">
        <v>241843</v>
      </c>
      <c r="ES117" s="73">
        <v>0</v>
      </c>
      <c r="ET117" s="73">
        <v>241843</v>
      </c>
      <c r="EU117" s="73">
        <v>3823</v>
      </c>
      <c r="EV117" s="73">
        <v>-780</v>
      </c>
      <c r="EW117" s="73">
        <v>0</v>
      </c>
      <c r="EX117" s="73">
        <v>0</v>
      </c>
      <c r="EY117" s="73">
        <v>0</v>
      </c>
      <c r="EZ117" s="73">
        <v>244886</v>
      </c>
      <c r="FA117" s="73">
        <v>44138</v>
      </c>
      <c r="FB117" s="73">
        <v>3287</v>
      </c>
      <c r="FC117" s="73">
        <v>0</v>
      </c>
      <c r="FD117" s="73">
        <v>0</v>
      </c>
      <c r="FE117" s="73">
        <v>-780</v>
      </c>
      <c r="FF117" s="73">
        <v>0</v>
      </c>
      <c r="FG117" s="73">
        <v>0</v>
      </c>
      <c r="FH117" s="73">
        <v>46645</v>
      </c>
      <c r="FI117" s="73">
        <v>198241</v>
      </c>
      <c r="FJ117" s="73">
        <v>197705</v>
      </c>
      <c r="FK117" s="73">
        <v>0</v>
      </c>
      <c r="FL117" s="73">
        <v>0</v>
      </c>
      <c r="FM117" s="73">
        <v>0</v>
      </c>
      <c r="FN117" s="73">
        <v>0</v>
      </c>
      <c r="FO117" s="73">
        <v>0</v>
      </c>
      <c r="FP117" s="73">
        <v>0</v>
      </c>
      <c r="FQ117" s="73">
        <v>0</v>
      </c>
      <c r="FR117" s="73">
        <v>0</v>
      </c>
      <c r="FS117" s="73">
        <v>0</v>
      </c>
      <c r="FT117" s="73">
        <v>0</v>
      </c>
      <c r="FU117" s="73">
        <v>0</v>
      </c>
      <c r="FV117" s="73">
        <v>0</v>
      </c>
      <c r="FW117" s="73">
        <v>0</v>
      </c>
      <c r="FX117" s="73">
        <v>0</v>
      </c>
      <c r="FY117" s="73">
        <v>0</v>
      </c>
      <c r="FZ117" s="73">
        <v>0</v>
      </c>
      <c r="GA117" s="73">
        <v>0</v>
      </c>
      <c r="GB117" s="73">
        <v>0</v>
      </c>
      <c r="GC117" s="73">
        <v>0</v>
      </c>
      <c r="GD117" s="73">
        <v>0</v>
      </c>
      <c r="GE117" s="73">
        <v>0</v>
      </c>
      <c r="GF117" s="73">
        <v>0</v>
      </c>
      <c r="GG117" s="73">
        <v>55</v>
      </c>
      <c r="GH117" s="73">
        <v>0</v>
      </c>
      <c r="GI117" s="73">
        <v>0</v>
      </c>
      <c r="GJ117" s="73">
        <v>0</v>
      </c>
      <c r="GK117" s="73">
        <v>1347</v>
      </c>
      <c r="GL117" s="73">
        <v>1402</v>
      </c>
      <c r="GM117" s="73">
        <v>418</v>
      </c>
      <c r="GN117" s="73">
        <v>755</v>
      </c>
      <c r="GO117" s="73">
        <v>0</v>
      </c>
      <c r="GP117" s="73">
        <v>26</v>
      </c>
      <c r="GQ117" s="73">
        <v>0</v>
      </c>
      <c r="GR117" s="73">
        <v>1477</v>
      </c>
      <c r="GS117" s="73">
        <v>0</v>
      </c>
      <c r="GT117" s="73">
        <v>0</v>
      </c>
      <c r="GU117" s="73">
        <v>0</v>
      </c>
      <c r="GV117" s="73">
        <v>0</v>
      </c>
      <c r="GW117" s="73">
        <v>835</v>
      </c>
      <c r="GX117" s="73">
        <v>3511</v>
      </c>
      <c r="GY117" s="73">
        <v>78</v>
      </c>
      <c r="GZ117" s="73">
        <v>0</v>
      </c>
      <c r="HA117" s="73">
        <v>0</v>
      </c>
      <c r="HB117" s="73">
        <v>0</v>
      </c>
      <c r="HC117" s="73">
        <v>78</v>
      </c>
      <c r="HD117" s="73">
        <v>0</v>
      </c>
      <c r="HE117" s="73">
        <v>0</v>
      </c>
      <c r="HF117" s="73">
        <v>0</v>
      </c>
      <c r="HG117" s="73">
        <v>2858</v>
      </c>
      <c r="HH117" s="73">
        <v>0</v>
      </c>
      <c r="HI117" s="73">
        <v>49</v>
      </c>
      <c r="HJ117" s="73">
        <v>0</v>
      </c>
      <c r="HK117" s="73">
        <v>55</v>
      </c>
      <c r="HL117" s="73">
        <v>-29</v>
      </c>
      <c r="HM117" s="73">
        <v>2933</v>
      </c>
      <c r="HN117" s="73">
        <v>2471</v>
      </c>
      <c r="HO117" s="73">
        <v>3735</v>
      </c>
      <c r="HP117" s="73">
        <v>0</v>
      </c>
      <c r="HQ117" s="73">
        <v>16</v>
      </c>
      <c r="HR117" s="73">
        <v>0</v>
      </c>
      <c r="HS117" s="73">
        <v>0</v>
      </c>
      <c r="HT117" s="73">
        <v>3292</v>
      </c>
      <c r="HU117" s="73">
        <v>0</v>
      </c>
      <c r="HV117" s="73">
        <v>0</v>
      </c>
      <c r="HW117" s="73">
        <v>0</v>
      </c>
      <c r="HX117" s="73">
        <v>0</v>
      </c>
    </row>
    <row r="118" spans="1:232" x14ac:dyDescent="0.2">
      <c r="A118" s="74" t="s">
        <v>416</v>
      </c>
      <c r="B118" s="74" t="s">
        <v>415</v>
      </c>
      <c r="C118" s="75" t="s">
        <v>200</v>
      </c>
      <c r="D118" s="75">
        <v>12</v>
      </c>
      <c r="E118" s="76">
        <v>34423</v>
      </c>
      <c r="F118" s="76">
        <v>-1413</v>
      </c>
      <c r="G118" s="76">
        <v>-22684</v>
      </c>
      <c r="H118" s="76">
        <v>10326</v>
      </c>
      <c r="I118" s="76">
        <v>879</v>
      </c>
      <c r="J118" s="76">
        <v>354</v>
      </c>
      <c r="K118" s="76">
        <v>0</v>
      </c>
      <c r="L118" s="76">
        <v>0</v>
      </c>
      <c r="M118" s="76">
        <v>494</v>
      </c>
      <c r="N118" s="76">
        <v>-5143</v>
      </c>
      <c r="O118" s="76">
        <v>93</v>
      </c>
      <c r="P118" s="76">
        <v>0</v>
      </c>
      <c r="Q118" s="76">
        <v>0</v>
      </c>
      <c r="R118" s="76">
        <v>0</v>
      </c>
      <c r="S118" s="76">
        <v>7003</v>
      </c>
      <c r="T118" s="76">
        <v>0</v>
      </c>
      <c r="U118" s="76">
        <v>7003</v>
      </c>
      <c r="V118" s="76">
        <v>0</v>
      </c>
      <c r="W118" s="76">
        <v>-2378</v>
      </c>
      <c r="X118" s="76">
        <v>0</v>
      </c>
      <c r="Y118" s="76">
        <v>0</v>
      </c>
      <c r="Z118" s="76">
        <v>4625</v>
      </c>
      <c r="AA118" s="76">
        <v>30343</v>
      </c>
      <c r="AB118" s="76">
        <v>1443</v>
      </c>
      <c r="AC118" s="76">
        <v>31786</v>
      </c>
      <c r="AD118" s="76">
        <v>167</v>
      </c>
      <c r="AE118" s="76">
        <v>0</v>
      </c>
      <c r="AF118" s="76">
        <v>0</v>
      </c>
      <c r="AG118" s="76">
        <v>454</v>
      </c>
      <c r="AH118" s="76">
        <v>32407</v>
      </c>
      <c r="AI118" s="76">
        <v>7352</v>
      </c>
      <c r="AJ118" s="76">
        <v>1496</v>
      </c>
      <c r="AK118" s="76">
        <v>4489</v>
      </c>
      <c r="AL118" s="76">
        <v>1280</v>
      </c>
      <c r="AM118" s="76">
        <v>3064</v>
      </c>
      <c r="AN118" s="76">
        <v>436</v>
      </c>
      <c r="AO118" s="76">
        <v>3664</v>
      </c>
      <c r="AP118" s="76">
        <v>0</v>
      </c>
      <c r="AQ118" s="76">
        <v>507</v>
      </c>
      <c r="AR118" s="76">
        <v>22288</v>
      </c>
      <c r="AS118" s="76">
        <v>10119</v>
      </c>
      <c r="AT118" s="76">
        <v>153</v>
      </c>
      <c r="AU118" s="76">
        <v>141269</v>
      </c>
      <c r="AV118" s="76">
        <v>0</v>
      </c>
      <c r="AW118" s="76">
        <v>2785</v>
      </c>
      <c r="AX118" s="76">
        <v>0</v>
      </c>
      <c r="AY118" s="76">
        <v>0</v>
      </c>
      <c r="AZ118" s="76">
        <v>1050</v>
      </c>
      <c r="BA118" s="76">
        <v>0</v>
      </c>
      <c r="BB118" s="76">
        <v>0</v>
      </c>
      <c r="BC118" s="76">
        <v>6600</v>
      </c>
      <c r="BD118" s="76">
        <v>6000</v>
      </c>
      <c r="BE118" s="76">
        <v>157704</v>
      </c>
      <c r="BF118" s="76">
        <v>521</v>
      </c>
      <c r="BG118" s="76">
        <v>2392</v>
      </c>
      <c r="BH118" s="76">
        <v>5885</v>
      </c>
      <c r="BI118" s="76">
        <v>0</v>
      </c>
      <c r="BJ118" s="76">
        <v>380</v>
      </c>
      <c r="BK118" s="76">
        <v>9178</v>
      </c>
      <c r="BL118" s="76">
        <v>0</v>
      </c>
      <c r="BM118" s="76">
        <v>0</v>
      </c>
      <c r="BN118" s="76">
        <v>167</v>
      </c>
      <c r="BO118" s="76">
        <v>8824</v>
      </c>
      <c r="BP118" s="76">
        <v>8991</v>
      </c>
      <c r="BQ118" s="76">
        <v>187</v>
      </c>
      <c r="BR118" s="76">
        <v>157891</v>
      </c>
      <c r="BS118" s="76">
        <v>111705</v>
      </c>
      <c r="BT118" s="76">
        <v>0</v>
      </c>
      <c r="BU118" s="76">
        <v>0</v>
      </c>
      <c r="BV118" s="76">
        <v>19251</v>
      </c>
      <c r="BW118" s="76">
        <v>0</v>
      </c>
      <c r="BX118" s="76">
        <v>0</v>
      </c>
      <c r="BY118" s="76">
        <v>126</v>
      </c>
      <c r="BZ118" s="76">
        <v>131082</v>
      </c>
      <c r="CA118" s="76">
        <v>1823</v>
      </c>
      <c r="CB118" s="76">
        <v>0</v>
      </c>
      <c r="CC118" s="76">
        <v>24986</v>
      </c>
      <c r="CD118" s="76">
        <v>24986</v>
      </c>
      <c r="CE118" s="76">
        <v>0</v>
      </c>
      <c r="CF118" s="76">
        <v>0</v>
      </c>
      <c r="CG118" s="76">
        <v>0</v>
      </c>
      <c r="CH118" s="76">
        <v>0</v>
      </c>
      <c r="CI118" s="76">
        <v>24986</v>
      </c>
      <c r="CJ118" s="76">
        <v>740</v>
      </c>
      <c r="CK118" s="76">
        <v>705</v>
      </c>
      <c r="CL118" s="76">
        <v>0</v>
      </c>
      <c r="CM118" s="76">
        <v>35</v>
      </c>
      <c r="CN118" s="76">
        <v>0</v>
      </c>
      <c r="CO118" s="76">
        <v>0</v>
      </c>
      <c r="CP118" s="76">
        <v>0</v>
      </c>
      <c r="CQ118" s="76">
        <v>0</v>
      </c>
      <c r="CR118" s="76">
        <v>0</v>
      </c>
      <c r="CS118" s="76">
        <v>0</v>
      </c>
      <c r="CT118" s="76">
        <v>0</v>
      </c>
      <c r="CU118" s="76">
        <v>0</v>
      </c>
      <c r="CV118" s="76">
        <v>0</v>
      </c>
      <c r="CW118" s="76">
        <v>0</v>
      </c>
      <c r="CX118" s="76">
        <v>0</v>
      </c>
      <c r="CY118" s="76">
        <v>0</v>
      </c>
      <c r="CZ118" s="76">
        <v>0</v>
      </c>
      <c r="DA118" s="76">
        <v>0</v>
      </c>
      <c r="DB118" s="76">
        <v>0</v>
      </c>
      <c r="DC118" s="76">
        <v>0</v>
      </c>
      <c r="DD118" s="76">
        <v>740</v>
      </c>
      <c r="DE118" s="76">
        <v>705</v>
      </c>
      <c r="DF118" s="76">
        <v>0</v>
      </c>
      <c r="DG118" s="76">
        <v>35</v>
      </c>
      <c r="DH118" s="76">
        <v>727</v>
      </c>
      <c r="DI118" s="76">
        <v>708</v>
      </c>
      <c r="DJ118" s="76">
        <v>0</v>
      </c>
      <c r="DK118" s="76">
        <v>19</v>
      </c>
      <c r="DL118" s="76">
        <v>0</v>
      </c>
      <c r="DM118" s="76">
        <v>0</v>
      </c>
      <c r="DN118" s="76">
        <v>0</v>
      </c>
      <c r="DO118" s="76">
        <v>0</v>
      </c>
      <c r="DP118" s="76">
        <v>0</v>
      </c>
      <c r="DQ118" s="76">
        <v>0</v>
      </c>
      <c r="DR118" s="76">
        <v>0</v>
      </c>
      <c r="DS118" s="76">
        <v>0</v>
      </c>
      <c r="DT118" s="76">
        <v>11</v>
      </c>
      <c r="DU118" s="76">
        <v>0</v>
      </c>
      <c r="DV118" s="76">
        <v>0</v>
      </c>
      <c r="DW118" s="76">
        <v>11</v>
      </c>
      <c r="DX118" s="76">
        <v>0</v>
      </c>
      <c r="DY118" s="76">
        <v>0</v>
      </c>
      <c r="DZ118" s="76">
        <v>0</v>
      </c>
      <c r="EA118" s="76">
        <v>0</v>
      </c>
      <c r="EB118" s="76">
        <v>538</v>
      </c>
      <c r="EC118" s="76">
        <v>0</v>
      </c>
      <c r="ED118" s="76">
        <v>396</v>
      </c>
      <c r="EE118" s="76">
        <v>142</v>
      </c>
      <c r="EF118" s="76">
        <v>1276</v>
      </c>
      <c r="EG118" s="76">
        <v>708</v>
      </c>
      <c r="EH118" s="76">
        <v>396</v>
      </c>
      <c r="EI118" s="76">
        <v>172</v>
      </c>
      <c r="EJ118" s="76">
        <v>2016</v>
      </c>
      <c r="EK118" s="76">
        <v>1413</v>
      </c>
      <c r="EL118" s="76">
        <v>396</v>
      </c>
      <c r="EM118" s="76">
        <v>207</v>
      </c>
      <c r="EN118" s="76">
        <v>710</v>
      </c>
      <c r="EO118" s="76">
        <v>388</v>
      </c>
      <c r="EP118" s="76">
        <v>626</v>
      </c>
      <c r="EQ118" s="76">
        <v>388</v>
      </c>
      <c r="ER118" s="76">
        <v>149466</v>
      </c>
      <c r="ES118" s="76">
        <v>0</v>
      </c>
      <c r="ET118" s="76">
        <v>149466</v>
      </c>
      <c r="EU118" s="76">
        <v>19836</v>
      </c>
      <c r="EV118" s="76">
        <v>-842</v>
      </c>
      <c r="EW118" s="76">
        <v>0</v>
      </c>
      <c r="EX118" s="76">
        <v>-302</v>
      </c>
      <c r="EY118" s="76">
        <v>79</v>
      </c>
      <c r="EZ118" s="76">
        <v>168237</v>
      </c>
      <c r="FA118" s="76">
        <v>23703</v>
      </c>
      <c r="FB118" s="76">
        <v>3545</v>
      </c>
      <c r="FC118" s="76">
        <v>0</v>
      </c>
      <c r="FD118" s="76">
        <v>0</v>
      </c>
      <c r="FE118" s="76">
        <v>-280</v>
      </c>
      <c r="FF118" s="76">
        <v>0</v>
      </c>
      <c r="FG118" s="76">
        <v>0</v>
      </c>
      <c r="FH118" s="76">
        <v>26968</v>
      </c>
      <c r="FI118" s="76">
        <v>141269</v>
      </c>
      <c r="FJ118" s="76">
        <v>125763</v>
      </c>
      <c r="FK118" s="76">
        <v>0</v>
      </c>
      <c r="FL118" s="76">
        <v>0</v>
      </c>
      <c r="FM118" s="76">
        <v>0</v>
      </c>
      <c r="FN118" s="76">
        <v>1058</v>
      </c>
      <c r="FO118" s="76">
        <v>471</v>
      </c>
      <c r="FP118" s="76">
        <v>587</v>
      </c>
      <c r="FQ118" s="76">
        <v>337</v>
      </c>
      <c r="FR118" s="76">
        <v>41</v>
      </c>
      <c r="FS118" s="76">
        <v>296</v>
      </c>
      <c r="FT118" s="76">
        <v>0</v>
      </c>
      <c r="FU118" s="76">
        <v>0</v>
      </c>
      <c r="FV118" s="76">
        <v>0</v>
      </c>
      <c r="FW118" s="76">
        <v>0</v>
      </c>
      <c r="FX118" s="76">
        <v>0</v>
      </c>
      <c r="FY118" s="76">
        <v>0</v>
      </c>
      <c r="FZ118" s="76">
        <v>6</v>
      </c>
      <c r="GA118" s="76">
        <v>10</v>
      </c>
      <c r="GB118" s="76">
        <v>-4</v>
      </c>
      <c r="GC118" s="76">
        <v>1401</v>
      </c>
      <c r="GD118" s="76">
        <v>522</v>
      </c>
      <c r="GE118" s="76">
        <v>879</v>
      </c>
      <c r="GF118" s="76">
        <v>193</v>
      </c>
      <c r="GG118" s="76">
        <v>0</v>
      </c>
      <c r="GH118" s="76">
        <v>0</v>
      </c>
      <c r="GI118" s="76">
        <v>0</v>
      </c>
      <c r="GJ118" s="76">
        <v>0</v>
      </c>
      <c r="GK118" s="76">
        <v>187</v>
      </c>
      <c r="GL118" s="76">
        <v>380</v>
      </c>
      <c r="GM118" s="76">
        <v>684</v>
      </c>
      <c r="GN118" s="76">
        <v>553</v>
      </c>
      <c r="GO118" s="76">
        <v>1931</v>
      </c>
      <c r="GP118" s="76">
        <v>0</v>
      </c>
      <c r="GQ118" s="76">
        <v>0</v>
      </c>
      <c r="GR118" s="76">
        <v>4500</v>
      </c>
      <c r="GS118" s="76">
        <v>0</v>
      </c>
      <c r="GT118" s="76">
        <v>0</v>
      </c>
      <c r="GU118" s="76">
        <v>14</v>
      </c>
      <c r="GV118" s="76">
        <v>0</v>
      </c>
      <c r="GW118" s="76">
        <v>1142</v>
      </c>
      <c r="GX118" s="76">
        <v>8824</v>
      </c>
      <c r="GY118" s="76">
        <v>0</v>
      </c>
      <c r="GZ118" s="76">
        <v>0</v>
      </c>
      <c r="HA118" s="76">
        <v>126</v>
      </c>
      <c r="HB118" s="76">
        <v>0</v>
      </c>
      <c r="HC118" s="76">
        <v>126</v>
      </c>
      <c r="HD118" s="76">
        <v>0</v>
      </c>
      <c r="HE118" s="76">
        <v>0</v>
      </c>
      <c r="HF118" s="76">
        <v>0</v>
      </c>
      <c r="HG118" s="76">
        <v>5594</v>
      </c>
      <c r="HH118" s="76">
        <v>16</v>
      </c>
      <c r="HI118" s="76">
        <v>0</v>
      </c>
      <c r="HJ118" s="76">
        <v>0</v>
      </c>
      <c r="HK118" s="76">
        <v>0</v>
      </c>
      <c r="HL118" s="76">
        <v>-467</v>
      </c>
      <c r="HM118" s="76">
        <v>5143</v>
      </c>
      <c r="HN118" s="76">
        <v>4572</v>
      </c>
      <c r="HO118" s="76">
        <v>4321</v>
      </c>
      <c r="HP118" s="76">
        <v>0</v>
      </c>
      <c r="HQ118" s="76">
        <v>152</v>
      </c>
      <c r="HR118" s="76">
        <v>-38</v>
      </c>
      <c r="HS118" s="76">
        <v>5</v>
      </c>
      <c r="HT118" s="76">
        <v>6893</v>
      </c>
      <c r="HU118" s="76">
        <v>10</v>
      </c>
      <c r="HV118" s="76">
        <v>0</v>
      </c>
      <c r="HW118" s="76">
        <v>2</v>
      </c>
      <c r="HX118" s="76">
        <v>130</v>
      </c>
    </row>
    <row r="119" spans="1:232" x14ac:dyDescent="0.2">
      <c r="A119" s="74" t="s">
        <v>419</v>
      </c>
      <c r="B119" s="74" t="s">
        <v>418</v>
      </c>
      <c r="C119" s="75" t="s">
        <v>200</v>
      </c>
      <c r="D119" s="75">
        <v>12</v>
      </c>
      <c r="E119" s="76">
        <v>118180</v>
      </c>
      <c r="F119" s="76">
        <v>-8126</v>
      </c>
      <c r="G119" s="76">
        <v>-86122</v>
      </c>
      <c r="H119" s="76">
        <v>23932</v>
      </c>
      <c r="I119" s="76">
        <v>194</v>
      </c>
      <c r="J119" s="76">
        <v>1927</v>
      </c>
      <c r="K119" s="76">
        <v>-325</v>
      </c>
      <c r="L119" s="76">
        <v>0</v>
      </c>
      <c r="M119" s="76">
        <v>399</v>
      </c>
      <c r="N119" s="76">
        <v>-13936</v>
      </c>
      <c r="O119" s="76">
        <v>0</v>
      </c>
      <c r="P119" s="76">
        <v>0</v>
      </c>
      <c r="Q119" s="76">
        <v>0</v>
      </c>
      <c r="R119" s="76">
        <v>0</v>
      </c>
      <c r="S119" s="76">
        <v>12191</v>
      </c>
      <c r="T119" s="76">
        <v>0</v>
      </c>
      <c r="U119" s="76">
        <v>12191</v>
      </c>
      <c r="V119" s="76">
        <v>0</v>
      </c>
      <c r="W119" s="76">
        <v>-2936</v>
      </c>
      <c r="X119" s="76">
        <v>0</v>
      </c>
      <c r="Y119" s="76">
        <v>0</v>
      </c>
      <c r="Z119" s="76">
        <v>9255</v>
      </c>
      <c r="AA119" s="76">
        <v>69027</v>
      </c>
      <c r="AB119" s="76">
        <v>29814</v>
      </c>
      <c r="AC119" s="76">
        <v>98841</v>
      </c>
      <c r="AD119" s="76">
        <v>6172</v>
      </c>
      <c r="AE119" s="76">
        <v>0</v>
      </c>
      <c r="AF119" s="76">
        <v>0</v>
      </c>
      <c r="AG119" s="76">
        <v>77</v>
      </c>
      <c r="AH119" s="76">
        <v>105090</v>
      </c>
      <c r="AI119" s="76">
        <v>21138</v>
      </c>
      <c r="AJ119" s="76">
        <v>25042</v>
      </c>
      <c r="AK119" s="76">
        <v>7884</v>
      </c>
      <c r="AL119" s="76">
        <v>5588</v>
      </c>
      <c r="AM119" s="76">
        <v>0</v>
      </c>
      <c r="AN119" s="76">
        <v>4</v>
      </c>
      <c r="AO119" s="76">
        <v>18013</v>
      </c>
      <c r="AP119" s="76">
        <v>0</v>
      </c>
      <c r="AQ119" s="76">
        <v>4432</v>
      </c>
      <c r="AR119" s="76">
        <v>82101</v>
      </c>
      <c r="AS119" s="76">
        <v>22989</v>
      </c>
      <c r="AT119" s="76">
        <v>975</v>
      </c>
      <c r="AU119" s="76">
        <v>486532</v>
      </c>
      <c r="AV119" s="76">
        <v>0</v>
      </c>
      <c r="AW119" s="76">
        <v>18438</v>
      </c>
      <c r="AX119" s="76">
        <v>0</v>
      </c>
      <c r="AY119" s="76">
        <v>0</v>
      </c>
      <c r="AZ119" s="76">
        <v>0</v>
      </c>
      <c r="BA119" s="76">
        <v>0</v>
      </c>
      <c r="BB119" s="76">
        <v>71750</v>
      </c>
      <c r="BC119" s="76">
        <v>0</v>
      </c>
      <c r="BD119" s="76">
        <v>4928</v>
      </c>
      <c r="BE119" s="76">
        <v>581648</v>
      </c>
      <c r="BF119" s="76">
        <v>3662</v>
      </c>
      <c r="BG119" s="76">
        <v>4279</v>
      </c>
      <c r="BH119" s="76">
        <v>134</v>
      </c>
      <c r="BI119" s="76">
        <v>49541</v>
      </c>
      <c r="BJ119" s="76">
        <v>1923</v>
      </c>
      <c r="BK119" s="76">
        <v>59539</v>
      </c>
      <c r="BL119" s="76">
        <v>14042</v>
      </c>
      <c r="BM119" s="76">
        <v>0</v>
      </c>
      <c r="BN119" s="76">
        <v>6414</v>
      </c>
      <c r="BO119" s="76">
        <v>18092</v>
      </c>
      <c r="BP119" s="76">
        <v>38548</v>
      </c>
      <c r="BQ119" s="76">
        <v>20991</v>
      </c>
      <c r="BR119" s="76">
        <v>602639</v>
      </c>
      <c r="BS119" s="76">
        <v>257501</v>
      </c>
      <c r="BT119" s="76">
        <v>0</v>
      </c>
      <c r="BU119" s="76">
        <v>6485</v>
      </c>
      <c r="BV119" s="76">
        <v>183982</v>
      </c>
      <c r="BW119" s="76">
        <v>0</v>
      </c>
      <c r="BX119" s="76">
        <v>1249</v>
      </c>
      <c r="BY119" s="76">
        <v>2851</v>
      </c>
      <c r="BZ119" s="76">
        <v>452068</v>
      </c>
      <c r="CA119" s="76">
        <v>11276</v>
      </c>
      <c r="CB119" s="76">
        <v>1478</v>
      </c>
      <c r="CC119" s="76">
        <v>137817</v>
      </c>
      <c r="CD119" s="76">
        <v>93686</v>
      </c>
      <c r="CE119" s="76">
        <v>0</v>
      </c>
      <c r="CF119" s="76">
        <v>0</v>
      </c>
      <c r="CG119" s="76">
        <v>-1249</v>
      </c>
      <c r="CH119" s="76">
        <v>45380</v>
      </c>
      <c r="CI119" s="76">
        <v>137817</v>
      </c>
      <c r="CJ119" s="76">
        <v>0</v>
      </c>
      <c r="CK119" s="76">
        <v>0</v>
      </c>
      <c r="CL119" s="76">
        <v>0</v>
      </c>
      <c r="CM119" s="76">
        <v>0</v>
      </c>
      <c r="CN119" s="76">
        <v>983</v>
      </c>
      <c r="CO119" s="76">
        <v>0</v>
      </c>
      <c r="CP119" s="76">
        <v>965</v>
      </c>
      <c r="CQ119" s="76">
        <v>18</v>
      </c>
      <c r="CR119" s="76">
        <v>0</v>
      </c>
      <c r="CS119" s="76">
        <v>0</v>
      </c>
      <c r="CT119" s="76">
        <v>0</v>
      </c>
      <c r="CU119" s="76">
        <v>0</v>
      </c>
      <c r="CV119" s="76">
        <v>0</v>
      </c>
      <c r="CW119" s="76">
        <v>0</v>
      </c>
      <c r="CX119" s="76">
        <v>0</v>
      </c>
      <c r="CY119" s="76">
        <v>0</v>
      </c>
      <c r="CZ119" s="76">
        <v>1555</v>
      </c>
      <c r="DA119" s="76">
        <v>0</v>
      </c>
      <c r="DB119" s="76">
        <v>1395</v>
      </c>
      <c r="DC119" s="76">
        <v>160</v>
      </c>
      <c r="DD119" s="76">
        <v>2538</v>
      </c>
      <c r="DE119" s="76">
        <v>0</v>
      </c>
      <c r="DF119" s="76">
        <v>2360</v>
      </c>
      <c r="DG119" s="76">
        <v>178</v>
      </c>
      <c r="DH119" s="76">
        <v>7575</v>
      </c>
      <c r="DI119" s="76">
        <v>8126</v>
      </c>
      <c r="DJ119" s="76">
        <v>0</v>
      </c>
      <c r="DK119" s="76">
        <v>-551</v>
      </c>
      <c r="DL119" s="76">
        <v>0</v>
      </c>
      <c r="DM119" s="76">
        <v>0</v>
      </c>
      <c r="DN119" s="76">
        <v>0</v>
      </c>
      <c r="DO119" s="76">
        <v>0</v>
      </c>
      <c r="DP119" s="76">
        <v>0</v>
      </c>
      <c r="DQ119" s="76">
        <v>0</v>
      </c>
      <c r="DR119" s="76">
        <v>0</v>
      </c>
      <c r="DS119" s="76">
        <v>0</v>
      </c>
      <c r="DT119" s="76">
        <v>0</v>
      </c>
      <c r="DU119" s="76">
        <v>0</v>
      </c>
      <c r="DV119" s="76">
        <v>0</v>
      </c>
      <c r="DW119" s="76">
        <v>0</v>
      </c>
      <c r="DX119" s="76">
        <v>0</v>
      </c>
      <c r="DY119" s="76">
        <v>0</v>
      </c>
      <c r="DZ119" s="76">
        <v>0</v>
      </c>
      <c r="EA119" s="76">
        <v>0</v>
      </c>
      <c r="EB119" s="76">
        <v>2977</v>
      </c>
      <c r="EC119" s="76">
        <v>0</v>
      </c>
      <c r="ED119" s="76">
        <v>1661</v>
      </c>
      <c r="EE119" s="76">
        <v>1316</v>
      </c>
      <c r="EF119" s="76">
        <v>10552</v>
      </c>
      <c r="EG119" s="76">
        <v>8126</v>
      </c>
      <c r="EH119" s="76">
        <v>1661</v>
      </c>
      <c r="EI119" s="76">
        <v>765</v>
      </c>
      <c r="EJ119" s="76">
        <v>13090</v>
      </c>
      <c r="EK119" s="76">
        <v>8126</v>
      </c>
      <c r="EL119" s="76">
        <v>4021</v>
      </c>
      <c r="EM119" s="76">
        <v>943</v>
      </c>
      <c r="EN119" s="76">
        <v>1036</v>
      </c>
      <c r="EO119" s="76">
        <v>277</v>
      </c>
      <c r="EP119" s="76">
        <v>53</v>
      </c>
      <c r="EQ119" s="76">
        <v>194</v>
      </c>
      <c r="ER119" s="76">
        <v>742703</v>
      </c>
      <c r="ES119" s="76">
        <v>0</v>
      </c>
      <c r="ET119" s="76">
        <v>742703</v>
      </c>
      <c r="EU119" s="76">
        <v>11687</v>
      </c>
      <c r="EV119" s="76">
        <v>-1025</v>
      </c>
      <c r="EW119" s="76">
        <v>0</v>
      </c>
      <c r="EX119" s="76">
        <v>0</v>
      </c>
      <c r="EY119" s="76">
        <v>-4745</v>
      </c>
      <c r="EZ119" s="76">
        <v>748620</v>
      </c>
      <c r="FA119" s="76">
        <v>245713</v>
      </c>
      <c r="FB119" s="76">
        <v>18027</v>
      </c>
      <c r="FC119" s="76">
        <v>0</v>
      </c>
      <c r="FD119" s="76">
        <v>0</v>
      </c>
      <c r="FE119" s="76">
        <v>-452</v>
      </c>
      <c r="FF119" s="76">
        <v>0</v>
      </c>
      <c r="FG119" s="76">
        <v>-1200</v>
      </c>
      <c r="FH119" s="76">
        <v>262088</v>
      </c>
      <c r="FI119" s="76">
        <v>486532</v>
      </c>
      <c r="FJ119" s="76">
        <v>496990</v>
      </c>
      <c r="FK119" s="76">
        <v>0</v>
      </c>
      <c r="FL119" s="76">
        <v>0</v>
      </c>
      <c r="FM119" s="76">
        <v>0</v>
      </c>
      <c r="FN119" s="76">
        <v>0</v>
      </c>
      <c r="FO119" s="76">
        <v>0</v>
      </c>
      <c r="FP119" s="76">
        <v>0</v>
      </c>
      <c r="FQ119" s="76">
        <v>0</v>
      </c>
      <c r="FR119" s="76">
        <v>0</v>
      </c>
      <c r="FS119" s="76">
        <v>0</v>
      </c>
      <c r="FT119" s="76">
        <v>981</v>
      </c>
      <c r="FU119" s="76">
        <v>787</v>
      </c>
      <c r="FV119" s="76">
        <v>194</v>
      </c>
      <c r="FW119" s="76">
        <v>0</v>
      </c>
      <c r="FX119" s="76">
        <v>0</v>
      </c>
      <c r="FY119" s="76">
        <v>0</v>
      </c>
      <c r="FZ119" s="76">
        <v>0</v>
      </c>
      <c r="GA119" s="76">
        <v>0</v>
      </c>
      <c r="GB119" s="76">
        <v>0</v>
      </c>
      <c r="GC119" s="76">
        <v>981</v>
      </c>
      <c r="GD119" s="76">
        <v>787</v>
      </c>
      <c r="GE119" s="76">
        <v>194</v>
      </c>
      <c r="GF119" s="76">
        <v>1920</v>
      </c>
      <c r="GG119" s="76">
        <v>3</v>
      </c>
      <c r="GH119" s="76">
        <v>0</v>
      </c>
      <c r="GI119" s="76">
        <v>0</v>
      </c>
      <c r="GJ119" s="76">
        <v>0</v>
      </c>
      <c r="GK119" s="76">
        <v>0</v>
      </c>
      <c r="GL119" s="76">
        <v>1923</v>
      </c>
      <c r="GM119" s="76">
        <v>3157</v>
      </c>
      <c r="GN119" s="76">
        <v>1265</v>
      </c>
      <c r="GO119" s="76">
        <v>0</v>
      </c>
      <c r="GP119" s="76">
        <v>0</v>
      </c>
      <c r="GQ119" s="76">
        <v>0</v>
      </c>
      <c r="GR119" s="76">
        <v>8805</v>
      </c>
      <c r="GS119" s="76">
        <v>0</v>
      </c>
      <c r="GT119" s="76">
        <v>0</v>
      </c>
      <c r="GU119" s="76">
        <v>387</v>
      </c>
      <c r="GV119" s="76">
        <v>0</v>
      </c>
      <c r="GW119" s="76">
        <v>4478</v>
      </c>
      <c r="GX119" s="76">
        <v>18092</v>
      </c>
      <c r="GY119" s="76">
        <v>1373</v>
      </c>
      <c r="GZ119" s="76">
        <v>0</v>
      </c>
      <c r="HA119" s="76">
        <v>0</v>
      </c>
      <c r="HB119" s="76">
        <v>1478</v>
      </c>
      <c r="HC119" s="76">
        <v>2851</v>
      </c>
      <c r="HD119" s="76">
        <v>0</v>
      </c>
      <c r="HE119" s="76">
        <v>1478</v>
      </c>
      <c r="HF119" s="76">
        <v>1478</v>
      </c>
      <c r="HG119" s="76">
        <v>14148</v>
      </c>
      <c r="HH119" s="76">
        <v>0</v>
      </c>
      <c r="HI119" s="76">
        <v>0</v>
      </c>
      <c r="HJ119" s="76">
        <v>0</v>
      </c>
      <c r="HK119" s="76">
        <v>0</v>
      </c>
      <c r="HL119" s="76">
        <v>-212</v>
      </c>
      <c r="HM119" s="76">
        <v>13936</v>
      </c>
      <c r="HN119" s="76">
        <v>11008</v>
      </c>
      <c r="HO119" s="76">
        <v>20125</v>
      </c>
      <c r="HP119" s="76">
        <v>0</v>
      </c>
      <c r="HQ119" s="76">
        <v>3</v>
      </c>
      <c r="HR119" s="76">
        <v>-8</v>
      </c>
      <c r="HS119" s="76">
        <v>-11</v>
      </c>
      <c r="HT119" s="76">
        <v>13813</v>
      </c>
      <c r="HU119" s="76">
        <v>0</v>
      </c>
      <c r="HV119" s="76">
        <v>-167</v>
      </c>
      <c r="HW119" s="76">
        <v>38</v>
      </c>
      <c r="HX119" s="76">
        <v>4810</v>
      </c>
    </row>
    <row r="120" spans="1:232" x14ac:dyDescent="0.2">
      <c r="A120" s="74" t="s">
        <v>422</v>
      </c>
      <c r="B120" s="74" t="s">
        <v>421</v>
      </c>
      <c r="C120" s="75" t="s">
        <v>200</v>
      </c>
      <c r="D120" s="75">
        <v>12</v>
      </c>
      <c r="E120" s="76">
        <v>31071</v>
      </c>
      <c r="F120" s="76">
        <v>-2033</v>
      </c>
      <c r="G120" s="76">
        <v>-15506</v>
      </c>
      <c r="H120" s="76">
        <v>13532</v>
      </c>
      <c r="I120" s="76">
        <v>3257</v>
      </c>
      <c r="J120" s="76">
        <v>-7500</v>
      </c>
      <c r="K120" s="76">
        <v>0</v>
      </c>
      <c r="L120" s="76">
        <v>0</v>
      </c>
      <c r="M120" s="76">
        <v>409</v>
      </c>
      <c r="N120" s="76">
        <v>-11089</v>
      </c>
      <c r="O120" s="76">
        <v>170</v>
      </c>
      <c r="P120" s="76">
        <v>666</v>
      </c>
      <c r="Q120" s="76">
        <v>0</v>
      </c>
      <c r="R120" s="76">
        <v>0</v>
      </c>
      <c r="S120" s="76">
        <v>-555</v>
      </c>
      <c r="T120" s="76">
        <v>0</v>
      </c>
      <c r="U120" s="76">
        <v>-555</v>
      </c>
      <c r="V120" s="76">
        <v>0</v>
      </c>
      <c r="W120" s="76">
        <v>0</v>
      </c>
      <c r="X120" s="76">
        <v>0</v>
      </c>
      <c r="Y120" s="76">
        <v>0</v>
      </c>
      <c r="Z120" s="76">
        <v>-555</v>
      </c>
      <c r="AA120" s="76">
        <v>23327</v>
      </c>
      <c r="AB120" s="76">
        <v>885</v>
      </c>
      <c r="AC120" s="76">
        <v>24212</v>
      </c>
      <c r="AD120" s="76">
        <v>1568</v>
      </c>
      <c r="AE120" s="76">
        <v>0</v>
      </c>
      <c r="AF120" s="76">
        <v>0</v>
      </c>
      <c r="AG120" s="76">
        <v>0</v>
      </c>
      <c r="AH120" s="76">
        <v>25780</v>
      </c>
      <c r="AI120" s="76">
        <v>2629</v>
      </c>
      <c r="AJ120" s="76">
        <v>876</v>
      </c>
      <c r="AK120" s="76">
        <v>3108</v>
      </c>
      <c r="AL120" s="76">
        <v>670</v>
      </c>
      <c r="AM120" s="76">
        <v>1005</v>
      </c>
      <c r="AN120" s="76">
        <v>-27</v>
      </c>
      <c r="AO120" s="76">
        <v>4520</v>
      </c>
      <c r="AP120" s="76">
        <v>0</v>
      </c>
      <c r="AQ120" s="76">
        <v>139</v>
      </c>
      <c r="AR120" s="76">
        <v>12920</v>
      </c>
      <c r="AS120" s="76">
        <v>12860</v>
      </c>
      <c r="AT120" s="76">
        <v>69</v>
      </c>
      <c r="AU120" s="76">
        <v>352736</v>
      </c>
      <c r="AV120" s="76">
        <v>0</v>
      </c>
      <c r="AW120" s="76">
        <v>3053</v>
      </c>
      <c r="AX120" s="76">
        <v>0</v>
      </c>
      <c r="AY120" s="76">
        <v>0</v>
      </c>
      <c r="AZ120" s="76">
        <v>4458</v>
      </c>
      <c r="BA120" s="76">
        <v>0</v>
      </c>
      <c r="BB120" s="76">
        <v>0</v>
      </c>
      <c r="BC120" s="76">
        <v>0</v>
      </c>
      <c r="BD120" s="76">
        <v>50</v>
      </c>
      <c r="BE120" s="76">
        <v>360297</v>
      </c>
      <c r="BF120" s="76">
        <v>693</v>
      </c>
      <c r="BG120" s="76">
        <v>558</v>
      </c>
      <c r="BH120" s="76">
        <v>2995</v>
      </c>
      <c r="BI120" s="76">
        <v>0</v>
      </c>
      <c r="BJ120" s="76">
        <v>6637</v>
      </c>
      <c r="BK120" s="76">
        <v>10883</v>
      </c>
      <c r="BL120" s="76">
        <v>298</v>
      </c>
      <c r="BM120" s="76">
        <v>0</v>
      </c>
      <c r="BN120" s="76">
        <v>1580</v>
      </c>
      <c r="BO120" s="76">
        <v>11251</v>
      </c>
      <c r="BP120" s="76">
        <v>13129</v>
      </c>
      <c r="BQ120" s="76">
        <v>-2246</v>
      </c>
      <c r="BR120" s="76">
        <v>358051</v>
      </c>
      <c r="BS120" s="76">
        <v>225812</v>
      </c>
      <c r="BT120" s="76">
        <v>0</v>
      </c>
      <c r="BU120" s="76">
        <v>0</v>
      </c>
      <c r="BV120" s="76">
        <v>116338</v>
      </c>
      <c r="BW120" s="76">
        <v>0</v>
      </c>
      <c r="BX120" s="76">
        <v>0</v>
      </c>
      <c r="BY120" s="76">
        <v>3660</v>
      </c>
      <c r="BZ120" s="76">
        <v>345810</v>
      </c>
      <c r="CA120" s="76">
        <v>0</v>
      </c>
      <c r="CB120" s="76">
        <v>87</v>
      </c>
      <c r="CC120" s="76">
        <v>12154</v>
      </c>
      <c r="CD120" s="76">
        <v>11856</v>
      </c>
      <c r="CE120" s="76">
        <v>298</v>
      </c>
      <c r="CF120" s="76">
        <v>0</v>
      </c>
      <c r="CG120" s="76">
        <v>0</v>
      </c>
      <c r="CH120" s="76">
        <v>0</v>
      </c>
      <c r="CI120" s="76">
        <v>12154</v>
      </c>
      <c r="CJ120" s="76">
        <v>365</v>
      </c>
      <c r="CK120" s="76">
        <v>378</v>
      </c>
      <c r="CL120" s="76">
        <v>0</v>
      </c>
      <c r="CM120" s="76">
        <v>-13</v>
      </c>
      <c r="CN120" s="76">
        <v>1623</v>
      </c>
      <c r="CO120" s="76">
        <v>0</v>
      </c>
      <c r="CP120" s="76">
        <v>1622</v>
      </c>
      <c r="CQ120" s="76">
        <v>1</v>
      </c>
      <c r="CR120" s="76">
        <v>0</v>
      </c>
      <c r="CS120" s="76">
        <v>0</v>
      </c>
      <c r="CT120" s="76">
        <v>191</v>
      </c>
      <c r="CU120" s="76">
        <v>-191</v>
      </c>
      <c r="CV120" s="76">
        <v>0</v>
      </c>
      <c r="CW120" s="76">
        <v>0</v>
      </c>
      <c r="CX120" s="76">
        <v>0</v>
      </c>
      <c r="CY120" s="76">
        <v>0</v>
      </c>
      <c r="CZ120" s="76">
        <v>0</v>
      </c>
      <c r="DA120" s="76">
        <v>0</v>
      </c>
      <c r="DB120" s="76">
        <v>0</v>
      </c>
      <c r="DC120" s="76">
        <v>0</v>
      </c>
      <c r="DD120" s="76">
        <v>1988</v>
      </c>
      <c r="DE120" s="76">
        <v>378</v>
      </c>
      <c r="DF120" s="76">
        <v>1813</v>
      </c>
      <c r="DG120" s="76">
        <v>-203</v>
      </c>
      <c r="DH120" s="76">
        <v>2005</v>
      </c>
      <c r="DI120" s="76">
        <v>1655</v>
      </c>
      <c r="DJ120" s="76">
        <v>0</v>
      </c>
      <c r="DK120" s="76">
        <v>350</v>
      </c>
      <c r="DL120" s="76">
        <v>0</v>
      </c>
      <c r="DM120" s="76">
        <v>0</v>
      </c>
      <c r="DN120" s="76">
        <v>0</v>
      </c>
      <c r="DO120" s="76">
        <v>0</v>
      </c>
      <c r="DP120" s="76">
        <v>0</v>
      </c>
      <c r="DQ120" s="76">
        <v>0</v>
      </c>
      <c r="DR120" s="76">
        <v>0</v>
      </c>
      <c r="DS120" s="76">
        <v>0</v>
      </c>
      <c r="DT120" s="76">
        <v>0</v>
      </c>
      <c r="DU120" s="76">
        <v>0</v>
      </c>
      <c r="DV120" s="76">
        <v>0</v>
      </c>
      <c r="DW120" s="76">
        <v>0</v>
      </c>
      <c r="DX120" s="76">
        <v>714</v>
      </c>
      <c r="DY120" s="76">
        <v>0</v>
      </c>
      <c r="DZ120" s="76">
        <v>704</v>
      </c>
      <c r="EA120" s="76">
        <v>10</v>
      </c>
      <c r="EB120" s="76">
        <v>584</v>
      </c>
      <c r="EC120" s="76">
        <v>0</v>
      </c>
      <c r="ED120" s="76">
        <v>69</v>
      </c>
      <c r="EE120" s="76">
        <v>515</v>
      </c>
      <c r="EF120" s="76">
        <v>3303</v>
      </c>
      <c r="EG120" s="76">
        <v>1655</v>
      </c>
      <c r="EH120" s="76">
        <v>773</v>
      </c>
      <c r="EI120" s="76">
        <v>875</v>
      </c>
      <c r="EJ120" s="76">
        <v>5291</v>
      </c>
      <c r="EK120" s="76">
        <v>2033</v>
      </c>
      <c r="EL120" s="76">
        <v>2586</v>
      </c>
      <c r="EM120" s="76">
        <v>672</v>
      </c>
      <c r="EN120" s="76">
        <v>601</v>
      </c>
      <c r="EO120" s="76">
        <v>248</v>
      </c>
      <c r="EP120" s="76">
        <v>153</v>
      </c>
      <c r="EQ120" s="76">
        <v>248</v>
      </c>
      <c r="ER120" s="76">
        <v>388618</v>
      </c>
      <c r="ES120" s="76">
        <v>0</v>
      </c>
      <c r="ET120" s="76">
        <v>388618</v>
      </c>
      <c r="EU120" s="76">
        <v>3076</v>
      </c>
      <c r="EV120" s="76">
        <v>-2375</v>
      </c>
      <c r="EW120" s="76">
        <v>0</v>
      </c>
      <c r="EX120" s="76">
        <v>0</v>
      </c>
      <c r="EY120" s="76">
        <v>0</v>
      </c>
      <c r="EZ120" s="76">
        <v>389319</v>
      </c>
      <c r="FA120" s="76">
        <v>32899</v>
      </c>
      <c r="FB120" s="76">
        <v>4417</v>
      </c>
      <c r="FC120" s="76">
        <v>0</v>
      </c>
      <c r="FD120" s="76">
        <v>0</v>
      </c>
      <c r="FE120" s="76">
        <v>-733</v>
      </c>
      <c r="FF120" s="76">
        <v>0</v>
      </c>
      <c r="FG120" s="76">
        <v>0</v>
      </c>
      <c r="FH120" s="76">
        <v>36583</v>
      </c>
      <c r="FI120" s="76">
        <v>352736</v>
      </c>
      <c r="FJ120" s="76">
        <v>355719</v>
      </c>
      <c r="FK120" s="76">
        <v>1579</v>
      </c>
      <c r="FL120" s="76">
        <v>1115</v>
      </c>
      <c r="FM120" s="76">
        <v>464</v>
      </c>
      <c r="FN120" s="76">
        <v>0</v>
      </c>
      <c r="FO120" s="76">
        <v>0</v>
      </c>
      <c r="FP120" s="76">
        <v>0</v>
      </c>
      <c r="FQ120" s="76">
        <v>0</v>
      </c>
      <c r="FR120" s="76">
        <v>0</v>
      </c>
      <c r="FS120" s="76">
        <v>0</v>
      </c>
      <c r="FT120" s="76">
        <v>3338</v>
      </c>
      <c r="FU120" s="76">
        <v>545</v>
      </c>
      <c r="FV120" s="76">
        <v>2793</v>
      </c>
      <c r="FW120" s="76">
        <v>0</v>
      </c>
      <c r="FX120" s="76">
        <v>0</v>
      </c>
      <c r="FY120" s="76">
        <v>0</v>
      </c>
      <c r="FZ120" s="76">
        <v>0</v>
      </c>
      <c r="GA120" s="76">
        <v>0</v>
      </c>
      <c r="GB120" s="76">
        <v>0</v>
      </c>
      <c r="GC120" s="76">
        <v>4917</v>
      </c>
      <c r="GD120" s="76">
        <v>1660</v>
      </c>
      <c r="GE120" s="76">
        <v>3257</v>
      </c>
      <c r="GF120" s="76">
        <v>5636</v>
      </c>
      <c r="GG120" s="76">
        <v>0</v>
      </c>
      <c r="GH120" s="76">
        <v>54</v>
      </c>
      <c r="GI120" s="76">
        <v>0</v>
      </c>
      <c r="GJ120" s="76">
        <v>0</v>
      </c>
      <c r="GK120" s="76">
        <v>947</v>
      </c>
      <c r="GL120" s="76">
        <v>6637</v>
      </c>
      <c r="GM120" s="76">
        <v>647</v>
      </c>
      <c r="GN120" s="76">
        <v>2115</v>
      </c>
      <c r="GO120" s="76">
        <v>4832</v>
      </c>
      <c r="GP120" s="76">
        <v>38</v>
      </c>
      <c r="GQ120" s="76">
        <v>0</v>
      </c>
      <c r="GR120" s="76">
        <v>2937</v>
      </c>
      <c r="GS120" s="76">
        <v>0</v>
      </c>
      <c r="GT120" s="76">
        <v>0</v>
      </c>
      <c r="GU120" s="76">
        <v>493</v>
      </c>
      <c r="GV120" s="76">
        <v>0</v>
      </c>
      <c r="GW120" s="76">
        <v>189</v>
      </c>
      <c r="GX120" s="76">
        <v>11251</v>
      </c>
      <c r="GY120" s="76">
        <v>467</v>
      </c>
      <c r="GZ120" s="76">
        <v>0</v>
      </c>
      <c r="HA120" s="76">
        <v>3193</v>
      </c>
      <c r="HB120" s="76">
        <v>0</v>
      </c>
      <c r="HC120" s="76">
        <v>3660</v>
      </c>
      <c r="HD120" s="76">
        <v>0</v>
      </c>
      <c r="HE120" s="76">
        <v>87</v>
      </c>
      <c r="HF120" s="76">
        <v>87</v>
      </c>
      <c r="HG120" s="76">
        <v>11063</v>
      </c>
      <c r="HH120" s="76">
        <v>78</v>
      </c>
      <c r="HI120" s="76">
        <v>182</v>
      </c>
      <c r="HJ120" s="76">
        <v>0</v>
      </c>
      <c r="HK120" s="76">
        <v>0</v>
      </c>
      <c r="HL120" s="76">
        <v>-234</v>
      </c>
      <c r="HM120" s="76">
        <v>11089</v>
      </c>
      <c r="HN120" s="76">
        <v>2529</v>
      </c>
      <c r="HO120" s="76">
        <v>4711</v>
      </c>
      <c r="HP120" s="76">
        <v>0</v>
      </c>
      <c r="HQ120" s="76">
        <v>120</v>
      </c>
      <c r="HR120" s="76">
        <v>-27</v>
      </c>
      <c r="HS120" s="76">
        <v>0</v>
      </c>
      <c r="HT120" s="76">
        <v>5174</v>
      </c>
      <c r="HU120" s="76">
        <v>0</v>
      </c>
      <c r="HV120" s="76">
        <v>-1</v>
      </c>
      <c r="HW120" s="76">
        <v>29</v>
      </c>
      <c r="HX120" s="76">
        <v>2337</v>
      </c>
    </row>
    <row r="121" spans="1:232" x14ac:dyDescent="0.2">
      <c r="A121" s="71" t="s">
        <v>423</v>
      </c>
      <c r="B121" s="71" t="s">
        <v>424</v>
      </c>
      <c r="C121" s="72" t="s">
        <v>200</v>
      </c>
      <c r="D121" s="72">
        <v>12</v>
      </c>
      <c r="E121" s="73">
        <v>5336</v>
      </c>
      <c r="F121" s="73">
        <v>0</v>
      </c>
      <c r="G121" s="73">
        <v>-3718</v>
      </c>
      <c r="H121" s="73">
        <v>1618</v>
      </c>
      <c r="I121" s="73">
        <v>189</v>
      </c>
      <c r="J121" s="73">
        <v>0</v>
      </c>
      <c r="K121" s="73">
        <v>0</v>
      </c>
      <c r="L121" s="73">
        <v>0</v>
      </c>
      <c r="M121" s="73">
        <v>2</v>
      </c>
      <c r="N121" s="73">
        <v>-513</v>
      </c>
      <c r="O121" s="73">
        <v>0</v>
      </c>
      <c r="P121" s="73">
        <v>0</v>
      </c>
      <c r="Q121" s="73">
        <v>0</v>
      </c>
      <c r="R121" s="73">
        <v>0</v>
      </c>
      <c r="S121" s="73">
        <v>1296</v>
      </c>
      <c r="T121" s="73">
        <v>0</v>
      </c>
      <c r="U121" s="73">
        <v>1296</v>
      </c>
      <c r="V121" s="73">
        <v>0</v>
      </c>
      <c r="W121" s="73">
        <v>0</v>
      </c>
      <c r="X121" s="73">
        <v>0</v>
      </c>
      <c r="Y121" s="73">
        <v>0</v>
      </c>
      <c r="Z121" s="73">
        <v>1296</v>
      </c>
      <c r="AA121" s="73">
        <v>4376</v>
      </c>
      <c r="AB121" s="73">
        <v>792</v>
      </c>
      <c r="AC121" s="73">
        <v>5168</v>
      </c>
      <c r="AD121" s="73">
        <v>154</v>
      </c>
      <c r="AE121" s="73">
        <v>0</v>
      </c>
      <c r="AF121" s="73">
        <v>0</v>
      </c>
      <c r="AG121" s="73">
        <v>14</v>
      </c>
      <c r="AH121" s="73">
        <v>5336</v>
      </c>
      <c r="AI121" s="73">
        <v>1954</v>
      </c>
      <c r="AJ121" s="73">
        <v>614</v>
      </c>
      <c r="AK121" s="73">
        <v>456</v>
      </c>
      <c r="AL121" s="73">
        <v>249</v>
      </c>
      <c r="AM121" s="73">
        <v>99</v>
      </c>
      <c r="AN121" s="73">
        <v>34</v>
      </c>
      <c r="AO121" s="73">
        <v>546</v>
      </c>
      <c r="AP121" s="73">
        <v>0</v>
      </c>
      <c r="AQ121" s="73">
        <v>-88</v>
      </c>
      <c r="AR121" s="73">
        <v>3864</v>
      </c>
      <c r="AS121" s="73">
        <v>1472</v>
      </c>
      <c r="AT121" s="73">
        <v>64</v>
      </c>
      <c r="AU121" s="73">
        <v>26527</v>
      </c>
      <c r="AV121" s="73">
        <v>0</v>
      </c>
      <c r="AW121" s="73">
        <v>929</v>
      </c>
      <c r="AX121" s="73">
        <v>0</v>
      </c>
      <c r="AY121" s="73">
        <v>0</v>
      </c>
      <c r="AZ121" s="73">
        <v>0</v>
      </c>
      <c r="BA121" s="73">
        <v>0</v>
      </c>
      <c r="BB121" s="73">
        <v>0</v>
      </c>
      <c r="BC121" s="73">
        <v>0</v>
      </c>
      <c r="BD121" s="73">
        <v>0</v>
      </c>
      <c r="BE121" s="73">
        <v>27456</v>
      </c>
      <c r="BF121" s="73">
        <v>2604</v>
      </c>
      <c r="BG121" s="73">
        <v>164</v>
      </c>
      <c r="BH121" s="73">
        <v>1093</v>
      </c>
      <c r="BI121" s="73">
        <v>0</v>
      </c>
      <c r="BJ121" s="73">
        <v>280</v>
      </c>
      <c r="BK121" s="73">
        <v>4141</v>
      </c>
      <c r="BL121" s="73">
        <v>39</v>
      </c>
      <c r="BM121" s="73">
        <v>0</v>
      </c>
      <c r="BN121" s="73">
        <v>151</v>
      </c>
      <c r="BO121" s="73">
        <v>6387</v>
      </c>
      <c r="BP121" s="73">
        <v>6577</v>
      </c>
      <c r="BQ121" s="73">
        <v>-2436</v>
      </c>
      <c r="BR121" s="73">
        <v>25020</v>
      </c>
      <c r="BS121" s="73">
        <v>1596</v>
      </c>
      <c r="BT121" s="73">
        <v>0</v>
      </c>
      <c r="BU121" s="73">
        <v>1053</v>
      </c>
      <c r="BV121" s="73">
        <v>13059</v>
      </c>
      <c r="BW121" s="73">
        <v>0</v>
      </c>
      <c r="BX121" s="73">
        <v>0</v>
      </c>
      <c r="BY121" s="73">
        <v>131</v>
      </c>
      <c r="BZ121" s="73">
        <v>15839</v>
      </c>
      <c r="CA121" s="73">
        <v>1333</v>
      </c>
      <c r="CB121" s="73">
        <v>2</v>
      </c>
      <c r="CC121" s="73">
        <v>7846</v>
      </c>
      <c r="CD121" s="73">
        <v>7846</v>
      </c>
      <c r="CE121" s="73">
        <v>0</v>
      </c>
      <c r="CF121" s="73">
        <v>0</v>
      </c>
      <c r="CG121" s="73">
        <v>0</v>
      </c>
      <c r="CH121" s="73">
        <v>0</v>
      </c>
      <c r="CI121" s="73">
        <v>7846</v>
      </c>
      <c r="CJ121" s="73">
        <v>0</v>
      </c>
      <c r="CK121" s="73">
        <v>0</v>
      </c>
      <c r="CL121" s="73">
        <v>0</v>
      </c>
      <c r="CM121" s="73">
        <v>0</v>
      </c>
      <c r="CN121" s="73">
        <v>0</v>
      </c>
      <c r="CO121" s="73">
        <v>0</v>
      </c>
      <c r="CP121" s="73">
        <v>0</v>
      </c>
      <c r="CQ121" s="73">
        <v>0</v>
      </c>
      <c r="CR121" s="73">
        <v>0</v>
      </c>
      <c r="CS121" s="73">
        <v>0</v>
      </c>
      <c r="CT121" s="73">
        <v>0</v>
      </c>
      <c r="CU121" s="73">
        <v>0</v>
      </c>
      <c r="CV121" s="73">
        <v>0</v>
      </c>
      <c r="CW121" s="73">
        <v>0</v>
      </c>
      <c r="CX121" s="73">
        <v>0</v>
      </c>
      <c r="CY121" s="73">
        <v>0</v>
      </c>
      <c r="CZ121" s="73">
        <v>0</v>
      </c>
      <c r="DA121" s="73">
        <v>0</v>
      </c>
      <c r="DB121" s="73">
        <v>-146</v>
      </c>
      <c r="DC121" s="73">
        <v>146</v>
      </c>
      <c r="DD121" s="73">
        <v>0</v>
      </c>
      <c r="DE121" s="73">
        <v>0</v>
      </c>
      <c r="DF121" s="73">
        <v>-146</v>
      </c>
      <c r="DG121" s="73">
        <v>146</v>
      </c>
      <c r="DH121" s="73">
        <v>0</v>
      </c>
      <c r="DI121" s="73">
        <v>0</v>
      </c>
      <c r="DJ121" s="73">
        <v>0</v>
      </c>
      <c r="DK121" s="73">
        <v>0</v>
      </c>
      <c r="DL121" s="73">
        <v>0</v>
      </c>
      <c r="DM121" s="73">
        <v>0</v>
      </c>
      <c r="DN121" s="73">
        <v>0</v>
      </c>
      <c r="DO121" s="73">
        <v>0</v>
      </c>
      <c r="DP121" s="73">
        <v>0</v>
      </c>
      <c r="DQ121" s="73">
        <v>0</v>
      </c>
      <c r="DR121" s="73">
        <v>0</v>
      </c>
      <c r="DS121" s="73">
        <v>0</v>
      </c>
      <c r="DT121" s="73">
        <v>0</v>
      </c>
      <c r="DU121" s="73">
        <v>0</v>
      </c>
      <c r="DV121" s="73">
        <v>0</v>
      </c>
      <c r="DW121" s="73">
        <v>0</v>
      </c>
      <c r="DX121" s="73">
        <v>0</v>
      </c>
      <c r="DY121" s="73">
        <v>0</v>
      </c>
      <c r="DZ121" s="73">
        <v>0</v>
      </c>
      <c r="EA121" s="73">
        <v>0</v>
      </c>
      <c r="EB121" s="73">
        <v>0</v>
      </c>
      <c r="EC121" s="73">
        <v>0</v>
      </c>
      <c r="ED121" s="73">
        <v>0</v>
      </c>
      <c r="EE121" s="73">
        <v>0</v>
      </c>
      <c r="EF121" s="73">
        <v>0</v>
      </c>
      <c r="EG121" s="73">
        <v>0</v>
      </c>
      <c r="EH121" s="73">
        <v>0</v>
      </c>
      <c r="EI121" s="73">
        <v>0</v>
      </c>
      <c r="EJ121" s="73">
        <v>0</v>
      </c>
      <c r="EK121" s="73">
        <v>0</v>
      </c>
      <c r="EL121" s="73">
        <v>-146</v>
      </c>
      <c r="EM121" s="73">
        <v>146</v>
      </c>
      <c r="EN121" s="73">
        <v>196</v>
      </c>
      <c r="EO121" s="73">
        <v>58</v>
      </c>
      <c r="EP121" s="73">
        <v>32</v>
      </c>
      <c r="EQ121" s="73">
        <v>58</v>
      </c>
      <c r="ER121" s="73">
        <v>37203</v>
      </c>
      <c r="ES121" s="73">
        <v>0</v>
      </c>
      <c r="ET121" s="73">
        <v>37203</v>
      </c>
      <c r="EU121" s="73">
        <v>479</v>
      </c>
      <c r="EV121" s="73">
        <v>-538</v>
      </c>
      <c r="EW121" s="73">
        <v>0</v>
      </c>
      <c r="EX121" s="73">
        <v>0</v>
      </c>
      <c r="EY121" s="73">
        <v>-3271</v>
      </c>
      <c r="EZ121" s="73">
        <v>33873</v>
      </c>
      <c r="FA121" s="73">
        <v>7727</v>
      </c>
      <c r="FB121" s="73">
        <v>499</v>
      </c>
      <c r="FC121" s="73">
        <v>0</v>
      </c>
      <c r="FD121" s="73">
        <v>0</v>
      </c>
      <c r="FE121" s="73">
        <v>-302</v>
      </c>
      <c r="FF121" s="73">
        <v>0</v>
      </c>
      <c r="FG121" s="73">
        <v>-578</v>
      </c>
      <c r="FH121" s="73">
        <v>7346</v>
      </c>
      <c r="FI121" s="73">
        <v>26527</v>
      </c>
      <c r="FJ121" s="73">
        <v>29476</v>
      </c>
      <c r="FK121" s="73">
        <v>148</v>
      </c>
      <c r="FL121" s="73">
        <v>35</v>
      </c>
      <c r="FM121" s="73">
        <v>113</v>
      </c>
      <c r="FN121" s="73">
        <v>26</v>
      </c>
      <c r="FO121" s="73">
        <v>20</v>
      </c>
      <c r="FP121" s="73">
        <v>6</v>
      </c>
      <c r="FQ121" s="73">
        <v>0</v>
      </c>
      <c r="FR121" s="73">
        <v>0</v>
      </c>
      <c r="FS121" s="73">
        <v>0</v>
      </c>
      <c r="FT121" s="73">
        <v>220</v>
      </c>
      <c r="FU121" s="73">
        <v>150</v>
      </c>
      <c r="FV121" s="73">
        <v>70</v>
      </c>
      <c r="FW121" s="73">
        <v>0</v>
      </c>
      <c r="FX121" s="73">
        <v>0</v>
      </c>
      <c r="FY121" s="73">
        <v>0</v>
      </c>
      <c r="FZ121" s="73">
        <v>0</v>
      </c>
      <c r="GA121" s="73">
        <v>0</v>
      </c>
      <c r="GB121" s="73">
        <v>0</v>
      </c>
      <c r="GC121" s="73">
        <v>394</v>
      </c>
      <c r="GD121" s="73">
        <v>205</v>
      </c>
      <c r="GE121" s="73">
        <v>189</v>
      </c>
      <c r="GF121" s="73">
        <v>120</v>
      </c>
      <c r="GG121" s="73">
        <v>0</v>
      </c>
      <c r="GH121" s="73">
        <v>0</v>
      </c>
      <c r="GI121" s="73">
        <v>0</v>
      </c>
      <c r="GJ121" s="73">
        <v>0</v>
      </c>
      <c r="GK121" s="73">
        <v>160</v>
      </c>
      <c r="GL121" s="73">
        <v>280</v>
      </c>
      <c r="GM121" s="73">
        <v>252</v>
      </c>
      <c r="GN121" s="73">
        <v>313</v>
      </c>
      <c r="GO121" s="73">
        <v>4170</v>
      </c>
      <c r="GP121" s="73">
        <v>450</v>
      </c>
      <c r="GQ121" s="73">
        <v>0</v>
      </c>
      <c r="GR121" s="73">
        <v>1202</v>
      </c>
      <c r="GS121" s="73">
        <v>0</v>
      </c>
      <c r="GT121" s="73">
        <v>0</v>
      </c>
      <c r="GU121" s="73">
        <v>0</v>
      </c>
      <c r="GV121" s="73">
        <v>0</v>
      </c>
      <c r="GW121" s="73">
        <v>0</v>
      </c>
      <c r="GX121" s="73">
        <v>6387</v>
      </c>
      <c r="GY121" s="73">
        <v>131</v>
      </c>
      <c r="GZ121" s="73">
        <v>0</v>
      </c>
      <c r="HA121" s="73">
        <v>0</v>
      </c>
      <c r="HB121" s="73">
        <v>0</v>
      </c>
      <c r="HC121" s="73">
        <v>131</v>
      </c>
      <c r="HD121" s="73">
        <v>0</v>
      </c>
      <c r="HE121" s="73">
        <v>2</v>
      </c>
      <c r="HF121" s="73">
        <v>2</v>
      </c>
      <c r="HG121" s="73">
        <v>270</v>
      </c>
      <c r="HH121" s="73">
        <v>0</v>
      </c>
      <c r="HI121" s="73">
        <v>53</v>
      </c>
      <c r="HJ121" s="73">
        <v>0</v>
      </c>
      <c r="HK121" s="73">
        <v>190</v>
      </c>
      <c r="HL121" s="73">
        <v>0</v>
      </c>
      <c r="HM121" s="73">
        <v>513</v>
      </c>
      <c r="HN121" s="73">
        <v>479</v>
      </c>
      <c r="HO121" s="73">
        <v>552</v>
      </c>
      <c r="HP121" s="73">
        <v>0</v>
      </c>
      <c r="HQ121" s="73">
        <v>4</v>
      </c>
      <c r="HR121" s="73">
        <v>-15</v>
      </c>
      <c r="HS121" s="73">
        <v>182</v>
      </c>
      <c r="HT121" s="73">
        <v>1284</v>
      </c>
      <c r="HU121" s="73">
        <v>0</v>
      </c>
      <c r="HV121" s="73">
        <v>0</v>
      </c>
      <c r="HW121" s="73">
        <v>-178</v>
      </c>
      <c r="HX121" s="73">
        <v>4</v>
      </c>
    </row>
    <row r="122" spans="1:232" x14ac:dyDescent="0.2">
      <c r="A122" s="74" t="s">
        <v>425</v>
      </c>
      <c r="B122" s="74" t="s">
        <v>426</v>
      </c>
      <c r="C122" s="75" t="s">
        <v>200</v>
      </c>
      <c r="D122" s="75">
        <v>12</v>
      </c>
      <c r="E122" s="76">
        <v>89713</v>
      </c>
      <c r="F122" s="76">
        <v>0</v>
      </c>
      <c r="G122" s="76">
        <v>-63169</v>
      </c>
      <c r="H122" s="76">
        <v>26544</v>
      </c>
      <c r="I122" s="76">
        <v>10611</v>
      </c>
      <c r="J122" s="76">
        <v>0</v>
      </c>
      <c r="K122" s="76">
        <v>0</v>
      </c>
      <c r="L122" s="76">
        <v>0</v>
      </c>
      <c r="M122" s="76">
        <v>28</v>
      </c>
      <c r="N122" s="76">
        <v>-20565</v>
      </c>
      <c r="O122" s="76">
        <v>0</v>
      </c>
      <c r="P122" s="76">
        <v>-8</v>
      </c>
      <c r="Q122" s="76">
        <v>0</v>
      </c>
      <c r="R122" s="76">
        <v>0</v>
      </c>
      <c r="S122" s="76">
        <v>16610</v>
      </c>
      <c r="T122" s="76">
        <v>-15</v>
      </c>
      <c r="U122" s="76">
        <v>16595</v>
      </c>
      <c r="V122" s="76">
        <v>0</v>
      </c>
      <c r="W122" s="76">
        <v>0</v>
      </c>
      <c r="X122" s="76">
        <v>0</v>
      </c>
      <c r="Y122" s="76">
        <v>0</v>
      </c>
      <c r="Z122" s="76">
        <v>16595</v>
      </c>
      <c r="AA122" s="76">
        <v>78313</v>
      </c>
      <c r="AB122" s="76">
        <v>4795</v>
      </c>
      <c r="AC122" s="76">
        <v>83108</v>
      </c>
      <c r="AD122" s="76">
        <v>3072</v>
      </c>
      <c r="AE122" s="76">
        <v>0</v>
      </c>
      <c r="AF122" s="76">
        <v>0</v>
      </c>
      <c r="AG122" s="76">
        <v>0</v>
      </c>
      <c r="AH122" s="76">
        <v>86180</v>
      </c>
      <c r="AI122" s="76">
        <v>10198</v>
      </c>
      <c r="AJ122" s="76">
        <v>5577</v>
      </c>
      <c r="AK122" s="76">
        <v>14777</v>
      </c>
      <c r="AL122" s="76">
        <v>11670</v>
      </c>
      <c r="AM122" s="76">
        <v>0</v>
      </c>
      <c r="AN122" s="76">
        <v>684</v>
      </c>
      <c r="AO122" s="76">
        <v>12378</v>
      </c>
      <c r="AP122" s="76">
        <v>0</v>
      </c>
      <c r="AQ122" s="76">
        <v>451</v>
      </c>
      <c r="AR122" s="76">
        <v>55735</v>
      </c>
      <c r="AS122" s="76">
        <v>30445</v>
      </c>
      <c r="AT122" s="76">
        <v>1639</v>
      </c>
      <c r="AU122" s="76">
        <v>844758</v>
      </c>
      <c r="AV122" s="76">
        <v>0</v>
      </c>
      <c r="AW122" s="76">
        <v>998</v>
      </c>
      <c r="AX122" s="76">
        <v>0</v>
      </c>
      <c r="AY122" s="76">
        <v>0</v>
      </c>
      <c r="AZ122" s="76">
        <v>0</v>
      </c>
      <c r="BA122" s="76">
        <v>0</v>
      </c>
      <c r="BB122" s="76">
        <v>0</v>
      </c>
      <c r="BC122" s="76">
        <v>0</v>
      </c>
      <c r="BD122" s="76">
        <v>783</v>
      </c>
      <c r="BE122" s="76">
        <v>846539</v>
      </c>
      <c r="BF122" s="76">
        <v>0</v>
      </c>
      <c r="BG122" s="76">
        <v>4231</v>
      </c>
      <c r="BH122" s="76">
        <v>2259</v>
      </c>
      <c r="BI122" s="76">
        <v>800</v>
      </c>
      <c r="BJ122" s="76">
        <v>37419</v>
      </c>
      <c r="BK122" s="76">
        <v>44709</v>
      </c>
      <c r="BL122" s="76">
        <v>28423</v>
      </c>
      <c r="BM122" s="76">
        <v>0</v>
      </c>
      <c r="BN122" s="76">
        <v>3072</v>
      </c>
      <c r="BO122" s="76">
        <v>51194</v>
      </c>
      <c r="BP122" s="76">
        <v>82689</v>
      </c>
      <c r="BQ122" s="76">
        <v>-37980</v>
      </c>
      <c r="BR122" s="76">
        <v>808559</v>
      </c>
      <c r="BS122" s="76">
        <v>24566</v>
      </c>
      <c r="BT122" s="76">
        <v>459972</v>
      </c>
      <c r="BU122" s="76">
        <v>0</v>
      </c>
      <c r="BV122" s="76">
        <v>230029</v>
      </c>
      <c r="BW122" s="76">
        <v>0</v>
      </c>
      <c r="BX122" s="76">
        <v>0</v>
      </c>
      <c r="BY122" s="76">
        <v>12574</v>
      </c>
      <c r="BZ122" s="76">
        <v>727141</v>
      </c>
      <c r="CA122" s="76">
        <v>0</v>
      </c>
      <c r="CB122" s="76">
        <v>1017</v>
      </c>
      <c r="CC122" s="76">
        <v>80401</v>
      </c>
      <c r="CD122" s="76">
        <v>80401</v>
      </c>
      <c r="CE122" s="76">
        <v>0</v>
      </c>
      <c r="CF122" s="76">
        <v>0</v>
      </c>
      <c r="CG122" s="76">
        <v>0</v>
      </c>
      <c r="CH122" s="76">
        <v>0</v>
      </c>
      <c r="CI122" s="76">
        <v>80401</v>
      </c>
      <c r="CJ122" s="76">
        <v>0</v>
      </c>
      <c r="CK122" s="76">
        <v>0</v>
      </c>
      <c r="CL122" s="76">
        <v>0</v>
      </c>
      <c r="CM122" s="76">
        <v>0</v>
      </c>
      <c r="CN122" s="76">
        <v>601</v>
      </c>
      <c r="CO122" s="76">
        <v>0</v>
      </c>
      <c r="CP122" s="76">
        <v>1540</v>
      </c>
      <c r="CQ122" s="76">
        <v>-939</v>
      </c>
      <c r="CR122" s="76">
        <v>0</v>
      </c>
      <c r="CS122" s="76">
        <v>0</v>
      </c>
      <c r="CT122" s="76">
        <v>0</v>
      </c>
      <c r="CU122" s="76">
        <v>0</v>
      </c>
      <c r="CV122" s="76">
        <v>0</v>
      </c>
      <c r="CW122" s="76">
        <v>0</v>
      </c>
      <c r="CX122" s="76">
        <v>0</v>
      </c>
      <c r="CY122" s="76">
        <v>0</v>
      </c>
      <c r="CZ122" s="76">
        <v>2494</v>
      </c>
      <c r="DA122" s="76">
        <v>0</v>
      </c>
      <c r="DB122" s="76">
        <v>5396</v>
      </c>
      <c r="DC122" s="76">
        <v>-2902</v>
      </c>
      <c r="DD122" s="76">
        <v>3095</v>
      </c>
      <c r="DE122" s="76">
        <v>0</v>
      </c>
      <c r="DF122" s="76">
        <v>6936</v>
      </c>
      <c r="DG122" s="76">
        <v>-3841</v>
      </c>
      <c r="DH122" s="76">
        <v>0</v>
      </c>
      <c r="DI122" s="76">
        <v>0</v>
      </c>
      <c r="DJ122" s="76">
        <v>0</v>
      </c>
      <c r="DK122" s="76">
        <v>0</v>
      </c>
      <c r="DL122" s="76">
        <v>0</v>
      </c>
      <c r="DM122" s="76">
        <v>0</v>
      </c>
      <c r="DN122" s="76">
        <v>0</v>
      </c>
      <c r="DO122" s="76">
        <v>0</v>
      </c>
      <c r="DP122" s="76">
        <v>0</v>
      </c>
      <c r="DQ122" s="76">
        <v>0</v>
      </c>
      <c r="DR122" s="76">
        <v>0</v>
      </c>
      <c r="DS122" s="76">
        <v>0</v>
      </c>
      <c r="DT122" s="76">
        <v>144</v>
      </c>
      <c r="DU122" s="76">
        <v>0</v>
      </c>
      <c r="DV122" s="76">
        <v>28</v>
      </c>
      <c r="DW122" s="76">
        <v>116</v>
      </c>
      <c r="DX122" s="76">
        <v>0</v>
      </c>
      <c r="DY122" s="76">
        <v>0</v>
      </c>
      <c r="DZ122" s="76">
        <v>0</v>
      </c>
      <c r="EA122" s="76">
        <v>0</v>
      </c>
      <c r="EB122" s="76">
        <v>295</v>
      </c>
      <c r="EC122" s="76">
        <v>0</v>
      </c>
      <c r="ED122" s="76">
        <v>470</v>
      </c>
      <c r="EE122" s="76">
        <v>-175</v>
      </c>
      <c r="EF122" s="76">
        <v>439</v>
      </c>
      <c r="EG122" s="76">
        <v>0</v>
      </c>
      <c r="EH122" s="76">
        <v>498</v>
      </c>
      <c r="EI122" s="76">
        <v>-59</v>
      </c>
      <c r="EJ122" s="76">
        <v>3534</v>
      </c>
      <c r="EK122" s="76">
        <v>0</v>
      </c>
      <c r="EL122" s="76">
        <v>7434</v>
      </c>
      <c r="EM122" s="76">
        <v>-3900</v>
      </c>
      <c r="EN122" s="76">
        <v>2823</v>
      </c>
      <c r="EO122" s="76">
        <v>1104</v>
      </c>
      <c r="EP122" s="76">
        <v>198</v>
      </c>
      <c r="EQ122" s="76">
        <v>1056</v>
      </c>
      <c r="ER122" s="76">
        <v>874137</v>
      </c>
      <c r="ES122" s="76">
        <v>0</v>
      </c>
      <c r="ET122" s="76">
        <v>874137</v>
      </c>
      <c r="EU122" s="76">
        <v>87002</v>
      </c>
      <c r="EV122" s="76">
        <v>-4780</v>
      </c>
      <c r="EW122" s="76">
        <v>0</v>
      </c>
      <c r="EX122" s="76">
        <v>-917</v>
      </c>
      <c r="EY122" s="76">
        <v>0</v>
      </c>
      <c r="EZ122" s="76">
        <v>955442</v>
      </c>
      <c r="FA122" s="76">
        <v>100627</v>
      </c>
      <c r="FB122" s="76">
        <v>11837</v>
      </c>
      <c r="FC122" s="76">
        <v>0</v>
      </c>
      <c r="FD122" s="76">
        <v>0</v>
      </c>
      <c r="FE122" s="76">
        <v>-1780</v>
      </c>
      <c r="FF122" s="76">
        <v>0</v>
      </c>
      <c r="FG122" s="76">
        <v>0</v>
      </c>
      <c r="FH122" s="76">
        <v>110684</v>
      </c>
      <c r="FI122" s="76">
        <v>844758</v>
      </c>
      <c r="FJ122" s="76">
        <v>773510</v>
      </c>
      <c r="FK122" s="76">
        <v>50</v>
      </c>
      <c r="FL122" s="76">
        <v>56</v>
      </c>
      <c r="FM122" s="76">
        <v>-6</v>
      </c>
      <c r="FN122" s="76">
        <v>1810</v>
      </c>
      <c r="FO122" s="76">
        <v>1277</v>
      </c>
      <c r="FP122" s="76">
        <v>533</v>
      </c>
      <c r="FQ122" s="76">
        <v>0</v>
      </c>
      <c r="FR122" s="76">
        <v>0</v>
      </c>
      <c r="FS122" s="76">
        <v>0</v>
      </c>
      <c r="FT122" s="76">
        <v>12935</v>
      </c>
      <c r="FU122" s="76">
        <v>2851</v>
      </c>
      <c r="FV122" s="76">
        <v>10084</v>
      </c>
      <c r="FW122" s="76">
        <v>0</v>
      </c>
      <c r="FX122" s="76">
        <v>0</v>
      </c>
      <c r="FY122" s="76">
        <v>0</v>
      </c>
      <c r="FZ122" s="76">
        <v>0</v>
      </c>
      <c r="GA122" s="76">
        <v>0</v>
      </c>
      <c r="GB122" s="76">
        <v>0</v>
      </c>
      <c r="GC122" s="76">
        <v>14795</v>
      </c>
      <c r="GD122" s="76">
        <v>4184</v>
      </c>
      <c r="GE122" s="76">
        <v>10611</v>
      </c>
      <c r="GF122" s="76">
        <v>34632</v>
      </c>
      <c r="GG122" s="76">
        <v>0</v>
      </c>
      <c r="GH122" s="76">
        <v>1819</v>
      </c>
      <c r="GI122" s="76">
        <v>0</v>
      </c>
      <c r="GJ122" s="76">
        <v>0</v>
      </c>
      <c r="GK122" s="76">
        <v>968</v>
      </c>
      <c r="GL122" s="76">
        <v>37419</v>
      </c>
      <c r="GM122" s="76">
        <v>0</v>
      </c>
      <c r="GN122" s="76">
        <v>1770</v>
      </c>
      <c r="GO122" s="76">
        <v>38883</v>
      </c>
      <c r="GP122" s="76">
        <v>2069</v>
      </c>
      <c r="GQ122" s="76">
        <v>804</v>
      </c>
      <c r="GR122" s="76">
        <v>4914</v>
      </c>
      <c r="GS122" s="76">
        <v>0</v>
      </c>
      <c r="GT122" s="76">
        <v>0</v>
      </c>
      <c r="GU122" s="76">
        <v>0</v>
      </c>
      <c r="GV122" s="76">
        <v>0</v>
      </c>
      <c r="GW122" s="76">
        <v>2754</v>
      </c>
      <c r="GX122" s="76">
        <v>51194</v>
      </c>
      <c r="GY122" s="76">
        <v>1995</v>
      </c>
      <c r="GZ122" s="76">
        <v>183</v>
      </c>
      <c r="HA122" s="76">
        <v>0</v>
      </c>
      <c r="HB122" s="76">
        <v>10396</v>
      </c>
      <c r="HC122" s="76">
        <v>12574</v>
      </c>
      <c r="HD122" s="76">
        <v>0</v>
      </c>
      <c r="HE122" s="76">
        <v>1017</v>
      </c>
      <c r="HF122" s="76">
        <v>1017</v>
      </c>
      <c r="HG122" s="76">
        <v>21459</v>
      </c>
      <c r="HH122" s="76">
        <v>-104</v>
      </c>
      <c r="HI122" s="76">
        <v>0</v>
      </c>
      <c r="HJ122" s="76">
        <v>0</v>
      </c>
      <c r="HK122" s="76">
        <v>0</v>
      </c>
      <c r="HL122" s="76">
        <v>-790</v>
      </c>
      <c r="HM122" s="76">
        <v>20565</v>
      </c>
      <c r="HN122" s="76">
        <v>8500</v>
      </c>
      <c r="HO122" s="76">
        <v>12570</v>
      </c>
      <c r="HP122" s="76">
        <v>355</v>
      </c>
      <c r="HQ122" s="76">
        <v>612</v>
      </c>
      <c r="HR122" s="76">
        <v>-122</v>
      </c>
      <c r="HS122" s="76">
        <v>0</v>
      </c>
      <c r="HT122" s="76">
        <v>16999</v>
      </c>
      <c r="HU122" s="76">
        <v>0</v>
      </c>
      <c r="HV122" s="76">
        <v>0</v>
      </c>
      <c r="HW122" s="76">
        <v>1</v>
      </c>
      <c r="HX122" s="76">
        <v>31</v>
      </c>
    </row>
    <row r="123" spans="1:232" x14ac:dyDescent="0.2">
      <c r="A123" s="74" t="s">
        <v>427</v>
      </c>
      <c r="B123" s="74" t="s">
        <v>428</v>
      </c>
      <c r="C123" s="75" t="s">
        <v>200</v>
      </c>
      <c r="D123" s="75">
        <v>12</v>
      </c>
      <c r="E123" s="76">
        <v>67747</v>
      </c>
      <c r="F123" s="76">
        <v>-2919</v>
      </c>
      <c r="G123" s="76">
        <v>-37489</v>
      </c>
      <c r="H123" s="76">
        <v>27339</v>
      </c>
      <c r="I123" s="76">
        <v>822</v>
      </c>
      <c r="J123" s="76">
        <v>0</v>
      </c>
      <c r="K123" s="76">
        <v>-525</v>
      </c>
      <c r="L123" s="76">
        <v>0</v>
      </c>
      <c r="M123" s="76">
        <v>112</v>
      </c>
      <c r="N123" s="76">
        <v>-6159</v>
      </c>
      <c r="O123" s="76">
        <v>0</v>
      </c>
      <c r="P123" s="76">
        <v>8</v>
      </c>
      <c r="Q123" s="76">
        <v>0</v>
      </c>
      <c r="R123" s="76">
        <v>0</v>
      </c>
      <c r="S123" s="76">
        <v>21597</v>
      </c>
      <c r="T123" s="76">
        <v>0</v>
      </c>
      <c r="U123" s="76">
        <v>21597</v>
      </c>
      <c r="V123" s="76">
        <v>0</v>
      </c>
      <c r="W123" s="76">
        <v>-11752</v>
      </c>
      <c r="X123" s="76">
        <v>0</v>
      </c>
      <c r="Y123" s="76">
        <v>0</v>
      </c>
      <c r="Z123" s="76">
        <v>9845</v>
      </c>
      <c r="AA123" s="76">
        <v>60518</v>
      </c>
      <c r="AB123" s="76">
        <v>1778</v>
      </c>
      <c r="AC123" s="76">
        <v>62296</v>
      </c>
      <c r="AD123" s="76">
        <v>204</v>
      </c>
      <c r="AE123" s="76">
        <v>0</v>
      </c>
      <c r="AF123" s="76">
        <v>0</v>
      </c>
      <c r="AG123" s="76">
        <v>672</v>
      </c>
      <c r="AH123" s="76">
        <v>63172</v>
      </c>
      <c r="AI123" s="76">
        <v>12767</v>
      </c>
      <c r="AJ123" s="76">
        <v>1557</v>
      </c>
      <c r="AK123" s="76">
        <v>4781</v>
      </c>
      <c r="AL123" s="76">
        <v>4301</v>
      </c>
      <c r="AM123" s="76">
        <v>3520</v>
      </c>
      <c r="AN123" s="76">
        <v>638</v>
      </c>
      <c r="AO123" s="76">
        <v>6953</v>
      </c>
      <c r="AP123" s="76">
        <v>0</v>
      </c>
      <c r="AQ123" s="76">
        <v>1991</v>
      </c>
      <c r="AR123" s="76">
        <v>36508</v>
      </c>
      <c r="AS123" s="76">
        <v>26664</v>
      </c>
      <c r="AT123" s="76">
        <v>1191</v>
      </c>
      <c r="AU123" s="76">
        <v>212773</v>
      </c>
      <c r="AV123" s="76">
        <v>0</v>
      </c>
      <c r="AW123" s="76">
        <v>6188</v>
      </c>
      <c r="AX123" s="76">
        <v>0</v>
      </c>
      <c r="AY123" s="76">
        <v>389</v>
      </c>
      <c r="AZ123" s="76">
        <v>1700</v>
      </c>
      <c r="BA123" s="76">
        <v>0</v>
      </c>
      <c r="BB123" s="76">
        <v>0</v>
      </c>
      <c r="BC123" s="76">
        <v>1250</v>
      </c>
      <c r="BD123" s="76">
        <v>0</v>
      </c>
      <c r="BE123" s="76">
        <v>222300</v>
      </c>
      <c r="BF123" s="76">
        <v>4053</v>
      </c>
      <c r="BG123" s="76">
        <v>3807</v>
      </c>
      <c r="BH123" s="76">
        <v>25423</v>
      </c>
      <c r="BI123" s="76">
        <v>49</v>
      </c>
      <c r="BJ123" s="76">
        <v>1099</v>
      </c>
      <c r="BK123" s="76">
        <v>34431</v>
      </c>
      <c r="BL123" s="76">
        <v>13353</v>
      </c>
      <c r="BM123" s="76">
        <v>0</v>
      </c>
      <c r="BN123" s="76">
        <v>203</v>
      </c>
      <c r="BO123" s="76">
        <v>8318</v>
      </c>
      <c r="BP123" s="76">
        <v>21874</v>
      </c>
      <c r="BQ123" s="76">
        <v>12557</v>
      </c>
      <c r="BR123" s="76">
        <v>234857</v>
      </c>
      <c r="BS123" s="76">
        <v>87408</v>
      </c>
      <c r="BT123" s="76">
        <v>0</v>
      </c>
      <c r="BU123" s="76">
        <v>0</v>
      </c>
      <c r="BV123" s="76">
        <v>21296</v>
      </c>
      <c r="BW123" s="76">
        <v>0</v>
      </c>
      <c r="BX123" s="76">
        <v>0</v>
      </c>
      <c r="BY123" s="76">
        <v>2190</v>
      </c>
      <c r="BZ123" s="76">
        <v>110894</v>
      </c>
      <c r="CA123" s="76">
        <v>26659</v>
      </c>
      <c r="CB123" s="76">
        <v>0</v>
      </c>
      <c r="CC123" s="76">
        <v>97304</v>
      </c>
      <c r="CD123" s="76">
        <v>95604</v>
      </c>
      <c r="CE123" s="76">
        <v>1700</v>
      </c>
      <c r="CF123" s="76">
        <v>0</v>
      </c>
      <c r="CG123" s="76">
        <v>0</v>
      </c>
      <c r="CH123" s="76">
        <v>0</v>
      </c>
      <c r="CI123" s="76">
        <v>97304</v>
      </c>
      <c r="CJ123" s="76">
        <v>3255</v>
      </c>
      <c r="CK123" s="76">
        <v>2919</v>
      </c>
      <c r="CL123" s="76">
        <v>0</v>
      </c>
      <c r="CM123" s="76">
        <v>336</v>
      </c>
      <c r="CN123" s="76">
        <v>341</v>
      </c>
      <c r="CO123" s="76">
        <v>0</v>
      </c>
      <c r="CP123" s="76">
        <v>309</v>
      </c>
      <c r="CQ123" s="76">
        <v>32</v>
      </c>
      <c r="CR123" s="76">
        <v>0</v>
      </c>
      <c r="CS123" s="76">
        <v>0</v>
      </c>
      <c r="CT123" s="76">
        <v>0</v>
      </c>
      <c r="CU123" s="76">
        <v>0</v>
      </c>
      <c r="CV123" s="76">
        <v>460</v>
      </c>
      <c r="CW123" s="76">
        <v>0</v>
      </c>
      <c r="CX123" s="76">
        <v>375</v>
      </c>
      <c r="CY123" s="76">
        <v>85</v>
      </c>
      <c r="CZ123" s="76">
        <v>0</v>
      </c>
      <c r="DA123" s="76">
        <v>0</v>
      </c>
      <c r="DB123" s="76">
        <v>0</v>
      </c>
      <c r="DC123" s="76">
        <v>0</v>
      </c>
      <c r="DD123" s="76">
        <v>4056</v>
      </c>
      <c r="DE123" s="76">
        <v>2919</v>
      </c>
      <c r="DF123" s="76">
        <v>684</v>
      </c>
      <c r="DG123" s="76">
        <v>453</v>
      </c>
      <c r="DH123" s="76">
        <v>0</v>
      </c>
      <c r="DI123" s="76">
        <v>0</v>
      </c>
      <c r="DJ123" s="76">
        <v>0</v>
      </c>
      <c r="DK123" s="76">
        <v>0</v>
      </c>
      <c r="DL123" s="76">
        <v>0</v>
      </c>
      <c r="DM123" s="76">
        <v>0</v>
      </c>
      <c r="DN123" s="76">
        <v>0</v>
      </c>
      <c r="DO123" s="76">
        <v>0</v>
      </c>
      <c r="DP123" s="76">
        <v>0</v>
      </c>
      <c r="DQ123" s="76">
        <v>0</v>
      </c>
      <c r="DR123" s="76">
        <v>0</v>
      </c>
      <c r="DS123" s="76">
        <v>0</v>
      </c>
      <c r="DT123" s="76">
        <v>0</v>
      </c>
      <c r="DU123" s="76">
        <v>0</v>
      </c>
      <c r="DV123" s="76">
        <v>0</v>
      </c>
      <c r="DW123" s="76">
        <v>0</v>
      </c>
      <c r="DX123" s="76">
        <v>0</v>
      </c>
      <c r="DY123" s="76">
        <v>0</v>
      </c>
      <c r="DZ123" s="76">
        <v>0</v>
      </c>
      <c r="EA123" s="76">
        <v>0</v>
      </c>
      <c r="EB123" s="76">
        <v>519</v>
      </c>
      <c r="EC123" s="76">
        <v>0</v>
      </c>
      <c r="ED123" s="76">
        <v>297</v>
      </c>
      <c r="EE123" s="76">
        <v>222</v>
      </c>
      <c r="EF123" s="76">
        <v>519</v>
      </c>
      <c r="EG123" s="76">
        <v>0</v>
      </c>
      <c r="EH123" s="76">
        <v>297</v>
      </c>
      <c r="EI123" s="76">
        <v>222</v>
      </c>
      <c r="EJ123" s="76">
        <v>4575</v>
      </c>
      <c r="EK123" s="76">
        <v>2919</v>
      </c>
      <c r="EL123" s="76">
        <v>981</v>
      </c>
      <c r="EM123" s="76">
        <v>675</v>
      </c>
      <c r="EN123" s="76">
        <v>2846</v>
      </c>
      <c r="EO123" s="76">
        <v>816</v>
      </c>
      <c r="EP123" s="76">
        <v>1961</v>
      </c>
      <c r="EQ123" s="76">
        <v>816</v>
      </c>
      <c r="ER123" s="76">
        <v>259760</v>
      </c>
      <c r="ES123" s="76">
        <v>0</v>
      </c>
      <c r="ET123" s="76">
        <v>259760</v>
      </c>
      <c r="EU123" s="76">
        <v>16497</v>
      </c>
      <c r="EV123" s="76">
        <v>-1886</v>
      </c>
      <c r="EW123" s="76">
        <v>0</v>
      </c>
      <c r="EX123" s="76">
        <v>0</v>
      </c>
      <c r="EY123" s="76">
        <v>-554</v>
      </c>
      <c r="EZ123" s="76">
        <v>273817</v>
      </c>
      <c r="FA123" s="76">
        <v>54749</v>
      </c>
      <c r="FB123" s="76">
        <v>6952</v>
      </c>
      <c r="FC123" s="76">
        <v>0</v>
      </c>
      <c r="FD123" s="76">
        <v>0</v>
      </c>
      <c r="FE123" s="76">
        <v>-657</v>
      </c>
      <c r="FF123" s="76">
        <v>0</v>
      </c>
      <c r="FG123" s="76">
        <v>0</v>
      </c>
      <c r="FH123" s="76">
        <v>61044</v>
      </c>
      <c r="FI123" s="76">
        <v>212773</v>
      </c>
      <c r="FJ123" s="76">
        <v>205011</v>
      </c>
      <c r="FK123" s="76">
        <v>260</v>
      </c>
      <c r="FL123" s="76">
        <v>270</v>
      </c>
      <c r="FM123" s="76">
        <v>-10</v>
      </c>
      <c r="FN123" s="76">
        <v>1271</v>
      </c>
      <c r="FO123" s="76">
        <v>549</v>
      </c>
      <c r="FP123" s="76">
        <v>722</v>
      </c>
      <c r="FQ123" s="76">
        <v>1020</v>
      </c>
      <c r="FR123" s="76">
        <v>1062</v>
      </c>
      <c r="FS123" s="76">
        <v>-42</v>
      </c>
      <c r="FT123" s="76">
        <v>772</v>
      </c>
      <c r="FU123" s="76">
        <v>620</v>
      </c>
      <c r="FV123" s="76">
        <v>152</v>
      </c>
      <c r="FW123" s="76">
        <v>0</v>
      </c>
      <c r="FX123" s="76">
        <v>0</v>
      </c>
      <c r="FY123" s="76">
        <v>0</v>
      </c>
      <c r="FZ123" s="76">
        <v>0</v>
      </c>
      <c r="GA123" s="76">
        <v>0</v>
      </c>
      <c r="GB123" s="76">
        <v>0</v>
      </c>
      <c r="GC123" s="76">
        <v>3323</v>
      </c>
      <c r="GD123" s="76">
        <v>2501</v>
      </c>
      <c r="GE123" s="76">
        <v>822</v>
      </c>
      <c r="GF123" s="76">
        <v>864</v>
      </c>
      <c r="GG123" s="76">
        <v>0</v>
      </c>
      <c r="GH123" s="76">
        <v>0</v>
      </c>
      <c r="GI123" s="76">
        <v>0</v>
      </c>
      <c r="GJ123" s="76">
        <v>0</v>
      </c>
      <c r="GK123" s="76">
        <v>235</v>
      </c>
      <c r="GL123" s="76">
        <v>1099</v>
      </c>
      <c r="GM123" s="76">
        <v>1317</v>
      </c>
      <c r="GN123" s="76">
        <v>764</v>
      </c>
      <c r="GO123" s="76">
        <v>779</v>
      </c>
      <c r="GP123" s="76">
        <v>0</v>
      </c>
      <c r="GQ123" s="76">
        <v>0</v>
      </c>
      <c r="GR123" s="76">
        <v>5458</v>
      </c>
      <c r="GS123" s="76">
        <v>0</v>
      </c>
      <c r="GT123" s="76">
        <v>0</v>
      </c>
      <c r="GU123" s="76">
        <v>0</v>
      </c>
      <c r="GV123" s="76">
        <v>0</v>
      </c>
      <c r="GW123" s="76">
        <v>0</v>
      </c>
      <c r="GX123" s="76">
        <v>8318</v>
      </c>
      <c r="GY123" s="76">
        <v>10</v>
      </c>
      <c r="GZ123" s="76">
        <v>1770</v>
      </c>
      <c r="HA123" s="76">
        <v>0</v>
      </c>
      <c r="HB123" s="76">
        <v>410</v>
      </c>
      <c r="HC123" s="76">
        <v>2190</v>
      </c>
      <c r="HD123" s="76">
        <v>0</v>
      </c>
      <c r="HE123" s="76">
        <v>0</v>
      </c>
      <c r="HF123" s="76">
        <v>0</v>
      </c>
      <c r="HG123" s="76">
        <v>5784</v>
      </c>
      <c r="HH123" s="76">
        <v>39</v>
      </c>
      <c r="HI123" s="76">
        <v>0</v>
      </c>
      <c r="HJ123" s="76">
        <v>4</v>
      </c>
      <c r="HK123" s="76">
        <v>332</v>
      </c>
      <c r="HL123" s="76">
        <v>0</v>
      </c>
      <c r="HM123" s="76">
        <v>6159</v>
      </c>
      <c r="HN123" s="76">
        <v>3739</v>
      </c>
      <c r="HO123" s="76">
        <v>7551</v>
      </c>
      <c r="HP123" s="76">
        <v>0</v>
      </c>
      <c r="HQ123" s="76">
        <v>97</v>
      </c>
      <c r="HR123" s="76">
        <v>-82</v>
      </c>
      <c r="HS123" s="76">
        <v>0</v>
      </c>
      <c r="HT123" s="76">
        <v>13158</v>
      </c>
      <c r="HU123" s="76">
        <v>0</v>
      </c>
      <c r="HV123" s="76">
        <v>0</v>
      </c>
      <c r="HW123" s="76">
        <v>0</v>
      </c>
      <c r="HX123" s="76">
        <v>0</v>
      </c>
    </row>
    <row r="124" spans="1:232" x14ac:dyDescent="0.2">
      <c r="A124" s="71" t="s">
        <v>429</v>
      </c>
      <c r="B124" s="71" t="s">
        <v>430</v>
      </c>
      <c r="C124" s="72" t="s">
        <v>200</v>
      </c>
      <c r="D124" s="72">
        <v>12</v>
      </c>
      <c r="E124" s="73">
        <v>28970</v>
      </c>
      <c r="F124" s="73">
        <v>-384</v>
      </c>
      <c r="G124" s="73">
        <v>-17506</v>
      </c>
      <c r="H124" s="73">
        <v>11080</v>
      </c>
      <c r="I124" s="73">
        <v>1346</v>
      </c>
      <c r="J124" s="73">
        <v>0</v>
      </c>
      <c r="K124" s="73">
        <v>0</v>
      </c>
      <c r="L124" s="73">
        <v>0</v>
      </c>
      <c r="M124" s="73">
        <v>33</v>
      </c>
      <c r="N124" s="73">
        <v>-3771</v>
      </c>
      <c r="O124" s="73">
        <v>0</v>
      </c>
      <c r="P124" s="73">
        <v>0</v>
      </c>
      <c r="Q124" s="73">
        <v>0</v>
      </c>
      <c r="R124" s="73">
        <v>0</v>
      </c>
      <c r="S124" s="73">
        <v>8688</v>
      </c>
      <c r="T124" s="73">
        <v>-120</v>
      </c>
      <c r="U124" s="73">
        <v>8568</v>
      </c>
      <c r="V124" s="73">
        <v>0</v>
      </c>
      <c r="W124" s="73">
        <v>-1041</v>
      </c>
      <c r="X124" s="73">
        <v>0</v>
      </c>
      <c r="Y124" s="73">
        <v>0</v>
      </c>
      <c r="Z124" s="73">
        <v>7527</v>
      </c>
      <c r="AA124" s="73">
        <v>24011</v>
      </c>
      <c r="AB124" s="73">
        <v>765</v>
      </c>
      <c r="AC124" s="73">
        <v>24776</v>
      </c>
      <c r="AD124" s="73">
        <v>94</v>
      </c>
      <c r="AE124" s="73">
        <v>0</v>
      </c>
      <c r="AF124" s="73">
        <v>69</v>
      </c>
      <c r="AG124" s="73">
        <v>0</v>
      </c>
      <c r="AH124" s="73">
        <v>24939</v>
      </c>
      <c r="AI124" s="73">
        <v>5328</v>
      </c>
      <c r="AJ124" s="73">
        <v>814</v>
      </c>
      <c r="AK124" s="73">
        <v>3808</v>
      </c>
      <c r="AL124" s="73">
        <v>104</v>
      </c>
      <c r="AM124" s="73">
        <v>0</v>
      </c>
      <c r="AN124" s="73">
        <v>83</v>
      </c>
      <c r="AO124" s="73">
        <v>3981</v>
      </c>
      <c r="AP124" s="73">
        <v>0</v>
      </c>
      <c r="AQ124" s="73">
        <v>198</v>
      </c>
      <c r="AR124" s="73">
        <v>14316</v>
      </c>
      <c r="AS124" s="73">
        <v>10623</v>
      </c>
      <c r="AT124" s="73">
        <v>137</v>
      </c>
      <c r="AU124" s="73">
        <v>114772</v>
      </c>
      <c r="AV124" s="73">
        <v>0</v>
      </c>
      <c r="AW124" s="73">
        <v>5164</v>
      </c>
      <c r="AX124" s="73">
        <v>0</v>
      </c>
      <c r="AY124" s="73">
        <v>0</v>
      </c>
      <c r="AZ124" s="73">
        <v>0</v>
      </c>
      <c r="BA124" s="73">
        <v>0</v>
      </c>
      <c r="BB124" s="73">
        <v>0</v>
      </c>
      <c r="BC124" s="73">
        <v>0</v>
      </c>
      <c r="BD124" s="73">
        <v>13</v>
      </c>
      <c r="BE124" s="73">
        <v>119949</v>
      </c>
      <c r="BF124" s="73">
        <v>2535</v>
      </c>
      <c r="BG124" s="73">
        <v>534</v>
      </c>
      <c r="BH124" s="73">
        <v>839</v>
      </c>
      <c r="BI124" s="73">
        <v>691</v>
      </c>
      <c r="BJ124" s="73">
        <v>18522</v>
      </c>
      <c r="BK124" s="73">
        <v>23121</v>
      </c>
      <c r="BL124" s="73">
        <v>0</v>
      </c>
      <c r="BM124" s="73">
        <v>0</v>
      </c>
      <c r="BN124" s="73">
        <v>94</v>
      </c>
      <c r="BO124" s="73">
        <v>5068</v>
      </c>
      <c r="BP124" s="73">
        <v>5162</v>
      </c>
      <c r="BQ124" s="73">
        <v>17959</v>
      </c>
      <c r="BR124" s="73">
        <v>137908</v>
      </c>
      <c r="BS124" s="73">
        <v>89177</v>
      </c>
      <c r="BT124" s="73">
        <v>0</v>
      </c>
      <c r="BU124" s="73">
        <v>0</v>
      </c>
      <c r="BV124" s="73">
        <v>8266</v>
      </c>
      <c r="BW124" s="73">
        <v>0</v>
      </c>
      <c r="BX124" s="73">
        <v>0</v>
      </c>
      <c r="BY124" s="73">
        <v>210</v>
      </c>
      <c r="BZ124" s="73">
        <v>97653</v>
      </c>
      <c r="CA124" s="73">
        <v>8577</v>
      </c>
      <c r="CB124" s="73">
        <v>89</v>
      </c>
      <c r="CC124" s="73">
        <v>31589</v>
      </c>
      <c r="CD124" s="73">
        <v>31589</v>
      </c>
      <c r="CE124" s="73">
        <v>0</v>
      </c>
      <c r="CF124" s="73">
        <v>0</v>
      </c>
      <c r="CG124" s="73">
        <v>0</v>
      </c>
      <c r="CH124" s="73">
        <v>0</v>
      </c>
      <c r="CI124" s="73">
        <v>31589</v>
      </c>
      <c r="CJ124" s="73">
        <v>423</v>
      </c>
      <c r="CK124" s="73">
        <v>384</v>
      </c>
      <c r="CL124" s="73">
        <v>0</v>
      </c>
      <c r="CM124" s="73">
        <v>39</v>
      </c>
      <c r="CN124" s="73">
        <v>286</v>
      </c>
      <c r="CO124" s="73">
        <v>0</v>
      </c>
      <c r="CP124" s="73">
        <v>404</v>
      </c>
      <c r="CQ124" s="73">
        <v>-118</v>
      </c>
      <c r="CR124" s="73">
        <v>153</v>
      </c>
      <c r="CS124" s="73">
        <v>0</v>
      </c>
      <c r="CT124" s="73">
        <v>146</v>
      </c>
      <c r="CU124" s="73">
        <v>7</v>
      </c>
      <c r="CV124" s="73">
        <v>0</v>
      </c>
      <c r="CW124" s="73">
        <v>0</v>
      </c>
      <c r="CX124" s="73">
        <v>0</v>
      </c>
      <c r="CY124" s="73">
        <v>0</v>
      </c>
      <c r="CZ124" s="73">
        <v>0</v>
      </c>
      <c r="DA124" s="73">
        <v>0</v>
      </c>
      <c r="DB124" s="73">
        <v>0</v>
      </c>
      <c r="DC124" s="73">
        <v>0</v>
      </c>
      <c r="DD124" s="73">
        <v>862</v>
      </c>
      <c r="DE124" s="73">
        <v>384</v>
      </c>
      <c r="DF124" s="73">
        <v>550</v>
      </c>
      <c r="DG124" s="73">
        <v>-72</v>
      </c>
      <c r="DH124" s="73">
        <v>0</v>
      </c>
      <c r="DI124" s="73">
        <v>0</v>
      </c>
      <c r="DJ124" s="73">
        <v>0</v>
      </c>
      <c r="DK124" s="73">
        <v>0</v>
      </c>
      <c r="DL124" s="73">
        <v>0</v>
      </c>
      <c r="DM124" s="73">
        <v>0</v>
      </c>
      <c r="DN124" s="73">
        <v>0</v>
      </c>
      <c r="DO124" s="73">
        <v>0</v>
      </c>
      <c r="DP124" s="73">
        <v>0</v>
      </c>
      <c r="DQ124" s="73">
        <v>0</v>
      </c>
      <c r="DR124" s="73">
        <v>0</v>
      </c>
      <c r="DS124" s="73">
        <v>0</v>
      </c>
      <c r="DT124" s="73">
        <v>49</v>
      </c>
      <c r="DU124" s="73">
        <v>0</v>
      </c>
      <c r="DV124" s="73">
        <v>48</v>
      </c>
      <c r="DW124" s="73">
        <v>1</v>
      </c>
      <c r="DX124" s="73">
        <v>0</v>
      </c>
      <c r="DY124" s="73">
        <v>0</v>
      </c>
      <c r="DZ124" s="73">
        <v>0</v>
      </c>
      <c r="EA124" s="73">
        <v>0</v>
      </c>
      <c r="EB124" s="73">
        <v>3120</v>
      </c>
      <c r="EC124" s="73">
        <v>0</v>
      </c>
      <c r="ED124" s="73">
        <v>2592</v>
      </c>
      <c r="EE124" s="73">
        <v>528</v>
      </c>
      <c r="EF124" s="73">
        <v>3169</v>
      </c>
      <c r="EG124" s="73">
        <v>0</v>
      </c>
      <c r="EH124" s="73">
        <v>2640</v>
      </c>
      <c r="EI124" s="73">
        <v>529</v>
      </c>
      <c r="EJ124" s="73">
        <v>4031</v>
      </c>
      <c r="EK124" s="73">
        <v>384</v>
      </c>
      <c r="EL124" s="73">
        <v>3190</v>
      </c>
      <c r="EM124" s="73">
        <v>457</v>
      </c>
      <c r="EN124" s="73">
        <v>259</v>
      </c>
      <c r="EO124" s="73">
        <v>115</v>
      </c>
      <c r="EP124" s="73">
        <v>57</v>
      </c>
      <c r="EQ124" s="73">
        <v>115</v>
      </c>
      <c r="ER124" s="73">
        <v>127872</v>
      </c>
      <c r="ES124" s="73">
        <v>0</v>
      </c>
      <c r="ET124" s="73">
        <v>127872</v>
      </c>
      <c r="EU124" s="73">
        <v>16264</v>
      </c>
      <c r="EV124" s="73">
        <v>-1198</v>
      </c>
      <c r="EW124" s="73">
        <v>0</v>
      </c>
      <c r="EX124" s="73">
        <v>0</v>
      </c>
      <c r="EY124" s="73">
        <v>-1035</v>
      </c>
      <c r="EZ124" s="73">
        <v>141903</v>
      </c>
      <c r="FA124" s="73">
        <v>24111</v>
      </c>
      <c r="FB124" s="73">
        <v>3981</v>
      </c>
      <c r="FC124" s="73">
        <v>0</v>
      </c>
      <c r="FD124" s="73">
        <v>0</v>
      </c>
      <c r="FE124" s="73">
        <v>-961</v>
      </c>
      <c r="FF124" s="73">
        <v>0</v>
      </c>
      <c r="FG124" s="73">
        <v>0</v>
      </c>
      <c r="FH124" s="73">
        <v>27131</v>
      </c>
      <c r="FI124" s="73">
        <v>114772</v>
      </c>
      <c r="FJ124" s="73">
        <v>103761</v>
      </c>
      <c r="FK124" s="73">
        <v>0</v>
      </c>
      <c r="FL124" s="73">
        <v>0</v>
      </c>
      <c r="FM124" s="73">
        <v>0</v>
      </c>
      <c r="FN124" s="73">
        <v>456</v>
      </c>
      <c r="FO124" s="73">
        <v>205</v>
      </c>
      <c r="FP124" s="73">
        <v>251</v>
      </c>
      <c r="FQ124" s="73">
        <v>205</v>
      </c>
      <c r="FR124" s="73">
        <v>25</v>
      </c>
      <c r="FS124" s="73">
        <v>180</v>
      </c>
      <c r="FT124" s="73">
        <v>1644</v>
      </c>
      <c r="FU124" s="73">
        <v>732</v>
      </c>
      <c r="FV124" s="73">
        <v>912</v>
      </c>
      <c r="FW124" s="73">
        <v>0</v>
      </c>
      <c r="FX124" s="73">
        <v>0</v>
      </c>
      <c r="FY124" s="73">
        <v>0</v>
      </c>
      <c r="FZ124" s="73">
        <v>13</v>
      </c>
      <c r="GA124" s="73">
        <v>10</v>
      </c>
      <c r="GB124" s="73">
        <v>3</v>
      </c>
      <c r="GC124" s="73">
        <v>2318</v>
      </c>
      <c r="GD124" s="73">
        <v>972</v>
      </c>
      <c r="GE124" s="73">
        <v>1346</v>
      </c>
      <c r="GF124" s="73">
        <v>16423</v>
      </c>
      <c r="GG124" s="73">
        <v>0</v>
      </c>
      <c r="GH124" s="73">
        <v>0</v>
      </c>
      <c r="GI124" s="73">
        <v>0</v>
      </c>
      <c r="GJ124" s="73">
        <v>0</v>
      </c>
      <c r="GK124" s="73">
        <v>2099</v>
      </c>
      <c r="GL124" s="73">
        <v>18522</v>
      </c>
      <c r="GM124" s="73">
        <v>2153</v>
      </c>
      <c r="GN124" s="73">
        <v>619</v>
      </c>
      <c r="GO124" s="73">
        <v>859</v>
      </c>
      <c r="GP124" s="73">
        <v>0</v>
      </c>
      <c r="GQ124" s="73">
        <v>0</v>
      </c>
      <c r="GR124" s="73">
        <v>788</v>
      </c>
      <c r="GS124" s="73">
        <v>0</v>
      </c>
      <c r="GT124" s="73">
        <v>0</v>
      </c>
      <c r="GU124" s="73">
        <v>124</v>
      </c>
      <c r="GV124" s="73">
        <v>0</v>
      </c>
      <c r="GW124" s="73">
        <v>525</v>
      </c>
      <c r="GX124" s="73">
        <v>5068</v>
      </c>
      <c r="GY124" s="73">
        <v>0</v>
      </c>
      <c r="GZ124" s="73">
        <v>0</v>
      </c>
      <c r="HA124" s="73">
        <v>210</v>
      </c>
      <c r="HB124" s="73">
        <v>0</v>
      </c>
      <c r="HC124" s="73">
        <v>210</v>
      </c>
      <c r="HD124" s="73">
        <v>0</v>
      </c>
      <c r="HE124" s="73">
        <v>89</v>
      </c>
      <c r="HF124" s="73">
        <v>89</v>
      </c>
      <c r="HG124" s="73">
        <v>3639</v>
      </c>
      <c r="HH124" s="73">
        <v>12</v>
      </c>
      <c r="HI124" s="73">
        <v>247</v>
      </c>
      <c r="HJ124" s="73">
        <v>0</v>
      </c>
      <c r="HK124" s="73">
        <v>86</v>
      </c>
      <c r="HL124" s="73">
        <v>-213</v>
      </c>
      <c r="HM124" s="73">
        <v>3771</v>
      </c>
      <c r="HN124" s="73">
        <v>6053</v>
      </c>
      <c r="HO124" s="73">
        <v>4659</v>
      </c>
      <c r="HP124" s="73">
        <v>0</v>
      </c>
      <c r="HQ124" s="73">
        <v>75</v>
      </c>
      <c r="HR124" s="73">
        <v>-25</v>
      </c>
      <c r="HS124" s="73">
        <v>0</v>
      </c>
      <c r="HT124" s="73">
        <v>5300</v>
      </c>
      <c r="HU124" s="73">
        <v>0</v>
      </c>
      <c r="HV124" s="73">
        <v>0</v>
      </c>
      <c r="HW124" s="73">
        <v>0</v>
      </c>
      <c r="HX124" s="73">
        <v>7</v>
      </c>
    </row>
    <row r="125" spans="1:232" x14ac:dyDescent="0.2">
      <c r="A125" s="74" t="s">
        <v>88</v>
      </c>
      <c r="B125" s="74" t="s">
        <v>87</v>
      </c>
      <c r="C125" s="75" t="s">
        <v>200</v>
      </c>
      <c r="D125" s="75">
        <v>12</v>
      </c>
      <c r="E125" s="76">
        <v>31928</v>
      </c>
      <c r="F125" s="76">
        <v>-874</v>
      </c>
      <c r="G125" s="76">
        <v>-21474</v>
      </c>
      <c r="H125" s="76">
        <v>9580</v>
      </c>
      <c r="I125" s="76">
        <v>1927</v>
      </c>
      <c r="J125" s="76">
        <v>0</v>
      </c>
      <c r="K125" s="76">
        <v>0</v>
      </c>
      <c r="L125" s="76">
        <v>0</v>
      </c>
      <c r="M125" s="76">
        <v>269</v>
      </c>
      <c r="N125" s="76">
        <v>-4215</v>
      </c>
      <c r="O125" s="76">
        <v>0</v>
      </c>
      <c r="P125" s="76">
        <v>-594</v>
      </c>
      <c r="Q125" s="76">
        <v>0</v>
      </c>
      <c r="R125" s="76">
        <v>0</v>
      </c>
      <c r="S125" s="76">
        <v>6967</v>
      </c>
      <c r="T125" s="76">
        <v>0</v>
      </c>
      <c r="U125" s="76">
        <v>6967</v>
      </c>
      <c r="V125" s="76">
        <v>0</v>
      </c>
      <c r="W125" s="76">
        <v>0</v>
      </c>
      <c r="X125" s="76">
        <v>-948</v>
      </c>
      <c r="Y125" s="76">
        <v>0</v>
      </c>
      <c r="Z125" s="76">
        <v>6019</v>
      </c>
      <c r="AA125" s="76">
        <v>23165</v>
      </c>
      <c r="AB125" s="76">
        <v>1813</v>
      </c>
      <c r="AC125" s="76">
        <v>24978</v>
      </c>
      <c r="AD125" s="76">
        <v>1747</v>
      </c>
      <c r="AE125" s="76">
        <v>0</v>
      </c>
      <c r="AF125" s="76">
        <v>148</v>
      </c>
      <c r="AG125" s="76">
        <v>32</v>
      </c>
      <c r="AH125" s="76">
        <v>26905</v>
      </c>
      <c r="AI125" s="76">
        <v>3172</v>
      </c>
      <c r="AJ125" s="76">
        <v>1834</v>
      </c>
      <c r="AK125" s="76">
        <v>3332</v>
      </c>
      <c r="AL125" s="76">
        <v>1352</v>
      </c>
      <c r="AM125" s="76">
        <v>2183</v>
      </c>
      <c r="AN125" s="76">
        <v>139</v>
      </c>
      <c r="AO125" s="76">
        <v>5466</v>
      </c>
      <c r="AP125" s="76">
        <v>0</v>
      </c>
      <c r="AQ125" s="76">
        <v>60</v>
      </c>
      <c r="AR125" s="76">
        <v>17538</v>
      </c>
      <c r="AS125" s="76">
        <v>9367</v>
      </c>
      <c r="AT125" s="76">
        <v>210</v>
      </c>
      <c r="AU125" s="76">
        <v>432113</v>
      </c>
      <c r="AV125" s="76">
        <v>0</v>
      </c>
      <c r="AW125" s="76">
        <v>2767</v>
      </c>
      <c r="AX125" s="76">
        <v>0</v>
      </c>
      <c r="AY125" s="76">
        <v>0</v>
      </c>
      <c r="AZ125" s="76">
        <v>0</v>
      </c>
      <c r="BA125" s="76">
        <v>0</v>
      </c>
      <c r="BB125" s="76">
        <v>0</v>
      </c>
      <c r="BC125" s="76">
        <v>0</v>
      </c>
      <c r="BD125" s="76">
        <v>0</v>
      </c>
      <c r="BE125" s="76">
        <v>434880</v>
      </c>
      <c r="BF125" s="76">
        <v>7753</v>
      </c>
      <c r="BG125" s="76">
        <v>2305</v>
      </c>
      <c r="BH125" s="76">
        <v>6283</v>
      </c>
      <c r="BI125" s="76">
        <v>0</v>
      </c>
      <c r="BJ125" s="76">
        <v>5372</v>
      </c>
      <c r="BK125" s="76">
        <v>21713</v>
      </c>
      <c r="BL125" s="76">
        <v>1200</v>
      </c>
      <c r="BM125" s="76">
        <v>0</v>
      </c>
      <c r="BN125" s="76">
        <v>1948</v>
      </c>
      <c r="BO125" s="76">
        <v>10145</v>
      </c>
      <c r="BP125" s="76">
        <v>13293</v>
      </c>
      <c r="BQ125" s="76">
        <v>8420</v>
      </c>
      <c r="BR125" s="76">
        <v>443300</v>
      </c>
      <c r="BS125" s="76">
        <v>164012</v>
      </c>
      <c r="BT125" s="76">
        <v>0</v>
      </c>
      <c r="BU125" s="76">
        <v>0</v>
      </c>
      <c r="BV125" s="76">
        <v>214826</v>
      </c>
      <c r="BW125" s="76">
        <v>0</v>
      </c>
      <c r="BX125" s="76">
        <v>26347</v>
      </c>
      <c r="BY125" s="76">
        <v>3161</v>
      </c>
      <c r="BZ125" s="76">
        <v>408346</v>
      </c>
      <c r="CA125" s="76">
        <v>5056</v>
      </c>
      <c r="CB125" s="76">
        <v>270</v>
      </c>
      <c r="CC125" s="76">
        <v>29628</v>
      </c>
      <c r="CD125" s="76">
        <v>45290</v>
      </c>
      <c r="CE125" s="76">
        <v>0</v>
      </c>
      <c r="CF125" s="76">
        <v>0</v>
      </c>
      <c r="CG125" s="76">
        <v>-15662</v>
      </c>
      <c r="CH125" s="76">
        <v>0</v>
      </c>
      <c r="CI125" s="76">
        <v>29628</v>
      </c>
      <c r="CJ125" s="76">
        <v>976</v>
      </c>
      <c r="CK125" s="76">
        <v>874</v>
      </c>
      <c r="CL125" s="76">
        <v>0</v>
      </c>
      <c r="CM125" s="76">
        <v>102</v>
      </c>
      <c r="CN125" s="76">
        <v>1092</v>
      </c>
      <c r="CO125" s="76">
        <v>0</v>
      </c>
      <c r="CP125" s="76">
        <v>978</v>
      </c>
      <c r="CQ125" s="76">
        <v>114</v>
      </c>
      <c r="CR125" s="76">
        <v>54</v>
      </c>
      <c r="CS125" s="76">
        <v>0</v>
      </c>
      <c r="CT125" s="76">
        <v>957</v>
      </c>
      <c r="CU125" s="76">
        <v>-903</v>
      </c>
      <c r="CV125" s="76">
        <v>42</v>
      </c>
      <c r="CW125" s="76">
        <v>0</v>
      </c>
      <c r="CX125" s="76">
        <v>420</v>
      </c>
      <c r="CY125" s="76">
        <v>-378</v>
      </c>
      <c r="CZ125" s="76">
        <v>1766</v>
      </c>
      <c r="DA125" s="76">
        <v>0</v>
      </c>
      <c r="DB125" s="76">
        <v>1269</v>
      </c>
      <c r="DC125" s="76">
        <v>497</v>
      </c>
      <c r="DD125" s="76">
        <v>3930</v>
      </c>
      <c r="DE125" s="76">
        <v>874</v>
      </c>
      <c r="DF125" s="76">
        <v>3624</v>
      </c>
      <c r="DG125" s="76">
        <v>-568</v>
      </c>
      <c r="DH125" s="76">
        <v>0</v>
      </c>
      <c r="DI125" s="76">
        <v>0</v>
      </c>
      <c r="DJ125" s="76">
        <v>0</v>
      </c>
      <c r="DK125" s="76">
        <v>0</v>
      </c>
      <c r="DL125" s="76">
        <v>0</v>
      </c>
      <c r="DM125" s="76">
        <v>0</v>
      </c>
      <c r="DN125" s="76">
        <v>0</v>
      </c>
      <c r="DO125" s="76">
        <v>0</v>
      </c>
      <c r="DP125" s="76">
        <v>769</v>
      </c>
      <c r="DQ125" s="76">
        <v>0</v>
      </c>
      <c r="DR125" s="76">
        <v>681</v>
      </c>
      <c r="DS125" s="76">
        <v>88</v>
      </c>
      <c r="DT125" s="76">
        <v>0</v>
      </c>
      <c r="DU125" s="76">
        <v>0</v>
      </c>
      <c r="DV125" s="76">
        <v>0</v>
      </c>
      <c r="DW125" s="76">
        <v>0</v>
      </c>
      <c r="DX125" s="76">
        <v>0</v>
      </c>
      <c r="DY125" s="76">
        <v>0</v>
      </c>
      <c r="DZ125" s="76">
        <v>0</v>
      </c>
      <c r="EA125" s="76">
        <v>0</v>
      </c>
      <c r="EB125" s="76">
        <v>324</v>
      </c>
      <c r="EC125" s="76">
        <v>0</v>
      </c>
      <c r="ED125" s="76">
        <v>-369</v>
      </c>
      <c r="EE125" s="76">
        <v>693</v>
      </c>
      <c r="EF125" s="76">
        <v>1093</v>
      </c>
      <c r="EG125" s="76">
        <v>0</v>
      </c>
      <c r="EH125" s="76">
        <v>312</v>
      </c>
      <c r="EI125" s="76">
        <v>781</v>
      </c>
      <c r="EJ125" s="76">
        <v>5023</v>
      </c>
      <c r="EK125" s="76">
        <v>874</v>
      </c>
      <c r="EL125" s="76">
        <v>3936</v>
      </c>
      <c r="EM125" s="76">
        <v>213</v>
      </c>
      <c r="EN125" s="76">
        <v>1085</v>
      </c>
      <c r="EO125" s="76">
        <v>212</v>
      </c>
      <c r="EP125" s="76">
        <v>162</v>
      </c>
      <c r="EQ125" s="76">
        <v>212</v>
      </c>
      <c r="ER125" s="76">
        <v>473574</v>
      </c>
      <c r="ES125" s="76">
        <v>0</v>
      </c>
      <c r="ET125" s="76">
        <v>473574</v>
      </c>
      <c r="EU125" s="76">
        <v>29107</v>
      </c>
      <c r="EV125" s="76">
        <v>-3665</v>
      </c>
      <c r="EW125" s="76">
        <v>0</v>
      </c>
      <c r="EX125" s="76">
        <v>0</v>
      </c>
      <c r="EY125" s="76">
        <v>64</v>
      </c>
      <c r="EZ125" s="76">
        <v>499080</v>
      </c>
      <c r="FA125" s="76">
        <v>62273</v>
      </c>
      <c r="FB125" s="76">
        <v>5680</v>
      </c>
      <c r="FC125" s="76">
        <v>0</v>
      </c>
      <c r="FD125" s="76">
        <v>0</v>
      </c>
      <c r="FE125" s="76">
        <v>-986</v>
      </c>
      <c r="FF125" s="76">
        <v>0</v>
      </c>
      <c r="FG125" s="76">
        <v>0</v>
      </c>
      <c r="FH125" s="76">
        <v>66967</v>
      </c>
      <c r="FI125" s="76">
        <v>432113</v>
      </c>
      <c r="FJ125" s="76">
        <v>411301</v>
      </c>
      <c r="FK125" s="76">
        <v>2340</v>
      </c>
      <c r="FL125" s="76">
        <v>1387</v>
      </c>
      <c r="FM125" s="76">
        <v>953</v>
      </c>
      <c r="FN125" s="76">
        <v>0</v>
      </c>
      <c r="FO125" s="76">
        <v>0</v>
      </c>
      <c r="FP125" s="76">
        <v>0</v>
      </c>
      <c r="FQ125" s="76">
        <v>355</v>
      </c>
      <c r="FR125" s="76">
        <v>352</v>
      </c>
      <c r="FS125" s="76">
        <v>3</v>
      </c>
      <c r="FT125" s="76">
        <v>1135</v>
      </c>
      <c r="FU125" s="76">
        <v>130</v>
      </c>
      <c r="FV125" s="76">
        <v>1005</v>
      </c>
      <c r="FW125" s="76">
        <v>0</v>
      </c>
      <c r="FX125" s="76">
        <v>0</v>
      </c>
      <c r="FY125" s="76">
        <v>0</v>
      </c>
      <c r="FZ125" s="76">
        <v>60</v>
      </c>
      <c r="GA125" s="76">
        <v>94</v>
      </c>
      <c r="GB125" s="76">
        <v>-34</v>
      </c>
      <c r="GC125" s="76">
        <v>3890</v>
      </c>
      <c r="GD125" s="76">
        <v>1963</v>
      </c>
      <c r="GE125" s="76">
        <v>1927</v>
      </c>
      <c r="GF125" s="76">
        <v>3097</v>
      </c>
      <c r="GG125" s="76">
        <v>0</v>
      </c>
      <c r="GH125" s="76">
        <v>307</v>
      </c>
      <c r="GI125" s="76">
        <v>0</v>
      </c>
      <c r="GJ125" s="76">
        <v>0</v>
      </c>
      <c r="GK125" s="76">
        <v>1968</v>
      </c>
      <c r="GL125" s="76">
        <v>5372</v>
      </c>
      <c r="GM125" s="76">
        <v>2250</v>
      </c>
      <c r="GN125" s="76">
        <v>637</v>
      </c>
      <c r="GO125" s="76">
        <v>0</v>
      </c>
      <c r="GP125" s="76">
        <v>1226</v>
      </c>
      <c r="GQ125" s="76">
        <v>90</v>
      </c>
      <c r="GR125" s="76">
        <v>2421</v>
      </c>
      <c r="GS125" s="76">
        <v>0</v>
      </c>
      <c r="GT125" s="76">
        <v>0</v>
      </c>
      <c r="GU125" s="76">
        <v>0</v>
      </c>
      <c r="GV125" s="76">
        <v>0</v>
      </c>
      <c r="GW125" s="76">
        <v>3521</v>
      </c>
      <c r="GX125" s="76">
        <v>10145</v>
      </c>
      <c r="GY125" s="76">
        <v>1992</v>
      </c>
      <c r="GZ125" s="76">
        <v>234</v>
      </c>
      <c r="HA125" s="76">
        <v>0</v>
      </c>
      <c r="HB125" s="76">
        <v>935</v>
      </c>
      <c r="HC125" s="76">
        <v>3161</v>
      </c>
      <c r="HD125" s="76">
        <v>0</v>
      </c>
      <c r="HE125" s="76">
        <v>270</v>
      </c>
      <c r="HF125" s="76">
        <v>270</v>
      </c>
      <c r="HG125" s="76">
        <v>4813</v>
      </c>
      <c r="HH125" s="76">
        <v>25</v>
      </c>
      <c r="HI125" s="76">
        <v>122</v>
      </c>
      <c r="HJ125" s="76">
        <v>16</v>
      </c>
      <c r="HK125" s="76">
        <v>65</v>
      </c>
      <c r="HL125" s="76">
        <v>-826</v>
      </c>
      <c r="HM125" s="76">
        <v>4215</v>
      </c>
      <c r="HN125" s="76">
        <v>3234</v>
      </c>
      <c r="HO125" s="76">
        <v>6172</v>
      </c>
      <c r="HP125" s="76">
        <v>0</v>
      </c>
      <c r="HQ125" s="76">
        <v>50</v>
      </c>
      <c r="HR125" s="76">
        <v>-4</v>
      </c>
      <c r="HS125" s="76">
        <v>5</v>
      </c>
      <c r="HT125" s="76">
        <v>3762</v>
      </c>
      <c r="HU125" s="76">
        <v>0</v>
      </c>
      <c r="HV125" s="76">
        <v>0</v>
      </c>
      <c r="HW125" s="76">
        <v>0</v>
      </c>
      <c r="HX125" s="76">
        <v>0</v>
      </c>
    </row>
    <row r="126" spans="1:232" x14ac:dyDescent="0.2">
      <c r="A126" s="74" t="s">
        <v>432</v>
      </c>
      <c r="B126" s="74" t="s">
        <v>433</v>
      </c>
      <c r="C126" s="75" t="s">
        <v>200</v>
      </c>
      <c r="D126" s="75">
        <v>12</v>
      </c>
      <c r="E126" s="76">
        <v>62785</v>
      </c>
      <c r="F126" s="76">
        <v>0</v>
      </c>
      <c r="G126" s="76">
        <v>-43294</v>
      </c>
      <c r="H126" s="76">
        <v>19491</v>
      </c>
      <c r="I126" s="76">
        <v>2975</v>
      </c>
      <c r="J126" s="76">
        <v>0</v>
      </c>
      <c r="K126" s="76">
        <v>0</v>
      </c>
      <c r="L126" s="76">
        <v>0</v>
      </c>
      <c r="M126" s="76">
        <v>138</v>
      </c>
      <c r="N126" s="76">
        <v>-6530</v>
      </c>
      <c r="O126" s="76">
        <v>0</v>
      </c>
      <c r="P126" s="76">
        <v>0</v>
      </c>
      <c r="Q126" s="76">
        <v>0</v>
      </c>
      <c r="R126" s="76">
        <v>0</v>
      </c>
      <c r="S126" s="76">
        <v>16074</v>
      </c>
      <c r="T126" s="76">
        <v>0</v>
      </c>
      <c r="U126" s="76">
        <v>16074</v>
      </c>
      <c r="V126" s="76">
        <v>0</v>
      </c>
      <c r="W126" s="76">
        <v>-127</v>
      </c>
      <c r="X126" s="76">
        <v>0</v>
      </c>
      <c r="Y126" s="76">
        <v>0</v>
      </c>
      <c r="Z126" s="76">
        <v>15947</v>
      </c>
      <c r="AA126" s="76">
        <v>27836</v>
      </c>
      <c r="AB126" s="76">
        <v>3249</v>
      </c>
      <c r="AC126" s="76">
        <v>31085</v>
      </c>
      <c r="AD126" s="76">
        <v>1659</v>
      </c>
      <c r="AE126" s="76">
        <v>0</v>
      </c>
      <c r="AF126" s="76">
        <v>17315</v>
      </c>
      <c r="AG126" s="76">
        <v>75</v>
      </c>
      <c r="AH126" s="76">
        <v>50134</v>
      </c>
      <c r="AI126" s="76">
        <v>4199</v>
      </c>
      <c r="AJ126" s="76">
        <v>3566</v>
      </c>
      <c r="AK126" s="76">
        <v>2639</v>
      </c>
      <c r="AL126" s="76">
        <v>401</v>
      </c>
      <c r="AM126" s="76">
        <v>813</v>
      </c>
      <c r="AN126" s="76">
        <v>243</v>
      </c>
      <c r="AO126" s="76">
        <v>4852</v>
      </c>
      <c r="AP126" s="76">
        <v>0</v>
      </c>
      <c r="AQ126" s="76">
        <v>16332</v>
      </c>
      <c r="AR126" s="76">
        <v>33045</v>
      </c>
      <c r="AS126" s="76">
        <v>17089</v>
      </c>
      <c r="AT126" s="76">
        <v>435</v>
      </c>
      <c r="AU126" s="76">
        <v>523033</v>
      </c>
      <c r="AV126" s="76">
        <v>0</v>
      </c>
      <c r="AW126" s="76">
        <v>5740</v>
      </c>
      <c r="AX126" s="76">
        <v>0</v>
      </c>
      <c r="AY126" s="76">
        <v>0</v>
      </c>
      <c r="AZ126" s="76">
        <v>0</v>
      </c>
      <c r="BA126" s="76">
        <v>0</v>
      </c>
      <c r="BB126" s="76">
        <v>0</v>
      </c>
      <c r="BC126" s="76">
        <v>0</v>
      </c>
      <c r="BD126" s="76">
        <v>1905</v>
      </c>
      <c r="BE126" s="76">
        <v>530678</v>
      </c>
      <c r="BF126" s="76">
        <v>7765</v>
      </c>
      <c r="BG126" s="76">
        <v>3414</v>
      </c>
      <c r="BH126" s="76">
        <v>14484</v>
      </c>
      <c r="BI126" s="76">
        <v>0</v>
      </c>
      <c r="BJ126" s="76">
        <v>2154</v>
      </c>
      <c r="BK126" s="76">
        <v>27817</v>
      </c>
      <c r="BL126" s="76">
        <v>3663</v>
      </c>
      <c r="BM126" s="76">
        <v>0</v>
      </c>
      <c r="BN126" s="76">
        <v>1666</v>
      </c>
      <c r="BO126" s="76">
        <v>16454</v>
      </c>
      <c r="BP126" s="76">
        <v>21783</v>
      </c>
      <c r="BQ126" s="76">
        <v>6034</v>
      </c>
      <c r="BR126" s="76">
        <v>536712</v>
      </c>
      <c r="BS126" s="76">
        <v>293436</v>
      </c>
      <c r="BT126" s="76">
        <v>0</v>
      </c>
      <c r="BU126" s="76">
        <v>0</v>
      </c>
      <c r="BV126" s="76">
        <v>131658</v>
      </c>
      <c r="BW126" s="76">
        <v>0</v>
      </c>
      <c r="BX126" s="76">
        <v>0</v>
      </c>
      <c r="BY126" s="76">
        <v>12377</v>
      </c>
      <c r="BZ126" s="76">
        <v>437471</v>
      </c>
      <c r="CA126" s="76">
        <v>417</v>
      </c>
      <c r="CB126" s="76">
        <v>0</v>
      </c>
      <c r="CC126" s="76">
        <v>98824</v>
      </c>
      <c r="CD126" s="76">
        <v>98657</v>
      </c>
      <c r="CE126" s="76">
        <v>0</v>
      </c>
      <c r="CF126" s="76">
        <v>167</v>
      </c>
      <c r="CG126" s="76">
        <v>0</v>
      </c>
      <c r="CH126" s="76">
        <v>0</v>
      </c>
      <c r="CI126" s="76">
        <v>98824</v>
      </c>
      <c r="CJ126" s="76">
        <v>9412</v>
      </c>
      <c r="CK126" s="76">
        <v>0</v>
      </c>
      <c r="CL126" s="76">
        <v>7319</v>
      </c>
      <c r="CM126" s="76">
        <v>2093</v>
      </c>
      <c r="CN126" s="76">
        <v>1305</v>
      </c>
      <c r="CO126" s="76">
        <v>0</v>
      </c>
      <c r="CP126" s="76">
        <v>1305</v>
      </c>
      <c r="CQ126" s="76">
        <v>0</v>
      </c>
      <c r="CR126" s="76">
        <v>0</v>
      </c>
      <c r="CS126" s="76">
        <v>0</v>
      </c>
      <c r="CT126" s="76">
        <v>109</v>
      </c>
      <c r="CU126" s="76">
        <v>-109</v>
      </c>
      <c r="CV126" s="76">
        <v>0</v>
      </c>
      <c r="CW126" s="76">
        <v>0</v>
      </c>
      <c r="CX126" s="76">
        <v>0</v>
      </c>
      <c r="CY126" s="76">
        <v>0</v>
      </c>
      <c r="CZ126" s="76">
        <v>1344</v>
      </c>
      <c r="DA126" s="76">
        <v>0</v>
      </c>
      <c r="DB126" s="76">
        <v>784</v>
      </c>
      <c r="DC126" s="76">
        <v>560</v>
      </c>
      <c r="DD126" s="76">
        <v>12061</v>
      </c>
      <c r="DE126" s="76">
        <v>0</v>
      </c>
      <c r="DF126" s="76">
        <v>9517</v>
      </c>
      <c r="DG126" s="76">
        <v>2544</v>
      </c>
      <c r="DH126" s="76">
        <v>0</v>
      </c>
      <c r="DI126" s="76">
        <v>0</v>
      </c>
      <c r="DJ126" s="76">
        <v>0</v>
      </c>
      <c r="DK126" s="76">
        <v>0</v>
      </c>
      <c r="DL126" s="76">
        <v>0</v>
      </c>
      <c r="DM126" s="76">
        <v>0</v>
      </c>
      <c r="DN126" s="76">
        <v>0</v>
      </c>
      <c r="DO126" s="76">
        <v>0</v>
      </c>
      <c r="DP126" s="76">
        <v>490</v>
      </c>
      <c r="DQ126" s="76">
        <v>0</v>
      </c>
      <c r="DR126" s="76">
        <v>604</v>
      </c>
      <c r="DS126" s="76">
        <v>-114</v>
      </c>
      <c r="DT126" s="76">
        <v>0</v>
      </c>
      <c r="DU126" s="76">
        <v>0</v>
      </c>
      <c r="DV126" s="76">
        <v>0</v>
      </c>
      <c r="DW126" s="76">
        <v>0</v>
      </c>
      <c r="DX126" s="76">
        <v>0</v>
      </c>
      <c r="DY126" s="76">
        <v>0</v>
      </c>
      <c r="DZ126" s="76">
        <v>0</v>
      </c>
      <c r="EA126" s="76">
        <v>0</v>
      </c>
      <c r="EB126" s="76">
        <v>100</v>
      </c>
      <c r="EC126" s="76">
        <v>0</v>
      </c>
      <c r="ED126" s="76">
        <v>128</v>
      </c>
      <c r="EE126" s="76">
        <v>-28</v>
      </c>
      <c r="EF126" s="76">
        <v>590</v>
      </c>
      <c r="EG126" s="76">
        <v>0</v>
      </c>
      <c r="EH126" s="76">
        <v>732</v>
      </c>
      <c r="EI126" s="76">
        <v>-142</v>
      </c>
      <c r="EJ126" s="76">
        <v>12651</v>
      </c>
      <c r="EK126" s="76">
        <v>0</v>
      </c>
      <c r="EL126" s="76">
        <v>10249</v>
      </c>
      <c r="EM126" s="76">
        <v>2402</v>
      </c>
      <c r="EN126" s="76">
        <v>703</v>
      </c>
      <c r="EO126" s="76">
        <v>572</v>
      </c>
      <c r="EP126" s="76">
        <v>346</v>
      </c>
      <c r="EQ126" s="76">
        <v>572</v>
      </c>
      <c r="ER126" s="76">
        <v>489587</v>
      </c>
      <c r="ES126" s="76">
        <v>0</v>
      </c>
      <c r="ET126" s="76">
        <v>489587</v>
      </c>
      <c r="EU126" s="76">
        <v>76188</v>
      </c>
      <c r="EV126" s="76">
        <v>-5082</v>
      </c>
      <c r="EW126" s="76">
        <v>0</v>
      </c>
      <c r="EX126" s="76">
        <v>0</v>
      </c>
      <c r="EY126" s="76">
        <v>-413</v>
      </c>
      <c r="EZ126" s="76">
        <v>560280</v>
      </c>
      <c r="FA126" s="76">
        <v>32736</v>
      </c>
      <c r="FB126" s="76">
        <v>4768</v>
      </c>
      <c r="FC126" s="76">
        <v>0</v>
      </c>
      <c r="FD126" s="76">
        <v>0</v>
      </c>
      <c r="FE126" s="76">
        <v>-257</v>
      </c>
      <c r="FF126" s="76">
        <v>0</v>
      </c>
      <c r="FG126" s="76">
        <v>0</v>
      </c>
      <c r="FH126" s="76">
        <v>37247</v>
      </c>
      <c r="FI126" s="76">
        <v>523033</v>
      </c>
      <c r="FJ126" s="76">
        <v>456851</v>
      </c>
      <c r="FK126" s="76">
        <v>6987</v>
      </c>
      <c r="FL126" s="76">
        <v>4673</v>
      </c>
      <c r="FM126" s="76">
        <v>2314</v>
      </c>
      <c r="FN126" s="76">
        <v>0</v>
      </c>
      <c r="FO126" s="76">
        <v>0</v>
      </c>
      <c r="FP126" s="76">
        <v>0</v>
      </c>
      <c r="FQ126" s="76">
        <v>0</v>
      </c>
      <c r="FR126" s="76">
        <v>0</v>
      </c>
      <c r="FS126" s="76">
        <v>0</v>
      </c>
      <c r="FT126" s="76">
        <v>923</v>
      </c>
      <c r="FU126" s="76">
        <v>606</v>
      </c>
      <c r="FV126" s="76">
        <v>317</v>
      </c>
      <c r="FW126" s="76">
        <v>0</v>
      </c>
      <c r="FX126" s="76">
        <v>0</v>
      </c>
      <c r="FY126" s="76">
        <v>0</v>
      </c>
      <c r="FZ126" s="76">
        <v>1070</v>
      </c>
      <c r="GA126" s="76">
        <v>726</v>
      </c>
      <c r="GB126" s="76">
        <v>344</v>
      </c>
      <c r="GC126" s="76">
        <v>8980</v>
      </c>
      <c r="GD126" s="76">
        <v>6005</v>
      </c>
      <c r="GE126" s="76">
        <v>2975</v>
      </c>
      <c r="GF126" s="76">
        <v>0</v>
      </c>
      <c r="GG126" s="76">
        <v>0</v>
      </c>
      <c r="GH126" s="76">
        <v>2154</v>
      </c>
      <c r="GI126" s="76">
        <v>0</v>
      </c>
      <c r="GJ126" s="76">
        <v>0</v>
      </c>
      <c r="GK126" s="76">
        <v>0</v>
      </c>
      <c r="GL126" s="76">
        <v>2154</v>
      </c>
      <c r="GM126" s="76">
        <v>1893</v>
      </c>
      <c r="GN126" s="76">
        <v>1436</v>
      </c>
      <c r="GO126" s="76">
        <v>0</v>
      </c>
      <c r="GP126" s="76">
        <v>682</v>
      </c>
      <c r="GQ126" s="76">
        <v>124</v>
      </c>
      <c r="GR126" s="76">
        <v>1869</v>
      </c>
      <c r="GS126" s="76">
        <v>0</v>
      </c>
      <c r="GT126" s="76">
        <v>0</v>
      </c>
      <c r="GU126" s="76">
        <v>567</v>
      </c>
      <c r="GV126" s="76">
        <v>0</v>
      </c>
      <c r="GW126" s="76">
        <v>9883</v>
      </c>
      <c r="GX126" s="76">
        <v>16454</v>
      </c>
      <c r="GY126" s="76">
        <v>2543</v>
      </c>
      <c r="GZ126" s="76">
        <v>0</v>
      </c>
      <c r="HA126" s="76">
        <v>3727</v>
      </c>
      <c r="HB126" s="76">
        <v>6107</v>
      </c>
      <c r="HC126" s="76">
        <v>12377</v>
      </c>
      <c r="HD126" s="76">
        <v>0</v>
      </c>
      <c r="HE126" s="76">
        <v>0</v>
      </c>
      <c r="HF126" s="76">
        <v>0</v>
      </c>
      <c r="HG126" s="76">
        <v>8109</v>
      </c>
      <c r="HH126" s="76">
        <v>295</v>
      </c>
      <c r="HI126" s="76">
        <v>90</v>
      </c>
      <c r="HJ126" s="76">
        <v>14</v>
      </c>
      <c r="HK126" s="76">
        <v>0</v>
      </c>
      <c r="HL126" s="76">
        <v>-1978</v>
      </c>
      <c r="HM126" s="76">
        <v>6530</v>
      </c>
      <c r="HN126" s="76">
        <v>1065</v>
      </c>
      <c r="HO126" s="76">
        <v>5164</v>
      </c>
      <c r="HP126" s="76">
        <v>0</v>
      </c>
      <c r="HQ126" s="76">
        <v>262</v>
      </c>
      <c r="HR126" s="76">
        <v>-55</v>
      </c>
      <c r="HS126" s="76">
        <v>33</v>
      </c>
      <c r="HT126" s="76">
        <v>4825</v>
      </c>
      <c r="HU126" s="76">
        <v>3</v>
      </c>
      <c r="HV126" s="76">
        <v>0</v>
      </c>
      <c r="HW126" s="76">
        <v>27</v>
      </c>
      <c r="HX126" s="76">
        <v>495</v>
      </c>
    </row>
    <row r="127" spans="1:232" x14ac:dyDescent="0.2">
      <c r="A127" s="74" t="s">
        <v>434</v>
      </c>
      <c r="B127" s="74" t="s">
        <v>435</v>
      </c>
      <c r="C127" s="75" t="s">
        <v>200</v>
      </c>
      <c r="D127" s="75">
        <v>12</v>
      </c>
      <c r="E127" s="76">
        <v>8667</v>
      </c>
      <c r="F127" s="76">
        <v>0</v>
      </c>
      <c r="G127" s="76">
        <v>-4858</v>
      </c>
      <c r="H127" s="76">
        <v>3809</v>
      </c>
      <c r="I127" s="76">
        <v>253</v>
      </c>
      <c r="J127" s="76">
        <v>0</v>
      </c>
      <c r="K127" s="76">
        <v>0</v>
      </c>
      <c r="L127" s="76">
        <v>0</v>
      </c>
      <c r="M127" s="76">
        <v>976</v>
      </c>
      <c r="N127" s="76">
        <v>-2078</v>
      </c>
      <c r="O127" s="76">
        <v>0</v>
      </c>
      <c r="P127" s="76">
        <v>0</v>
      </c>
      <c r="Q127" s="76">
        <v>0</v>
      </c>
      <c r="R127" s="76">
        <v>0</v>
      </c>
      <c r="S127" s="76">
        <v>2960</v>
      </c>
      <c r="T127" s="76">
        <v>0</v>
      </c>
      <c r="U127" s="76">
        <v>2960</v>
      </c>
      <c r="V127" s="76">
        <v>0</v>
      </c>
      <c r="W127" s="76">
        <v>0</v>
      </c>
      <c r="X127" s="76">
        <v>0</v>
      </c>
      <c r="Y127" s="76">
        <v>0</v>
      </c>
      <c r="Z127" s="76">
        <v>2960</v>
      </c>
      <c r="AA127" s="76">
        <v>4881</v>
      </c>
      <c r="AB127" s="76">
        <v>371</v>
      </c>
      <c r="AC127" s="76">
        <v>5252</v>
      </c>
      <c r="AD127" s="76">
        <v>177</v>
      </c>
      <c r="AE127" s="76">
        <v>0</v>
      </c>
      <c r="AF127" s="76">
        <v>0</v>
      </c>
      <c r="AG127" s="76">
        <v>0</v>
      </c>
      <c r="AH127" s="76">
        <v>5429</v>
      </c>
      <c r="AI127" s="76">
        <v>635</v>
      </c>
      <c r="AJ127" s="76">
        <v>591</v>
      </c>
      <c r="AK127" s="76">
        <v>339</v>
      </c>
      <c r="AL127" s="76">
        <v>962</v>
      </c>
      <c r="AM127" s="76">
        <v>4</v>
      </c>
      <c r="AN127" s="76">
        <v>3</v>
      </c>
      <c r="AO127" s="76">
        <v>612</v>
      </c>
      <c r="AP127" s="76">
        <v>0</v>
      </c>
      <c r="AQ127" s="76">
        <v>0</v>
      </c>
      <c r="AR127" s="76">
        <v>3146</v>
      </c>
      <c r="AS127" s="76">
        <v>2283</v>
      </c>
      <c r="AT127" s="76">
        <v>29</v>
      </c>
      <c r="AU127" s="76">
        <v>37458</v>
      </c>
      <c r="AV127" s="76">
        <v>0</v>
      </c>
      <c r="AW127" s="76">
        <v>482</v>
      </c>
      <c r="AX127" s="76">
        <v>0</v>
      </c>
      <c r="AY127" s="76">
        <v>0</v>
      </c>
      <c r="AZ127" s="76">
        <v>0</v>
      </c>
      <c r="BA127" s="76">
        <v>0</v>
      </c>
      <c r="BB127" s="76">
        <v>0</v>
      </c>
      <c r="BC127" s="76">
        <v>0</v>
      </c>
      <c r="BD127" s="76">
        <v>42397</v>
      </c>
      <c r="BE127" s="76">
        <v>80337</v>
      </c>
      <c r="BF127" s="76">
        <v>0</v>
      </c>
      <c r="BG127" s="76">
        <v>0</v>
      </c>
      <c r="BH127" s="76">
        <v>1349</v>
      </c>
      <c r="BI127" s="76">
        <v>0</v>
      </c>
      <c r="BJ127" s="76">
        <v>1239</v>
      </c>
      <c r="BK127" s="76">
        <v>2588</v>
      </c>
      <c r="BL127" s="76">
        <v>0</v>
      </c>
      <c r="BM127" s="76">
        <v>0</v>
      </c>
      <c r="BN127" s="76">
        <v>0</v>
      </c>
      <c r="BO127" s="76">
        <v>1787</v>
      </c>
      <c r="BP127" s="76">
        <v>1787</v>
      </c>
      <c r="BQ127" s="76">
        <v>801</v>
      </c>
      <c r="BR127" s="76">
        <v>81138</v>
      </c>
      <c r="BS127" s="76">
        <v>40529</v>
      </c>
      <c r="BT127" s="76">
        <v>669</v>
      </c>
      <c r="BU127" s="76">
        <v>0</v>
      </c>
      <c r="BV127" s="76">
        <v>18810</v>
      </c>
      <c r="BW127" s="76">
        <v>0</v>
      </c>
      <c r="BX127" s="76">
        <v>0</v>
      </c>
      <c r="BY127" s="76">
        <v>123</v>
      </c>
      <c r="BZ127" s="76">
        <v>60131</v>
      </c>
      <c r="CA127" s="76">
        <v>0</v>
      </c>
      <c r="CB127" s="76">
        <v>0</v>
      </c>
      <c r="CC127" s="76">
        <v>21007</v>
      </c>
      <c r="CD127" s="76">
        <v>19861</v>
      </c>
      <c r="CE127" s="76">
        <v>0</v>
      </c>
      <c r="CF127" s="76">
        <v>1813</v>
      </c>
      <c r="CG127" s="76">
        <v>-667</v>
      </c>
      <c r="CH127" s="76">
        <v>0</v>
      </c>
      <c r="CI127" s="76">
        <v>21007</v>
      </c>
      <c r="CJ127" s="76">
        <v>0</v>
      </c>
      <c r="CK127" s="76">
        <v>0</v>
      </c>
      <c r="CL127" s="76">
        <v>0</v>
      </c>
      <c r="CM127" s="76">
        <v>0</v>
      </c>
      <c r="CN127" s="76">
        <v>0</v>
      </c>
      <c r="CO127" s="76">
        <v>0</v>
      </c>
      <c r="CP127" s="76">
        <v>0</v>
      </c>
      <c r="CQ127" s="76">
        <v>0</v>
      </c>
      <c r="CR127" s="76">
        <v>0</v>
      </c>
      <c r="CS127" s="76">
        <v>0</v>
      </c>
      <c r="CT127" s="76">
        <v>0</v>
      </c>
      <c r="CU127" s="76">
        <v>0</v>
      </c>
      <c r="CV127" s="76">
        <v>0</v>
      </c>
      <c r="CW127" s="76">
        <v>0</v>
      </c>
      <c r="CX127" s="76">
        <v>0</v>
      </c>
      <c r="CY127" s="76">
        <v>0</v>
      </c>
      <c r="CZ127" s="76">
        <v>3103</v>
      </c>
      <c r="DA127" s="76">
        <v>0</v>
      </c>
      <c r="DB127" s="76">
        <v>1750</v>
      </c>
      <c r="DC127" s="76">
        <v>1353</v>
      </c>
      <c r="DD127" s="76">
        <v>3103</v>
      </c>
      <c r="DE127" s="76">
        <v>0</v>
      </c>
      <c r="DF127" s="76">
        <v>1750</v>
      </c>
      <c r="DG127" s="76">
        <v>1353</v>
      </c>
      <c r="DH127" s="76">
        <v>0</v>
      </c>
      <c r="DI127" s="76">
        <v>0</v>
      </c>
      <c r="DJ127" s="76">
        <v>0</v>
      </c>
      <c r="DK127" s="76">
        <v>0</v>
      </c>
      <c r="DL127" s="76">
        <v>0</v>
      </c>
      <c r="DM127" s="76">
        <v>0</v>
      </c>
      <c r="DN127" s="76">
        <v>0</v>
      </c>
      <c r="DO127" s="76">
        <v>0</v>
      </c>
      <c r="DP127" s="76">
        <v>0</v>
      </c>
      <c r="DQ127" s="76">
        <v>0</v>
      </c>
      <c r="DR127" s="76">
        <v>0</v>
      </c>
      <c r="DS127" s="76">
        <v>0</v>
      </c>
      <c r="DT127" s="76">
        <v>0</v>
      </c>
      <c r="DU127" s="76">
        <v>0</v>
      </c>
      <c r="DV127" s="76">
        <v>0</v>
      </c>
      <c r="DW127" s="76">
        <v>0</v>
      </c>
      <c r="DX127" s="76">
        <v>0</v>
      </c>
      <c r="DY127" s="76">
        <v>0</v>
      </c>
      <c r="DZ127" s="76">
        <v>0</v>
      </c>
      <c r="EA127" s="76">
        <v>0</v>
      </c>
      <c r="EB127" s="76">
        <v>135</v>
      </c>
      <c r="EC127" s="76">
        <v>0</v>
      </c>
      <c r="ED127" s="76">
        <v>-38</v>
      </c>
      <c r="EE127" s="76">
        <v>173</v>
      </c>
      <c r="EF127" s="76">
        <v>135</v>
      </c>
      <c r="EG127" s="76">
        <v>0</v>
      </c>
      <c r="EH127" s="76">
        <v>-38</v>
      </c>
      <c r="EI127" s="76">
        <v>173</v>
      </c>
      <c r="EJ127" s="76">
        <v>3238</v>
      </c>
      <c r="EK127" s="76">
        <v>0</v>
      </c>
      <c r="EL127" s="76">
        <v>1712</v>
      </c>
      <c r="EM127" s="76">
        <v>1526</v>
      </c>
      <c r="EN127" s="76">
        <v>711</v>
      </c>
      <c r="EO127" s="76">
        <v>57</v>
      </c>
      <c r="EP127" s="76">
        <v>15</v>
      </c>
      <c r="EQ127" s="76">
        <v>57</v>
      </c>
      <c r="ER127" s="76">
        <v>44023</v>
      </c>
      <c r="ES127" s="76">
        <v>0</v>
      </c>
      <c r="ET127" s="76">
        <v>44023</v>
      </c>
      <c r="EU127" s="76">
        <v>101</v>
      </c>
      <c r="EV127" s="76">
        <v>-114</v>
      </c>
      <c r="EW127" s="76">
        <v>0</v>
      </c>
      <c r="EX127" s="76">
        <v>0</v>
      </c>
      <c r="EY127" s="76">
        <v>0</v>
      </c>
      <c r="EZ127" s="76">
        <v>44010</v>
      </c>
      <c r="FA127" s="76">
        <v>5994</v>
      </c>
      <c r="FB127" s="76">
        <v>593</v>
      </c>
      <c r="FC127" s="76">
        <v>0</v>
      </c>
      <c r="FD127" s="76">
        <v>0</v>
      </c>
      <c r="FE127" s="76">
        <v>-35</v>
      </c>
      <c r="FF127" s="76">
        <v>0</v>
      </c>
      <c r="FG127" s="76">
        <v>0</v>
      </c>
      <c r="FH127" s="76">
        <v>6552</v>
      </c>
      <c r="FI127" s="76">
        <v>37458</v>
      </c>
      <c r="FJ127" s="76">
        <v>38029</v>
      </c>
      <c r="FK127" s="76">
        <v>0</v>
      </c>
      <c r="FL127" s="76">
        <v>0</v>
      </c>
      <c r="FM127" s="76">
        <v>0</v>
      </c>
      <c r="FN127" s="76">
        <v>296</v>
      </c>
      <c r="FO127" s="76">
        <v>43</v>
      </c>
      <c r="FP127" s="76">
        <v>253</v>
      </c>
      <c r="FQ127" s="76">
        <v>0</v>
      </c>
      <c r="FR127" s="76">
        <v>0</v>
      </c>
      <c r="FS127" s="76">
        <v>0</v>
      </c>
      <c r="FT127" s="76">
        <v>0</v>
      </c>
      <c r="FU127" s="76">
        <v>0</v>
      </c>
      <c r="FV127" s="76">
        <v>0</v>
      </c>
      <c r="FW127" s="76">
        <v>0</v>
      </c>
      <c r="FX127" s="76">
        <v>0</v>
      </c>
      <c r="FY127" s="76">
        <v>0</v>
      </c>
      <c r="FZ127" s="76">
        <v>0</v>
      </c>
      <c r="GA127" s="76">
        <v>0</v>
      </c>
      <c r="GB127" s="76">
        <v>0</v>
      </c>
      <c r="GC127" s="76">
        <v>296</v>
      </c>
      <c r="GD127" s="76">
        <v>43</v>
      </c>
      <c r="GE127" s="76">
        <v>253</v>
      </c>
      <c r="GF127" s="76">
        <v>2</v>
      </c>
      <c r="GG127" s="76">
        <v>0</v>
      </c>
      <c r="GH127" s="76">
        <v>0</v>
      </c>
      <c r="GI127" s="76">
        <v>0</v>
      </c>
      <c r="GJ127" s="76">
        <v>0</v>
      </c>
      <c r="GK127" s="76">
        <v>1237</v>
      </c>
      <c r="GL127" s="76">
        <v>1239</v>
      </c>
      <c r="GM127" s="76">
        <v>11</v>
      </c>
      <c r="GN127" s="76">
        <v>841</v>
      </c>
      <c r="GO127" s="76">
        <v>522</v>
      </c>
      <c r="GP127" s="76">
        <v>0</v>
      </c>
      <c r="GQ127" s="76">
        <v>0</v>
      </c>
      <c r="GR127" s="76">
        <v>0</v>
      </c>
      <c r="GS127" s="76">
        <v>0</v>
      </c>
      <c r="GT127" s="76">
        <v>0</v>
      </c>
      <c r="GU127" s="76">
        <v>0</v>
      </c>
      <c r="GV127" s="76">
        <v>0</v>
      </c>
      <c r="GW127" s="76">
        <v>413</v>
      </c>
      <c r="GX127" s="76">
        <v>1787</v>
      </c>
      <c r="GY127" s="76">
        <v>0</v>
      </c>
      <c r="GZ127" s="76">
        <v>0</v>
      </c>
      <c r="HA127" s="76">
        <v>0</v>
      </c>
      <c r="HB127" s="76">
        <v>123</v>
      </c>
      <c r="HC127" s="76">
        <v>123</v>
      </c>
      <c r="HD127" s="76">
        <v>0</v>
      </c>
      <c r="HE127" s="76">
        <v>0</v>
      </c>
      <c r="HF127" s="76">
        <v>0</v>
      </c>
      <c r="HG127" s="76">
        <v>2075</v>
      </c>
      <c r="HH127" s="76">
        <v>0</v>
      </c>
      <c r="HI127" s="76">
        <v>0</v>
      </c>
      <c r="HJ127" s="76">
        <v>0</v>
      </c>
      <c r="HK127" s="76">
        <v>3</v>
      </c>
      <c r="HL127" s="76">
        <v>0</v>
      </c>
      <c r="HM127" s="76">
        <v>2078</v>
      </c>
      <c r="HN127" s="76">
        <v>101</v>
      </c>
      <c r="HO127" s="76">
        <v>612</v>
      </c>
      <c r="HP127" s="76">
        <v>0</v>
      </c>
      <c r="HQ127" s="76">
        <v>0</v>
      </c>
      <c r="HR127" s="76">
        <v>0</v>
      </c>
      <c r="HS127" s="76">
        <v>13</v>
      </c>
      <c r="HT127" s="76">
        <v>814</v>
      </c>
      <c r="HU127" s="76">
        <v>0</v>
      </c>
      <c r="HV127" s="76">
        <v>0</v>
      </c>
      <c r="HW127" s="76">
        <v>0</v>
      </c>
      <c r="HX127" s="76">
        <v>0</v>
      </c>
    </row>
    <row r="128" spans="1:232" x14ac:dyDescent="0.2">
      <c r="A128" s="74" t="s">
        <v>438</v>
      </c>
      <c r="B128" s="74" t="s">
        <v>437</v>
      </c>
      <c r="C128" s="75" t="s">
        <v>200</v>
      </c>
      <c r="D128" s="75">
        <v>12</v>
      </c>
      <c r="E128" s="76">
        <v>330214</v>
      </c>
      <c r="F128" s="76">
        <v>-6485</v>
      </c>
      <c r="G128" s="76">
        <v>-247261</v>
      </c>
      <c r="H128" s="76">
        <v>76468</v>
      </c>
      <c r="I128" s="76">
        <v>3663</v>
      </c>
      <c r="J128" s="76">
        <v>0</v>
      </c>
      <c r="K128" s="76">
        <v>0</v>
      </c>
      <c r="L128" s="76">
        <v>0</v>
      </c>
      <c r="M128" s="76">
        <v>583</v>
      </c>
      <c r="N128" s="76">
        <v>-40790</v>
      </c>
      <c r="O128" s="76">
        <v>0</v>
      </c>
      <c r="P128" s="76">
        <v>0</v>
      </c>
      <c r="Q128" s="76">
        <v>0</v>
      </c>
      <c r="R128" s="76">
        <v>0</v>
      </c>
      <c r="S128" s="76">
        <v>39924</v>
      </c>
      <c r="T128" s="76">
        <v>-282</v>
      </c>
      <c r="U128" s="76">
        <v>39642</v>
      </c>
      <c r="V128" s="76">
        <v>0</v>
      </c>
      <c r="W128" s="76">
        <v>-18750</v>
      </c>
      <c r="X128" s="76">
        <v>0</v>
      </c>
      <c r="Y128" s="76">
        <v>0</v>
      </c>
      <c r="Z128" s="76">
        <v>20892</v>
      </c>
      <c r="AA128" s="76">
        <v>207001</v>
      </c>
      <c r="AB128" s="76">
        <v>37753</v>
      </c>
      <c r="AC128" s="76">
        <v>244754</v>
      </c>
      <c r="AD128" s="76">
        <v>10132</v>
      </c>
      <c r="AE128" s="76">
        <v>4848</v>
      </c>
      <c r="AF128" s="76">
        <v>127</v>
      </c>
      <c r="AG128" s="76">
        <v>0</v>
      </c>
      <c r="AH128" s="76">
        <v>259861</v>
      </c>
      <c r="AI128" s="76">
        <v>53324</v>
      </c>
      <c r="AJ128" s="76">
        <v>28693</v>
      </c>
      <c r="AK128" s="76">
        <v>34126</v>
      </c>
      <c r="AL128" s="76">
        <v>20329</v>
      </c>
      <c r="AM128" s="76">
        <v>2837</v>
      </c>
      <c r="AN128" s="76">
        <v>4614</v>
      </c>
      <c r="AO128" s="76">
        <v>39150</v>
      </c>
      <c r="AP128" s="76">
        <v>1483</v>
      </c>
      <c r="AQ128" s="76">
        <v>4898</v>
      </c>
      <c r="AR128" s="76">
        <v>189454</v>
      </c>
      <c r="AS128" s="76">
        <v>70407</v>
      </c>
      <c r="AT128" s="76">
        <v>7239</v>
      </c>
      <c r="AU128" s="76">
        <v>1987728</v>
      </c>
      <c r="AV128" s="76">
        <v>0</v>
      </c>
      <c r="AW128" s="76">
        <v>26146</v>
      </c>
      <c r="AX128" s="76">
        <v>21055</v>
      </c>
      <c r="AY128" s="76">
        <v>682</v>
      </c>
      <c r="AZ128" s="76">
        <v>0</v>
      </c>
      <c r="BA128" s="76">
        <v>0</v>
      </c>
      <c r="BB128" s="76">
        <v>0</v>
      </c>
      <c r="BC128" s="76">
        <v>0</v>
      </c>
      <c r="BD128" s="76">
        <v>81258</v>
      </c>
      <c r="BE128" s="76">
        <v>2116869</v>
      </c>
      <c r="BF128" s="76">
        <v>60577</v>
      </c>
      <c r="BG128" s="76">
        <v>8828</v>
      </c>
      <c r="BH128" s="76">
        <v>26697</v>
      </c>
      <c r="BI128" s="76">
        <v>2172</v>
      </c>
      <c r="BJ128" s="76">
        <v>17669</v>
      </c>
      <c r="BK128" s="76">
        <v>115943</v>
      </c>
      <c r="BL128" s="76">
        <v>17988</v>
      </c>
      <c r="BM128" s="76">
        <v>0</v>
      </c>
      <c r="BN128" s="76">
        <v>9552</v>
      </c>
      <c r="BO128" s="76">
        <v>88837</v>
      </c>
      <c r="BP128" s="76">
        <v>116377</v>
      </c>
      <c r="BQ128" s="76">
        <v>-434</v>
      </c>
      <c r="BR128" s="76">
        <v>2116435</v>
      </c>
      <c r="BS128" s="76">
        <v>818626</v>
      </c>
      <c r="BT128" s="76">
        <v>0</v>
      </c>
      <c r="BU128" s="76">
        <v>0</v>
      </c>
      <c r="BV128" s="76">
        <v>805681</v>
      </c>
      <c r="BW128" s="76">
        <v>682</v>
      </c>
      <c r="BX128" s="76">
        <v>0</v>
      </c>
      <c r="BY128" s="76">
        <v>9846</v>
      </c>
      <c r="BZ128" s="76">
        <v>1634835</v>
      </c>
      <c r="CA128" s="76">
        <v>73799</v>
      </c>
      <c r="CB128" s="76">
        <v>0</v>
      </c>
      <c r="CC128" s="76">
        <v>407801</v>
      </c>
      <c r="CD128" s="76">
        <v>406729</v>
      </c>
      <c r="CE128" s="76">
        <v>0</v>
      </c>
      <c r="CF128" s="76">
        <v>1072</v>
      </c>
      <c r="CG128" s="76">
        <v>0</v>
      </c>
      <c r="CH128" s="76">
        <v>0</v>
      </c>
      <c r="CI128" s="76">
        <v>407801</v>
      </c>
      <c r="CJ128" s="76">
        <v>9020</v>
      </c>
      <c r="CK128" s="76">
        <v>4837</v>
      </c>
      <c r="CL128" s="76">
        <v>0</v>
      </c>
      <c r="CM128" s="76">
        <v>4183</v>
      </c>
      <c r="CN128" s="76">
        <v>49181</v>
      </c>
      <c r="CO128" s="76">
        <v>0</v>
      </c>
      <c r="CP128" s="76">
        <v>46194</v>
      </c>
      <c r="CQ128" s="76">
        <v>2987</v>
      </c>
      <c r="CR128" s="76">
        <v>0</v>
      </c>
      <c r="CS128" s="76">
        <v>0</v>
      </c>
      <c r="CT128" s="76">
        <v>5784</v>
      </c>
      <c r="CU128" s="76">
        <v>-5784</v>
      </c>
      <c r="CV128" s="76">
        <v>0</v>
      </c>
      <c r="CW128" s="76">
        <v>0</v>
      </c>
      <c r="CX128" s="76">
        <v>922</v>
      </c>
      <c r="CY128" s="76">
        <v>-922</v>
      </c>
      <c r="CZ128" s="76">
        <v>5528</v>
      </c>
      <c r="DA128" s="76">
        <v>0</v>
      </c>
      <c r="DB128" s="76">
        <v>2781</v>
      </c>
      <c r="DC128" s="76">
        <v>2747</v>
      </c>
      <c r="DD128" s="76">
        <v>63729</v>
      </c>
      <c r="DE128" s="76">
        <v>4837</v>
      </c>
      <c r="DF128" s="76">
        <v>55681</v>
      </c>
      <c r="DG128" s="76">
        <v>3211</v>
      </c>
      <c r="DH128" s="76">
        <v>3058</v>
      </c>
      <c r="DI128" s="76">
        <v>1648</v>
      </c>
      <c r="DJ128" s="76">
        <v>0</v>
      </c>
      <c r="DK128" s="76">
        <v>1410</v>
      </c>
      <c r="DL128" s="76">
        <v>0</v>
      </c>
      <c r="DM128" s="76">
        <v>0</v>
      </c>
      <c r="DN128" s="76">
        <v>0</v>
      </c>
      <c r="DO128" s="76">
        <v>0</v>
      </c>
      <c r="DP128" s="76">
        <v>0</v>
      </c>
      <c r="DQ128" s="76">
        <v>0</v>
      </c>
      <c r="DR128" s="76">
        <v>0</v>
      </c>
      <c r="DS128" s="76">
        <v>0</v>
      </c>
      <c r="DT128" s="76">
        <v>0</v>
      </c>
      <c r="DU128" s="76">
        <v>0</v>
      </c>
      <c r="DV128" s="76">
        <v>0</v>
      </c>
      <c r="DW128" s="76">
        <v>0</v>
      </c>
      <c r="DX128" s="76">
        <v>0</v>
      </c>
      <c r="DY128" s="76">
        <v>0</v>
      </c>
      <c r="DZ128" s="76">
        <v>0</v>
      </c>
      <c r="EA128" s="76">
        <v>0</v>
      </c>
      <c r="EB128" s="76">
        <v>3566</v>
      </c>
      <c r="EC128" s="76">
        <v>0</v>
      </c>
      <c r="ED128" s="76">
        <v>2126</v>
      </c>
      <c r="EE128" s="76">
        <v>1440</v>
      </c>
      <c r="EF128" s="76">
        <v>6624</v>
      </c>
      <c r="EG128" s="76">
        <v>1648</v>
      </c>
      <c r="EH128" s="76">
        <v>2126</v>
      </c>
      <c r="EI128" s="76">
        <v>2850</v>
      </c>
      <c r="EJ128" s="76">
        <v>70353</v>
      </c>
      <c r="EK128" s="76">
        <v>6485</v>
      </c>
      <c r="EL128" s="76">
        <v>57807</v>
      </c>
      <c r="EM128" s="76">
        <v>6061</v>
      </c>
      <c r="EN128" s="76">
        <v>10724</v>
      </c>
      <c r="EO128" s="76">
        <v>3959</v>
      </c>
      <c r="EP128" s="76">
        <v>2181</v>
      </c>
      <c r="EQ128" s="76">
        <v>3674</v>
      </c>
      <c r="ER128" s="76">
        <v>2274203</v>
      </c>
      <c r="ES128" s="76">
        <v>0</v>
      </c>
      <c r="ET128" s="76">
        <v>2274203</v>
      </c>
      <c r="EU128" s="76">
        <v>106496</v>
      </c>
      <c r="EV128" s="76">
        <v>-17629</v>
      </c>
      <c r="EW128" s="76">
        <v>0</v>
      </c>
      <c r="EX128" s="76">
        <v>0</v>
      </c>
      <c r="EY128" s="76">
        <v>894</v>
      </c>
      <c r="EZ128" s="76">
        <v>2363964</v>
      </c>
      <c r="FA128" s="76">
        <v>345154</v>
      </c>
      <c r="FB128" s="76">
        <v>39150</v>
      </c>
      <c r="FC128" s="76">
        <v>1483</v>
      </c>
      <c r="FD128" s="76">
        <v>0</v>
      </c>
      <c r="FE128" s="76">
        <v>-10083</v>
      </c>
      <c r="FF128" s="76">
        <v>0</v>
      </c>
      <c r="FG128" s="76">
        <v>532</v>
      </c>
      <c r="FH128" s="76">
        <v>376236</v>
      </c>
      <c r="FI128" s="76">
        <v>1987728</v>
      </c>
      <c r="FJ128" s="76">
        <v>1929049</v>
      </c>
      <c r="FK128" s="76">
        <v>5499</v>
      </c>
      <c r="FL128" s="76">
        <v>3070</v>
      </c>
      <c r="FM128" s="76">
        <v>2429</v>
      </c>
      <c r="FN128" s="76">
        <v>920</v>
      </c>
      <c r="FO128" s="76">
        <v>504</v>
      </c>
      <c r="FP128" s="76">
        <v>416</v>
      </c>
      <c r="FQ128" s="76">
        <v>2430</v>
      </c>
      <c r="FR128" s="76">
        <v>2311</v>
      </c>
      <c r="FS128" s="76">
        <v>119</v>
      </c>
      <c r="FT128" s="76">
        <v>2634</v>
      </c>
      <c r="FU128" s="76">
        <v>1935</v>
      </c>
      <c r="FV128" s="76">
        <v>699</v>
      </c>
      <c r="FW128" s="76">
        <v>0</v>
      </c>
      <c r="FX128" s="76">
        <v>0</v>
      </c>
      <c r="FY128" s="76">
        <v>0</v>
      </c>
      <c r="FZ128" s="76">
        <v>0</v>
      </c>
      <c r="GA128" s="76">
        <v>0</v>
      </c>
      <c r="GB128" s="76">
        <v>0</v>
      </c>
      <c r="GC128" s="76">
        <v>11483</v>
      </c>
      <c r="GD128" s="76">
        <v>7820</v>
      </c>
      <c r="GE128" s="76">
        <v>3663</v>
      </c>
      <c r="GF128" s="76">
        <v>2516</v>
      </c>
      <c r="GG128" s="76">
        <v>66</v>
      </c>
      <c r="GH128" s="76">
        <v>1942</v>
      </c>
      <c r="GI128" s="76">
        <v>0</v>
      </c>
      <c r="GJ128" s="76">
        <v>0</v>
      </c>
      <c r="GK128" s="76">
        <v>13145</v>
      </c>
      <c r="GL128" s="76">
        <v>17669</v>
      </c>
      <c r="GM128" s="76">
        <v>913</v>
      </c>
      <c r="GN128" s="76">
        <v>6906</v>
      </c>
      <c r="GO128" s="76">
        <v>594</v>
      </c>
      <c r="GP128" s="76">
        <v>670</v>
      </c>
      <c r="GQ128" s="76">
        <v>786</v>
      </c>
      <c r="GR128" s="76">
        <v>55847</v>
      </c>
      <c r="GS128" s="76">
        <v>0</v>
      </c>
      <c r="GT128" s="76">
        <v>0</v>
      </c>
      <c r="GU128" s="76">
        <v>0</v>
      </c>
      <c r="GV128" s="76">
        <v>0</v>
      </c>
      <c r="GW128" s="76">
        <v>23121</v>
      </c>
      <c r="GX128" s="76">
        <v>88837</v>
      </c>
      <c r="GY128" s="76">
        <v>6841</v>
      </c>
      <c r="GZ128" s="76">
        <v>3005</v>
      </c>
      <c r="HA128" s="76">
        <v>0</v>
      </c>
      <c r="HB128" s="76">
        <v>0</v>
      </c>
      <c r="HC128" s="76">
        <v>9846</v>
      </c>
      <c r="HD128" s="76">
        <v>0</v>
      </c>
      <c r="HE128" s="76">
        <v>0</v>
      </c>
      <c r="HF128" s="76">
        <v>0</v>
      </c>
      <c r="HG128" s="76">
        <v>41064</v>
      </c>
      <c r="HH128" s="76">
        <v>0</v>
      </c>
      <c r="HI128" s="76">
        <v>1884</v>
      </c>
      <c r="HJ128" s="76">
        <v>33</v>
      </c>
      <c r="HK128" s="76">
        <v>0</v>
      </c>
      <c r="HL128" s="76">
        <v>-2191</v>
      </c>
      <c r="HM128" s="76">
        <v>40790</v>
      </c>
      <c r="HN128" s="76">
        <v>12577</v>
      </c>
      <c r="HO128" s="76">
        <v>46931</v>
      </c>
      <c r="HP128" s="76">
        <v>1516</v>
      </c>
      <c r="HQ128" s="76">
        <v>933</v>
      </c>
      <c r="HR128" s="76">
        <v>-448</v>
      </c>
      <c r="HS128" s="76">
        <v>-663</v>
      </c>
      <c r="HT128" s="76">
        <v>46642</v>
      </c>
      <c r="HU128" s="76">
        <v>59</v>
      </c>
      <c r="HV128" s="76">
        <v>0</v>
      </c>
      <c r="HW128" s="76">
        <v>636</v>
      </c>
      <c r="HX128" s="76">
        <v>2918</v>
      </c>
    </row>
    <row r="129" spans="1:232" x14ac:dyDescent="0.2">
      <c r="A129" s="74" t="s">
        <v>441</v>
      </c>
      <c r="B129" s="74" t="s">
        <v>440</v>
      </c>
      <c r="C129" s="75" t="s">
        <v>200</v>
      </c>
      <c r="D129" s="75">
        <v>12</v>
      </c>
      <c r="E129" s="76">
        <v>196181</v>
      </c>
      <c r="F129" s="76">
        <v>-4886</v>
      </c>
      <c r="G129" s="76">
        <v>-163480</v>
      </c>
      <c r="H129" s="76">
        <v>27815</v>
      </c>
      <c r="I129" s="76">
        <v>638</v>
      </c>
      <c r="J129" s="76">
        <v>0</v>
      </c>
      <c r="K129" s="76">
        <v>0</v>
      </c>
      <c r="L129" s="76">
        <v>0</v>
      </c>
      <c r="M129" s="76">
        <v>1890</v>
      </c>
      <c r="N129" s="76">
        <v>-15732</v>
      </c>
      <c r="O129" s="76">
        <v>0</v>
      </c>
      <c r="P129" s="76">
        <v>0</v>
      </c>
      <c r="Q129" s="76">
        <v>0</v>
      </c>
      <c r="R129" s="76">
        <v>0</v>
      </c>
      <c r="S129" s="76">
        <v>14611</v>
      </c>
      <c r="T129" s="76">
        <v>0</v>
      </c>
      <c r="U129" s="76">
        <v>14611</v>
      </c>
      <c r="V129" s="76">
        <v>0</v>
      </c>
      <c r="W129" s="76">
        <v>44</v>
      </c>
      <c r="X129" s="76">
        <v>-1002</v>
      </c>
      <c r="Y129" s="76">
        <v>0</v>
      </c>
      <c r="Z129" s="76">
        <v>13653</v>
      </c>
      <c r="AA129" s="76">
        <v>84648</v>
      </c>
      <c r="AB129" s="76">
        <v>41051</v>
      </c>
      <c r="AC129" s="76">
        <v>125699</v>
      </c>
      <c r="AD129" s="76">
        <v>320</v>
      </c>
      <c r="AE129" s="76">
        <v>0</v>
      </c>
      <c r="AF129" s="76">
        <v>0</v>
      </c>
      <c r="AG129" s="76">
        <v>9769</v>
      </c>
      <c r="AH129" s="76">
        <v>135788</v>
      </c>
      <c r="AI129" s="76">
        <v>28092</v>
      </c>
      <c r="AJ129" s="76">
        <v>36540</v>
      </c>
      <c r="AK129" s="76">
        <v>10452</v>
      </c>
      <c r="AL129" s="76">
        <v>5584</v>
      </c>
      <c r="AM129" s="76">
        <v>1129</v>
      </c>
      <c r="AN129" s="76">
        <v>71</v>
      </c>
      <c r="AO129" s="76">
        <v>27993</v>
      </c>
      <c r="AP129" s="76">
        <v>3995</v>
      </c>
      <c r="AQ129" s="76">
        <v>-4500</v>
      </c>
      <c r="AR129" s="76">
        <v>109356</v>
      </c>
      <c r="AS129" s="76">
        <v>26432</v>
      </c>
      <c r="AT129" s="76">
        <v>3492</v>
      </c>
      <c r="AU129" s="76">
        <v>1003977</v>
      </c>
      <c r="AV129" s="76">
        <v>0</v>
      </c>
      <c r="AW129" s="76">
        <v>1513</v>
      </c>
      <c r="AX129" s="76">
        <v>0</v>
      </c>
      <c r="AY129" s="76">
        <v>0</v>
      </c>
      <c r="AZ129" s="76">
        <v>0</v>
      </c>
      <c r="BA129" s="76">
        <v>0</v>
      </c>
      <c r="BB129" s="76">
        <v>0</v>
      </c>
      <c r="BC129" s="76">
        <v>0</v>
      </c>
      <c r="BD129" s="76">
        <v>6485</v>
      </c>
      <c r="BE129" s="76">
        <v>1011975</v>
      </c>
      <c r="BF129" s="76">
        <v>1604</v>
      </c>
      <c r="BG129" s="76">
        <v>10078</v>
      </c>
      <c r="BH129" s="76">
        <v>48856</v>
      </c>
      <c r="BI129" s="76">
        <v>0</v>
      </c>
      <c r="BJ129" s="76">
        <v>48357</v>
      </c>
      <c r="BK129" s="76">
        <v>108895</v>
      </c>
      <c r="BL129" s="76">
        <v>18051</v>
      </c>
      <c r="BM129" s="76">
        <v>0</v>
      </c>
      <c r="BN129" s="76">
        <v>0</v>
      </c>
      <c r="BO129" s="76">
        <v>56517</v>
      </c>
      <c r="BP129" s="76">
        <v>74568</v>
      </c>
      <c r="BQ129" s="76">
        <v>34327</v>
      </c>
      <c r="BR129" s="76">
        <v>1046302</v>
      </c>
      <c r="BS129" s="76">
        <v>309132</v>
      </c>
      <c r="BT129" s="76">
        <v>0</v>
      </c>
      <c r="BU129" s="76">
        <v>2111</v>
      </c>
      <c r="BV129" s="76">
        <v>33843</v>
      </c>
      <c r="BW129" s="76">
        <v>0</v>
      </c>
      <c r="BX129" s="76">
        <v>17627</v>
      </c>
      <c r="BY129" s="76">
        <v>17231</v>
      </c>
      <c r="BZ129" s="76">
        <v>379944</v>
      </c>
      <c r="CA129" s="76">
        <v>0</v>
      </c>
      <c r="CB129" s="76">
        <v>0</v>
      </c>
      <c r="CC129" s="76">
        <v>666358</v>
      </c>
      <c r="CD129" s="76">
        <v>388469</v>
      </c>
      <c r="CE129" s="76">
        <v>285866</v>
      </c>
      <c r="CF129" s="76">
        <v>0</v>
      </c>
      <c r="CG129" s="76">
        <v>-7977</v>
      </c>
      <c r="CH129" s="76">
        <v>0</v>
      </c>
      <c r="CI129" s="76">
        <v>666358</v>
      </c>
      <c r="CJ129" s="76">
        <v>5983</v>
      </c>
      <c r="CK129" s="76">
        <v>4886</v>
      </c>
      <c r="CL129" s="76">
        <v>0</v>
      </c>
      <c r="CM129" s="76">
        <v>1097</v>
      </c>
      <c r="CN129" s="76">
        <v>2926</v>
      </c>
      <c r="CO129" s="76">
        <v>0</v>
      </c>
      <c r="CP129" s="76">
        <v>2813</v>
      </c>
      <c r="CQ129" s="76">
        <v>113</v>
      </c>
      <c r="CR129" s="76">
        <v>0</v>
      </c>
      <c r="CS129" s="76">
        <v>0</v>
      </c>
      <c r="CT129" s="76">
        <v>0</v>
      </c>
      <c r="CU129" s="76">
        <v>0</v>
      </c>
      <c r="CV129" s="76">
        <v>0</v>
      </c>
      <c r="CW129" s="76">
        <v>0</v>
      </c>
      <c r="CX129" s="76">
        <v>0</v>
      </c>
      <c r="CY129" s="76">
        <v>0</v>
      </c>
      <c r="CZ129" s="76">
        <v>0</v>
      </c>
      <c r="DA129" s="76">
        <v>0</v>
      </c>
      <c r="DB129" s="76">
        <v>0</v>
      </c>
      <c r="DC129" s="76">
        <v>0</v>
      </c>
      <c r="DD129" s="76">
        <v>8909</v>
      </c>
      <c r="DE129" s="76">
        <v>4886</v>
      </c>
      <c r="DF129" s="76">
        <v>2813</v>
      </c>
      <c r="DG129" s="76">
        <v>1210</v>
      </c>
      <c r="DH129" s="76">
        <v>0</v>
      </c>
      <c r="DI129" s="76">
        <v>0</v>
      </c>
      <c r="DJ129" s="76">
        <v>0</v>
      </c>
      <c r="DK129" s="76">
        <v>0</v>
      </c>
      <c r="DL129" s="76">
        <v>0</v>
      </c>
      <c r="DM129" s="76">
        <v>0</v>
      </c>
      <c r="DN129" s="76">
        <v>0</v>
      </c>
      <c r="DO129" s="76">
        <v>0</v>
      </c>
      <c r="DP129" s="76">
        <v>0</v>
      </c>
      <c r="DQ129" s="76">
        <v>0</v>
      </c>
      <c r="DR129" s="76">
        <v>0</v>
      </c>
      <c r="DS129" s="76">
        <v>0</v>
      </c>
      <c r="DT129" s="76">
        <v>0</v>
      </c>
      <c r="DU129" s="76">
        <v>0</v>
      </c>
      <c r="DV129" s="76">
        <v>0</v>
      </c>
      <c r="DW129" s="76">
        <v>0</v>
      </c>
      <c r="DX129" s="76">
        <v>0</v>
      </c>
      <c r="DY129" s="76">
        <v>0</v>
      </c>
      <c r="DZ129" s="76">
        <v>0</v>
      </c>
      <c r="EA129" s="76">
        <v>0</v>
      </c>
      <c r="EB129" s="76">
        <v>51484</v>
      </c>
      <c r="EC129" s="76">
        <v>0</v>
      </c>
      <c r="ED129" s="76">
        <v>51311</v>
      </c>
      <c r="EE129" s="76">
        <v>173</v>
      </c>
      <c r="EF129" s="76">
        <v>51484</v>
      </c>
      <c r="EG129" s="76">
        <v>0</v>
      </c>
      <c r="EH129" s="76">
        <v>51311</v>
      </c>
      <c r="EI129" s="76">
        <v>173</v>
      </c>
      <c r="EJ129" s="76">
        <v>60393</v>
      </c>
      <c r="EK129" s="76">
        <v>4886</v>
      </c>
      <c r="EL129" s="76">
        <v>54124</v>
      </c>
      <c r="EM129" s="76">
        <v>1383</v>
      </c>
      <c r="EN129" s="76">
        <v>1356</v>
      </c>
      <c r="EO129" s="76">
        <v>1035</v>
      </c>
      <c r="EP129" s="76">
        <v>458</v>
      </c>
      <c r="EQ129" s="76">
        <v>1035</v>
      </c>
      <c r="ER129" s="76">
        <v>1228401</v>
      </c>
      <c r="ES129" s="76">
        <v>0</v>
      </c>
      <c r="ET129" s="76">
        <v>1228401</v>
      </c>
      <c r="EU129" s="76">
        <v>36039</v>
      </c>
      <c r="EV129" s="76">
        <v>-29170</v>
      </c>
      <c r="EW129" s="76">
        <v>0</v>
      </c>
      <c r="EX129" s="76">
        <v>0</v>
      </c>
      <c r="EY129" s="76">
        <v>-2015</v>
      </c>
      <c r="EZ129" s="76">
        <v>1233255</v>
      </c>
      <c r="FA129" s="76">
        <v>225806</v>
      </c>
      <c r="FB129" s="76">
        <v>27084</v>
      </c>
      <c r="FC129" s="76">
        <v>3995</v>
      </c>
      <c r="FD129" s="76">
        <v>0</v>
      </c>
      <c r="FE129" s="76">
        <v>-27607</v>
      </c>
      <c r="FF129" s="76">
        <v>0</v>
      </c>
      <c r="FG129" s="76">
        <v>0</v>
      </c>
      <c r="FH129" s="76">
        <v>229278</v>
      </c>
      <c r="FI129" s="76">
        <v>1003977</v>
      </c>
      <c r="FJ129" s="76">
        <v>1002595</v>
      </c>
      <c r="FK129" s="76">
        <v>827</v>
      </c>
      <c r="FL129" s="76">
        <v>574</v>
      </c>
      <c r="FM129" s="76">
        <v>253</v>
      </c>
      <c r="FN129" s="76">
        <v>0</v>
      </c>
      <c r="FO129" s="76">
        <v>0</v>
      </c>
      <c r="FP129" s="76">
        <v>0</v>
      </c>
      <c r="FQ129" s="76">
        <v>0</v>
      </c>
      <c r="FR129" s="76">
        <v>0</v>
      </c>
      <c r="FS129" s="76">
        <v>0</v>
      </c>
      <c r="FT129" s="76">
        <v>1513</v>
      </c>
      <c r="FU129" s="76">
        <v>1264</v>
      </c>
      <c r="FV129" s="76">
        <v>249</v>
      </c>
      <c r="FW129" s="76">
        <v>0</v>
      </c>
      <c r="FX129" s="76">
        <v>0</v>
      </c>
      <c r="FY129" s="76">
        <v>0</v>
      </c>
      <c r="FZ129" s="76">
        <v>1713</v>
      </c>
      <c r="GA129" s="76">
        <v>1577</v>
      </c>
      <c r="GB129" s="76">
        <v>136</v>
      </c>
      <c r="GC129" s="76">
        <v>4053</v>
      </c>
      <c r="GD129" s="76">
        <v>3415</v>
      </c>
      <c r="GE129" s="76">
        <v>638</v>
      </c>
      <c r="GF129" s="76">
        <v>1987</v>
      </c>
      <c r="GG129" s="76">
        <v>0</v>
      </c>
      <c r="GH129" s="76">
        <v>625</v>
      </c>
      <c r="GI129" s="76">
        <v>0</v>
      </c>
      <c r="GJ129" s="76">
        <v>0</v>
      </c>
      <c r="GK129" s="76">
        <v>45745</v>
      </c>
      <c r="GL129" s="76">
        <v>48357</v>
      </c>
      <c r="GM129" s="76">
        <v>3929</v>
      </c>
      <c r="GN129" s="76">
        <v>0</v>
      </c>
      <c r="GO129" s="76">
        <v>6593</v>
      </c>
      <c r="GP129" s="76">
        <v>0</v>
      </c>
      <c r="GQ129" s="76">
        <v>0</v>
      </c>
      <c r="GR129" s="76">
        <v>36366</v>
      </c>
      <c r="GS129" s="76">
        <v>0</v>
      </c>
      <c r="GT129" s="76">
        <v>0</v>
      </c>
      <c r="GU129" s="76">
        <v>1069</v>
      </c>
      <c r="GV129" s="76">
        <v>0</v>
      </c>
      <c r="GW129" s="76">
        <v>8560</v>
      </c>
      <c r="GX129" s="76">
        <v>56517</v>
      </c>
      <c r="GY129" s="76">
        <v>2005</v>
      </c>
      <c r="GZ129" s="76">
        <v>0</v>
      </c>
      <c r="HA129" s="76">
        <v>8757</v>
      </c>
      <c r="HB129" s="76">
        <v>6469</v>
      </c>
      <c r="HC129" s="76">
        <v>17231</v>
      </c>
      <c r="HD129" s="76">
        <v>0</v>
      </c>
      <c r="HE129" s="76">
        <v>0</v>
      </c>
      <c r="HF129" s="76">
        <v>0</v>
      </c>
      <c r="HG129" s="76">
        <v>13983</v>
      </c>
      <c r="HH129" s="76">
        <v>1472</v>
      </c>
      <c r="HI129" s="76">
        <v>454</v>
      </c>
      <c r="HJ129" s="76">
        <v>0</v>
      </c>
      <c r="HK129" s="76">
        <v>91</v>
      </c>
      <c r="HL129" s="76">
        <v>-268</v>
      </c>
      <c r="HM129" s="76">
        <v>15732</v>
      </c>
      <c r="HN129" s="76">
        <v>26094</v>
      </c>
      <c r="HO129" s="76">
        <v>27993</v>
      </c>
      <c r="HP129" s="76">
        <v>3995</v>
      </c>
      <c r="HQ129" s="76">
        <v>151</v>
      </c>
      <c r="HR129" s="76">
        <v>-66</v>
      </c>
      <c r="HS129" s="76">
        <v>-35</v>
      </c>
      <c r="HT129" s="76">
        <v>19581</v>
      </c>
      <c r="HU129" s="76">
        <v>0</v>
      </c>
      <c r="HV129" s="76">
        <v>0</v>
      </c>
      <c r="HW129" s="76">
        <v>0</v>
      </c>
      <c r="HX129" s="76">
        <v>8</v>
      </c>
    </row>
    <row r="130" spans="1:232" x14ac:dyDescent="0.2">
      <c r="A130" s="74" t="s">
        <v>442</v>
      </c>
      <c r="B130" s="74" t="s">
        <v>443</v>
      </c>
      <c r="C130" s="75" t="s">
        <v>200</v>
      </c>
      <c r="D130" s="75">
        <v>12</v>
      </c>
      <c r="E130" s="76">
        <v>35868</v>
      </c>
      <c r="F130" s="76">
        <v>-1009</v>
      </c>
      <c r="G130" s="76">
        <v>-21869</v>
      </c>
      <c r="H130" s="76">
        <v>12990</v>
      </c>
      <c r="I130" s="76">
        <v>112</v>
      </c>
      <c r="J130" s="76">
        <v>0</v>
      </c>
      <c r="K130" s="76">
        <v>-407</v>
      </c>
      <c r="L130" s="76">
        <v>0</v>
      </c>
      <c r="M130" s="76">
        <v>15</v>
      </c>
      <c r="N130" s="76">
        <v>-2984</v>
      </c>
      <c r="O130" s="76">
        <v>0</v>
      </c>
      <c r="P130" s="76">
        <v>0</v>
      </c>
      <c r="Q130" s="76">
        <v>0</v>
      </c>
      <c r="R130" s="76">
        <v>0</v>
      </c>
      <c r="S130" s="76">
        <v>9726</v>
      </c>
      <c r="T130" s="76">
        <v>0</v>
      </c>
      <c r="U130" s="76">
        <v>9726</v>
      </c>
      <c r="V130" s="76">
        <v>0</v>
      </c>
      <c r="W130" s="76">
        <v>222</v>
      </c>
      <c r="X130" s="76">
        <v>0</v>
      </c>
      <c r="Y130" s="76">
        <v>0</v>
      </c>
      <c r="Z130" s="76">
        <v>9948</v>
      </c>
      <c r="AA130" s="76">
        <v>31824</v>
      </c>
      <c r="AB130" s="76">
        <v>1020</v>
      </c>
      <c r="AC130" s="76">
        <v>32844</v>
      </c>
      <c r="AD130" s="76">
        <v>51</v>
      </c>
      <c r="AE130" s="76">
        <v>0</v>
      </c>
      <c r="AF130" s="76">
        <v>0</v>
      </c>
      <c r="AG130" s="76">
        <v>0</v>
      </c>
      <c r="AH130" s="76">
        <v>32895</v>
      </c>
      <c r="AI130" s="76">
        <v>3500</v>
      </c>
      <c r="AJ130" s="76">
        <v>1529</v>
      </c>
      <c r="AK130" s="76">
        <v>5865</v>
      </c>
      <c r="AL130" s="76">
        <v>1093</v>
      </c>
      <c r="AM130" s="76">
        <v>2936</v>
      </c>
      <c r="AN130" s="76">
        <v>168</v>
      </c>
      <c r="AO130" s="76">
        <v>4406</v>
      </c>
      <c r="AP130" s="76">
        <v>0</v>
      </c>
      <c r="AQ130" s="76">
        <v>0</v>
      </c>
      <c r="AR130" s="76">
        <v>19497</v>
      </c>
      <c r="AS130" s="76">
        <v>13398</v>
      </c>
      <c r="AT130" s="76">
        <v>520</v>
      </c>
      <c r="AU130" s="76">
        <v>188468</v>
      </c>
      <c r="AV130" s="76">
        <v>0</v>
      </c>
      <c r="AW130" s="76">
        <v>11952</v>
      </c>
      <c r="AX130" s="76">
        <v>0</v>
      </c>
      <c r="AY130" s="76">
        <v>194</v>
      </c>
      <c r="AZ130" s="76">
        <v>0</v>
      </c>
      <c r="BA130" s="76">
        <v>0</v>
      </c>
      <c r="BB130" s="76">
        <v>0</v>
      </c>
      <c r="BC130" s="76">
        <v>0</v>
      </c>
      <c r="BD130" s="76">
        <v>0</v>
      </c>
      <c r="BE130" s="76">
        <v>200614</v>
      </c>
      <c r="BF130" s="76">
        <v>0</v>
      </c>
      <c r="BG130" s="76">
        <v>1967</v>
      </c>
      <c r="BH130" s="76">
        <v>3830</v>
      </c>
      <c r="BI130" s="76">
        <v>0</v>
      </c>
      <c r="BJ130" s="76">
        <v>651</v>
      </c>
      <c r="BK130" s="76">
        <v>6448</v>
      </c>
      <c r="BL130" s="76">
        <v>198</v>
      </c>
      <c r="BM130" s="76">
        <v>0</v>
      </c>
      <c r="BN130" s="76">
        <v>49</v>
      </c>
      <c r="BO130" s="76">
        <v>8275</v>
      </c>
      <c r="BP130" s="76">
        <v>8522</v>
      </c>
      <c r="BQ130" s="76">
        <v>-2074</v>
      </c>
      <c r="BR130" s="76">
        <v>198540</v>
      </c>
      <c r="BS130" s="76">
        <v>61000</v>
      </c>
      <c r="BT130" s="76">
        <v>0</v>
      </c>
      <c r="BU130" s="76">
        <v>0</v>
      </c>
      <c r="BV130" s="76">
        <v>6407</v>
      </c>
      <c r="BW130" s="76">
        <v>0</v>
      </c>
      <c r="BX130" s="76">
        <v>0</v>
      </c>
      <c r="BY130" s="76">
        <v>371</v>
      </c>
      <c r="BZ130" s="76">
        <v>67778</v>
      </c>
      <c r="CA130" s="76">
        <v>12850</v>
      </c>
      <c r="CB130" s="76">
        <v>0</v>
      </c>
      <c r="CC130" s="76">
        <v>117912</v>
      </c>
      <c r="CD130" s="76">
        <v>76961</v>
      </c>
      <c r="CE130" s="76">
        <v>40517</v>
      </c>
      <c r="CF130" s="76">
        <v>434</v>
      </c>
      <c r="CG130" s="76">
        <v>0</v>
      </c>
      <c r="CH130" s="76">
        <v>0</v>
      </c>
      <c r="CI130" s="76">
        <v>117912</v>
      </c>
      <c r="CJ130" s="76">
        <v>932</v>
      </c>
      <c r="CK130" s="76">
        <v>1009</v>
      </c>
      <c r="CL130" s="76">
        <v>0</v>
      </c>
      <c r="CM130" s="76">
        <v>-77</v>
      </c>
      <c r="CN130" s="76">
        <v>711</v>
      </c>
      <c r="CO130" s="76">
        <v>0</v>
      </c>
      <c r="CP130" s="76">
        <v>713</v>
      </c>
      <c r="CQ130" s="76">
        <v>-2</v>
      </c>
      <c r="CR130" s="76">
        <v>0</v>
      </c>
      <c r="CS130" s="76">
        <v>0</v>
      </c>
      <c r="CT130" s="76">
        <v>0</v>
      </c>
      <c r="CU130" s="76">
        <v>0</v>
      </c>
      <c r="CV130" s="76">
        <v>0</v>
      </c>
      <c r="CW130" s="76">
        <v>0</v>
      </c>
      <c r="CX130" s="76">
        <v>0</v>
      </c>
      <c r="CY130" s="76">
        <v>0</v>
      </c>
      <c r="CZ130" s="76">
        <v>237</v>
      </c>
      <c r="DA130" s="76">
        <v>0</v>
      </c>
      <c r="DB130" s="76">
        <v>792</v>
      </c>
      <c r="DC130" s="76">
        <v>-555</v>
      </c>
      <c r="DD130" s="76">
        <v>1880</v>
      </c>
      <c r="DE130" s="76">
        <v>1009</v>
      </c>
      <c r="DF130" s="76">
        <v>1505</v>
      </c>
      <c r="DG130" s="76">
        <v>-634</v>
      </c>
      <c r="DH130" s="76">
        <v>0</v>
      </c>
      <c r="DI130" s="76">
        <v>0</v>
      </c>
      <c r="DJ130" s="76">
        <v>0</v>
      </c>
      <c r="DK130" s="76">
        <v>0</v>
      </c>
      <c r="DL130" s="76">
        <v>266</v>
      </c>
      <c r="DM130" s="76">
        <v>0</v>
      </c>
      <c r="DN130" s="76">
        <v>140</v>
      </c>
      <c r="DO130" s="76">
        <v>126</v>
      </c>
      <c r="DP130" s="76">
        <v>0</v>
      </c>
      <c r="DQ130" s="76">
        <v>0</v>
      </c>
      <c r="DR130" s="76">
        <v>0</v>
      </c>
      <c r="DS130" s="76">
        <v>0</v>
      </c>
      <c r="DT130" s="76">
        <v>0</v>
      </c>
      <c r="DU130" s="76">
        <v>0</v>
      </c>
      <c r="DV130" s="76">
        <v>0</v>
      </c>
      <c r="DW130" s="76">
        <v>0</v>
      </c>
      <c r="DX130" s="76">
        <v>0</v>
      </c>
      <c r="DY130" s="76">
        <v>0</v>
      </c>
      <c r="DZ130" s="76">
        <v>0</v>
      </c>
      <c r="EA130" s="76">
        <v>0</v>
      </c>
      <c r="EB130" s="76">
        <v>827</v>
      </c>
      <c r="EC130" s="76">
        <v>0</v>
      </c>
      <c r="ED130" s="76">
        <v>727</v>
      </c>
      <c r="EE130" s="76">
        <v>100</v>
      </c>
      <c r="EF130" s="76">
        <v>1093</v>
      </c>
      <c r="EG130" s="76">
        <v>0</v>
      </c>
      <c r="EH130" s="76">
        <v>867</v>
      </c>
      <c r="EI130" s="76">
        <v>226</v>
      </c>
      <c r="EJ130" s="76">
        <v>2973</v>
      </c>
      <c r="EK130" s="76">
        <v>1009</v>
      </c>
      <c r="EL130" s="76">
        <v>2372</v>
      </c>
      <c r="EM130" s="76">
        <v>-408</v>
      </c>
      <c r="EN130" s="76">
        <v>2094</v>
      </c>
      <c r="EO130" s="76">
        <v>432</v>
      </c>
      <c r="EP130" s="76">
        <v>145</v>
      </c>
      <c r="EQ130" s="76">
        <v>414</v>
      </c>
      <c r="ER130" s="76">
        <v>7955</v>
      </c>
      <c r="ES130" s="76">
        <v>187630</v>
      </c>
      <c r="ET130" s="76">
        <v>195585</v>
      </c>
      <c r="EU130" s="76">
        <v>4182</v>
      </c>
      <c r="EV130" s="76">
        <v>-1739</v>
      </c>
      <c r="EW130" s="76">
        <v>0</v>
      </c>
      <c r="EX130" s="76">
        <v>0</v>
      </c>
      <c r="EY130" s="76">
        <v>2054</v>
      </c>
      <c r="EZ130" s="76">
        <v>200082</v>
      </c>
      <c r="FA130" s="76">
        <v>7548</v>
      </c>
      <c r="FB130" s="76">
        <v>4283</v>
      </c>
      <c r="FC130" s="76">
        <v>0</v>
      </c>
      <c r="FD130" s="76">
        <v>0</v>
      </c>
      <c r="FE130" s="76">
        <v>-217</v>
      </c>
      <c r="FF130" s="76">
        <v>0</v>
      </c>
      <c r="FG130" s="76">
        <v>0</v>
      </c>
      <c r="FH130" s="76">
        <v>11614</v>
      </c>
      <c r="FI130" s="76">
        <v>188468</v>
      </c>
      <c r="FJ130" s="76">
        <v>188037</v>
      </c>
      <c r="FK130" s="76">
        <v>868</v>
      </c>
      <c r="FL130" s="76">
        <v>807</v>
      </c>
      <c r="FM130" s="76">
        <v>61</v>
      </c>
      <c r="FN130" s="76">
        <v>535</v>
      </c>
      <c r="FO130" s="76">
        <v>479</v>
      </c>
      <c r="FP130" s="76">
        <v>56</v>
      </c>
      <c r="FQ130" s="76">
        <v>0</v>
      </c>
      <c r="FR130" s="76">
        <v>0</v>
      </c>
      <c r="FS130" s="76">
        <v>0</v>
      </c>
      <c r="FT130" s="76">
        <v>347</v>
      </c>
      <c r="FU130" s="76">
        <v>352</v>
      </c>
      <c r="FV130" s="76">
        <v>-5</v>
      </c>
      <c r="FW130" s="76">
        <v>0</v>
      </c>
      <c r="FX130" s="76">
        <v>0</v>
      </c>
      <c r="FY130" s="76">
        <v>0</v>
      </c>
      <c r="FZ130" s="76">
        <v>0</v>
      </c>
      <c r="GA130" s="76">
        <v>0</v>
      </c>
      <c r="GB130" s="76">
        <v>0</v>
      </c>
      <c r="GC130" s="76">
        <v>1750</v>
      </c>
      <c r="GD130" s="76">
        <v>1638</v>
      </c>
      <c r="GE130" s="76">
        <v>112</v>
      </c>
      <c r="GF130" s="76">
        <v>20</v>
      </c>
      <c r="GG130" s="76">
        <v>0</v>
      </c>
      <c r="GH130" s="76">
        <v>21</v>
      </c>
      <c r="GI130" s="76">
        <v>0</v>
      </c>
      <c r="GJ130" s="76">
        <v>0</v>
      </c>
      <c r="GK130" s="76">
        <v>610</v>
      </c>
      <c r="GL130" s="76">
        <v>651</v>
      </c>
      <c r="GM130" s="76">
        <v>0</v>
      </c>
      <c r="GN130" s="76">
        <v>541</v>
      </c>
      <c r="GO130" s="76">
        <v>5013</v>
      </c>
      <c r="GP130" s="76">
        <v>0</v>
      </c>
      <c r="GQ130" s="76">
        <v>0</v>
      </c>
      <c r="GR130" s="76">
        <v>448</v>
      </c>
      <c r="GS130" s="76">
        <v>0</v>
      </c>
      <c r="GT130" s="76">
        <v>0</v>
      </c>
      <c r="GU130" s="76">
        <v>0</v>
      </c>
      <c r="GV130" s="76">
        <v>0</v>
      </c>
      <c r="GW130" s="76">
        <v>2273</v>
      </c>
      <c r="GX130" s="76">
        <v>8275</v>
      </c>
      <c r="GY130" s="76">
        <v>0</v>
      </c>
      <c r="GZ130" s="76">
        <v>371</v>
      </c>
      <c r="HA130" s="76">
        <v>0</v>
      </c>
      <c r="HB130" s="76">
        <v>0</v>
      </c>
      <c r="HC130" s="76">
        <v>371</v>
      </c>
      <c r="HD130" s="76">
        <v>0</v>
      </c>
      <c r="HE130" s="76">
        <v>0</v>
      </c>
      <c r="HF130" s="76">
        <v>0</v>
      </c>
      <c r="HG130" s="76">
        <v>3088</v>
      </c>
      <c r="HH130" s="76">
        <v>0</v>
      </c>
      <c r="HI130" s="76">
        <v>6</v>
      </c>
      <c r="HJ130" s="76">
        <v>0</v>
      </c>
      <c r="HK130" s="76">
        <v>0</v>
      </c>
      <c r="HL130" s="76">
        <v>-110</v>
      </c>
      <c r="HM130" s="76">
        <v>2984</v>
      </c>
      <c r="HN130" s="76">
        <v>2450</v>
      </c>
      <c r="HO130" s="76">
        <v>4717</v>
      </c>
      <c r="HP130" s="76">
        <v>-250</v>
      </c>
      <c r="HQ130" s="76">
        <v>5</v>
      </c>
      <c r="HR130" s="76">
        <v>-32</v>
      </c>
      <c r="HS130" s="76">
        <v>10</v>
      </c>
      <c r="HT130" s="76">
        <v>7571</v>
      </c>
      <c r="HU130" s="76">
        <v>0</v>
      </c>
      <c r="HV130" s="76">
        <v>0</v>
      </c>
      <c r="HW130" s="76">
        <v>2</v>
      </c>
      <c r="HX130" s="76">
        <v>108</v>
      </c>
    </row>
    <row r="131" spans="1:232" x14ac:dyDescent="0.2">
      <c r="A131" s="74" t="s">
        <v>444</v>
      </c>
      <c r="B131" s="74" t="s">
        <v>90</v>
      </c>
      <c r="C131" s="75" t="s">
        <v>200</v>
      </c>
      <c r="D131" s="75">
        <v>12</v>
      </c>
      <c r="E131" s="76">
        <v>45739</v>
      </c>
      <c r="F131" s="76">
        <v>-4123</v>
      </c>
      <c r="G131" s="76">
        <v>-20008</v>
      </c>
      <c r="H131" s="76">
        <v>21608</v>
      </c>
      <c r="I131" s="76">
        <v>1377</v>
      </c>
      <c r="J131" s="76">
        <v>0</v>
      </c>
      <c r="K131" s="76">
        <v>0</v>
      </c>
      <c r="L131" s="76">
        <v>0</v>
      </c>
      <c r="M131" s="76">
        <v>890</v>
      </c>
      <c r="N131" s="76">
        <v>-12134</v>
      </c>
      <c r="O131" s="76">
        <v>0</v>
      </c>
      <c r="P131" s="76">
        <v>0</v>
      </c>
      <c r="Q131" s="76">
        <v>-6617</v>
      </c>
      <c r="R131" s="76">
        <v>0</v>
      </c>
      <c r="S131" s="76">
        <v>5124</v>
      </c>
      <c r="T131" s="76">
        <v>0</v>
      </c>
      <c r="U131" s="76">
        <v>5124</v>
      </c>
      <c r="V131" s="76">
        <v>4015</v>
      </c>
      <c r="W131" s="76">
        <v>-5393</v>
      </c>
      <c r="X131" s="76">
        <v>0</v>
      </c>
      <c r="Y131" s="76">
        <v>0</v>
      </c>
      <c r="Z131" s="76">
        <v>3746</v>
      </c>
      <c r="AA131" s="76">
        <v>33006</v>
      </c>
      <c r="AB131" s="76">
        <v>1622</v>
      </c>
      <c r="AC131" s="76">
        <v>34628</v>
      </c>
      <c r="AD131" s="76">
        <v>0</v>
      </c>
      <c r="AE131" s="76">
        <v>0</v>
      </c>
      <c r="AF131" s="76">
        <v>0</v>
      </c>
      <c r="AG131" s="76">
        <v>0</v>
      </c>
      <c r="AH131" s="76">
        <v>34628</v>
      </c>
      <c r="AI131" s="76">
        <v>5961</v>
      </c>
      <c r="AJ131" s="76">
        <v>1605</v>
      </c>
      <c r="AK131" s="76">
        <v>3020</v>
      </c>
      <c r="AL131" s="76">
        <v>2600</v>
      </c>
      <c r="AM131" s="76">
        <v>0</v>
      </c>
      <c r="AN131" s="76">
        <v>166</v>
      </c>
      <c r="AO131" s="76">
        <v>4595</v>
      </c>
      <c r="AP131" s="76">
        <v>0</v>
      </c>
      <c r="AQ131" s="76">
        <v>456</v>
      </c>
      <c r="AR131" s="76">
        <v>18403</v>
      </c>
      <c r="AS131" s="76">
        <v>16225</v>
      </c>
      <c r="AT131" s="76">
        <v>410</v>
      </c>
      <c r="AU131" s="76">
        <v>0</v>
      </c>
      <c r="AV131" s="76">
        <v>421803</v>
      </c>
      <c r="AW131" s="76">
        <v>7440</v>
      </c>
      <c r="AX131" s="76">
        <v>562</v>
      </c>
      <c r="AY131" s="76">
        <v>0</v>
      </c>
      <c r="AZ131" s="76">
        <v>19223</v>
      </c>
      <c r="BA131" s="76">
        <v>2477</v>
      </c>
      <c r="BB131" s="76">
        <v>0</v>
      </c>
      <c r="BC131" s="76">
        <v>0</v>
      </c>
      <c r="BD131" s="76">
        <v>0</v>
      </c>
      <c r="BE131" s="76">
        <v>451505</v>
      </c>
      <c r="BF131" s="76">
        <v>5138</v>
      </c>
      <c r="BG131" s="76">
        <v>0</v>
      </c>
      <c r="BH131" s="76">
        <v>36652</v>
      </c>
      <c r="BI131" s="76">
        <v>0</v>
      </c>
      <c r="BJ131" s="76">
        <v>3486</v>
      </c>
      <c r="BK131" s="76">
        <v>45276</v>
      </c>
      <c r="BL131" s="76">
        <v>0</v>
      </c>
      <c r="BM131" s="76">
        <v>0</v>
      </c>
      <c r="BN131" s="76">
        <v>0</v>
      </c>
      <c r="BO131" s="76">
        <v>7519</v>
      </c>
      <c r="BP131" s="76">
        <v>7519</v>
      </c>
      <c r="BQ131" s="76">
        <v>37757</v>
      </c>
      <c r="BR131" s="76">
        <v>489262</v>
      </c>
      <c r="BS131" s="76">
        <v>276161</v>
      </c>
      <c r="BT131" s="76">
        <v>0</v>
      </c>
      <c r="BU131" s="76">
        <v>0</v>
      </c>
      <c r="BV131" s="76">
        <v>0</v>
      </c>
      <c r="BW131" s="76">
        <v>0</v>
      </c>
      <c r="BX131" s="76">
        <v>0</v>
      </c>
      <c r="BY131" s="76">
        <v>0</v>
      </c>
      <c r="BZ131" s="76">
        <v>276161</v>
      </c>
      <c r="CA131" s="76">
        <v>20624</v>
      </c>
      <c r="CB131" s="76">
        <v>0</v>
      </c>
      <c r="CC131" s="76">
        <v>192477</v>
      </c>
      <c r="CD131" s="76">
        <v>51432</v>
      </c>
      <c r="CE131" s="76">
        <v>141045</v>
      </c>
      <c r="CF131" s="76">
        <v>0</v>
      </c>
      <c r="CG131" s="76">
        <v>0</v>
      </c>
      <c r="CH131" s="76">
        <v>0</v>
      </c>
      <c r="CI131" s="76">
        <v>192477</v>
      </c>
      <c r="CJ131" s="76">
        <v>8324</v>
      </c>
      <c r="CK131" s="76">
        <v>4123</v>
      </c>
      <c r="CL131" s="76">
        <v>0</v>
      </c>
      <c r="CM131" s="76">
        <v>4201</v>
      </c>
      <c r="CN131" s="76">
        <v>152</v>
      </c>
      <c r="CO131" s="76">
        <v>0</v>
      </c>
      <c r="CP131" s="76">
        <v>128</v>
      </c>
      <c r="CQ131" s="76">
        <v>24</v>
      </c>
      <c r="CR131" s="76">
        <v>0</v>
      </c>
      <c r="CS131" s="76">
        <v>0</v>
      </c>
      <c r="CT131" s="76">
        <v>0</v>
      </c>
      <c r="CU131" s="76">
        <v>0</v>
      </c>
      <c r="CV131" s="76">
        <v>0</v>
      </c>
      <c r="CW131" s="76">
        <v>0</v>
      </c>
      <c r="CX131" s="76">
        <v>0</v>
      </c>
      <c r="CY131" s="76">
        <v>0</v>
      </c>
      <c r="CZ131" s="76">
        <v>119</v>
      </c>
      <c r="DA131" s="76">
        <v>0</v>
      </c>
      <c r="DB131" s="76">
        <v>0</v>
      </c>
      <c r="DC131" s="76">
        <v>119</v>
      </c>
      <c r="DD131" s="76">
        <v>8595</v>
      </c>
      <c r="DE131" s="76">
        <v>4123</v>
      </c>
      <c r="DF131" s="76">
        <v>128</v>
      </c>
      <c r="DG131" s="76">
        <v>4344</v>
      </c>
      <c r="DH131" s="76">
        <v>0</v>
      </c>
      <c r="DI131" s="76">
        <v>0</v>
      </c>
      <c r="DJ131" s="76">
        <v>0</v>
      </c>
      <c r="DK131" s="76">
        <v>0</v>
      </c>
      <c r="DL131" s="76">
        <v>0</v>
      </c>
      <c r="DM131" s="76">
        <v>0</v>
      </c>
      <c r="DN131" s="76">
        <v>0</v>
      </c>
      <c r="DO131" s="76">
        <v>0</v>
      </c>
      <c r="DP131" s="76">
        <v>0</v>
      </c>
      <c r="DQ131" s="76">
        <v>0</v>
      </c>
      <c r="DR131" s="76">
        <v>0</v>
      </c>
      <c r="DS131" s="76">
        <v>0</v>
      </c>
      <c r="DT131" s="76">
        <v>587</v>
      </c>
      <c r="DU131" s="76">
        <v>0</v>
      </c>
      <c r="DV131" s="76">
        <v>108</v>
      </c>
      <c r="DW131" s="76">
        <v>479</v>
      </c>
      <c r="DX131" s="76">
        <v>0</v>
      </c>
      <c r="DY131" s="76">
        <v>0</v>
      </c>
      <c r="DZ131" s="76">
        <v>0</v>
      </c>
      <c r="EA131" s="76">
        <v>0</v>
      </c>
      <c r="EB131" s="76">
        <v>1929</v>
      </c>
      <c r="EC131" s="76">
        <v>0</v>
      </c>
      <c r="ED131" s="76">
        <v>1369</v>
      </c>
      <c r="EE131" s="76">
        <v>560</v>
      </c>
      <c r="EF131" s="76">
        <v>2516</v>
      </c>
      <c r="EG131" s="76">
        <v>0</v>
      </c>
      <c r="EH131" s="76">
        <v>1477</v>
      </c>
      <c r="EI131" s="76">
        <v>1039</v>
      </c>
      <c r="EJ131" s="76">
        <v>11111</v>
      </c>
      <c r="EK131" s="76">
        <v>4123</v>
      </c>
      <c r="EL131" s="76">
        <v>1605</v>
      </c>
      <c r="EM131" s="76">
        <v>5383</v>
      </c>
      <c r="EN131" s="76">
        <v>737</v>
      </c>
      <c r="EO131" s="76">
        <v>560</v>
      </c>
      <c r="EP131" s="76">
        <v>49</v>
      </c>
      <c r="EQ131" s="76">
        <v>560</v>
      </c>
      <c r="ER131" s="76">
        <v>0</v>
      </c>
      <c r="ES131" s="76">
        <v>455706</v>
      </c>
      <c r="ET131" s="76">
        <v>455706</v>
      </c>
      <c r="EU131" s="76">
        <v>23665</v>
      </c>
      <c r="EV131" s="76">
        <v>-4178</v>
      </c>
      <c r="EW131" s="76">
        <v>0</v>
      </c>
      <c r="EX131" s="76">
        <v>0</v>
      </c>
      <c r="EY131" s="76">
        <v>-4761</v>
      </c>
      <c r="EZ131" s="76">
        <v>470432</v>
      </c>
      <c r="FA131" s="76">
        <v>44035</v>
      </c>
      <c r="FB131" s="76">
        <v>4595</v>
      </c>
      <c r="FC131" s="76">
        <v>0</v>
      </c>
      <c r="FD131" s="76">
        <v>0</v>
      </c>
      <c r="FE131" s="76">
        <v>0</v>
      </c>
      <c r="FF131" s="76">
        <v>0</v>
      </c>
      <c r="FG131" s="76">
        <v>0</v>
      </c>
      <c r="FH131" s="76">
        <v>48630</v>
      </c>
      <c r="FI131" s="76">
        <v>421802</v>
      </c>
      <c r="FJ131" s="76">
        <v>411671</v>
      </c>
      <c r="FK131" s="76">
        <v>714</v>
      </c>
      <c r="FL131" s="76">
        <v>236</v>
      </c>
      <c r="FM131" s="76">
        <v>478</v>
      </c>
      <c r="FN131" s="76">
        <v>0</v>
      </c>
      <c r="FO131" s="76">
        <v>0</v>
      </c>
      <c r="FP131" s="76">
        <v>0</v>
      </c>
      <c r="FQ131" s="76">
        <v>1686</v>
      </c>
      <c r="FR131" s="76">
        <v>787</v>
      </c>
      <c r="FS131" s="76">
        <v>899</v>
      </c>
      <c r="FT131" s="76">
        <v>0</v>
      </c>
      <c r="FU131" s="76">
        <v>0</v>
      </c>
      <c r="FV131" s="76">
        <v>0</v>
      </c>
      <c r="FW131" s="76">
        <v>0</v>
      </c>
      <c r="FX131" s="76">
        <v>0</v>
      </c>
      <c r="FY131" s="76">
        <v>0</v>
      </c>
      <c r="FZ131" s="76">
        <v>0</v>
      </c>
      <c r="GA131" s="76">
        <v>0</v>
      </c>
      <c r="GB131" s="76">
        <v>0</v>
      </c>
      <c r="GC131" s="76">
        <v>2400</v>
      </c>
      <c r="GD131" s="76">
        <v>1023</v>
      </c>
      <c r="GE131" s="76">
        <v>1377</v>
      </c>
      <c r="GF131" s="76">
        <v>0</v>
      </c>
      <c r="GG131" s="76">
        <v>0</v>
      </c>
      <c r="GH131" s="76">
        <v>0</v>
      </c>
      <c r="GI131" s="76">
        <v>0</v>
      </c>
      <c r="GJ131" s="76">
        <v>0</v>
      </c>
      <c r="GK131" s="76">
        <v>3486</v>
      </c>
      <c r="GL131" s="76">
        <v>3486</v>
      </c>
      <c r="GM131" s="76">
        <v>1659</v>
      </c>
      <c r="GN131" s="76">
        <v>954</v>
      </c>
      <c r="GO131" s="76">
        <v>0</v>
      </c>
      <c r="GP131" s="76">
        <v>663</v>
      </c>
      <c r="GQ131" s="76">
        <v>0</v>
      </c>
      <c r="GR131" s="76">
        <v>3739</v>
      </c>
      <c r="GS131" s="76">
        <v>0</v>
      </c>
      <c r="GT131" s="76">
        <v>0</v>
      </c>
      <c r="GU131" s="76">
        <v>0</v>
      </c>
      <c r="GV131" s="76">
        <v>0</v>
      </c>
      <c r="GW131" s="76">
        <v>504</v>
      </c>
      <c r="GX131" s="76">
        <v>7519</v>
      </c>
      <c r="GY131" s="76">
        <v>0</v>
      </c>
      <c r="GZ131" s="76">
        <v>0</v>
      </c>
      <c r="HA131" s="76">
        <v>0</v>
      </c>
      <c r="HB131" s="76">
        <v>0</v>
      </c>
      <c r="HC131" s="76">
        <v>0</v>
      </c>
      <c r="HD131" s="76">
        <v>0</v>
      </c>
      <c r="HE131" s="76">
        <v>0</v>
      </c>
      <c r="HF131" s="76">
        <v>0</v>
      </c>
      <c r="HG131" s="76">
        <v>13086</v>
      </c>
      <c r="HH131" s="76">
        <v>0</v>
      </c>
      <c r="HI131" s="76">
        <v>530</v>
      </c>
      <c r="HJ131" s="76">
        <v>0</v>
      </c>
      <c r="HK131" s="76">
        <v>0</v>
      </c>
      <c r="HL131" s="76">
        <v>-1482</v>
      </c>
      <c r="HM131" s="76">
        <v>12134</v>
      </c>
      <c r="HN131" s="76">
        <v>2210</v>
      </c>
      <c r="HO131" s="76">
        <v>5141</v>
      </c>
      <c r="HP131" s="76">
        <v>1</v>
      </c>
      <c r="HQ131" s="76">
        <v>124</v>
      </c>
      <c r="HR131" s="76">
        <v>-10</v>
      </c>
      <c r="HS131" s="76">
        <v>-13</v>
      </c>
      <c r="HT131" s="76">
        <v>5438</v>
      </c>
      <c r="HU131" s="76">
        <v>0</v>
      </c>
      <c r="HV131" s="76">
        <v>0</v>
      </c>
      <c r="HW131" s="76">
        <v>0</v>
      </c>
      <c r="HX131" s="76">
        <v>78</v>
      </c>
    </row>
    <row r="132" spans="1:232" x14ac:dyDescent="0.2">
      <c r="A132" s="74" t="s">
        <v>447</v>
      </c>
      <c r="B132" s="74" t="s">
        <v>446</v>
      </c>
      <c r="C132" s="75" t="s">
        <v>200</v>
      </c>
      <c r="D132" s="75">
        <v>12</v>
      </c>
      <c r="E132" s="76">
        <v>9968</v>
      </c>
      <c r="F132" s="76">
        <v>-237</v>
      </c>
      <c r="G132" s="76">
        <v>-5921</v>
      </c>
      <c r="H132" s="76">
        <v>3810</v>
      </c>
      <c r="I132" s="76">
        <v>71</v>
      </c>
      <c r="J132" s="76">
        <v>0</v>
      </c>
      <c r="K132" s="76">
        <v>0</v>
      </c>
      <c r="L132" s="76">
        <v>0</v>
      </c>
      <c r="M132" s="76">
        <v>13</v>
      </c>
      <c r="N132" s="76">
        <v>-692</v>
      </c>
      <c r="O132" s="76">
        <v>0</v>
      </c>
      <c r="P132" s="76">
        <v>0</v>
      </c>
      <c r="Q132" s="76">
        <v>0</v>
      </c>
      <c r="R132" s="76">
        <v>0</v>
      </c>
      <c r="S132" s="76">
        <v>3202</v>
      </c>
      <c r="T132" s="76">
        <v>0</v>
      </c>
      <c r="U132" s="76">
        <v>3202</v>
      </c>
      <c r="V132" s="76">
        <v>0</v>
      </c>
      <c r="W132" s="76">
        <v>0</v>
      </c>
      <c r="X132" s="76">
        <v>0</v>
      </c>
      <c r="Y132" s="76">
        <v>0</v>
      </c>
      <c r="Z132" s="76">
        <v>3202</v>
      </c>
      <c r="AA132" s="76">
        <v>8814</v>
      </c>
      <c r="AB132" s="76">
        <v>462</v>
      </c>
      <c r="AC132" s="76">
        <v>9276</v>
      </c>
      <c r="AD132" s="76">
        <v>214</v>
      </c>
      <c r="AE132" s="76">
        <v>0</v>
      </c>
      <c r="AF132" s="76">
        <v>0</v>
      </c>
      <c r="AG132" s="76">
        <v>0</v>
      </c>
      <c r="AH132" s="76">
        <v>9490</v>
      </c>
      <c r="AI132" s="76">
        <v>1636</v>
      </c>
      <c r="AJ132" s="76">
        <v>518</v>
      </c>
      <c r="AK132" s="76">
        <v>1180</v>
      </c>
      <c r="AL132" s="76">
        <v>0</v>
      </c>
      <c r="AM132" s="76">
        <v>660</v>
      </c>
      <c r="AN132" s="76">
        <v>37</v>
      </c>
      <c r="AO132" s="76">
        <v>1095</v>
      </c>
      <c r="AP132" s="76">
        <v>295</v>
      </c>
      <c r="AQ132" s="76">
        <v>428</v>
      </c>
      <c r="AR132" s="76">
        <v>5849</v>
      </c>
      <c r="AS132" s="76">
        <v>3641</v>
      </c>
      <c r="AT132" s="76">
        <v>39</v>
      </c>
      <c r="AU132" s="76">
        <v>68111</v>
      </c>
      <c r="AV132" s="76">
        <v>0</v>
      </c>
      <c r="AW132" s="76">
        <v>2588</v>
      </c>
      <c r="AX132" s="76">
        <v>14</v>
      </c>
      <c r="AY132" s="76">
        <v>0</v>
      </c>
      <c r="AZ132" s="76">
        <v>0</v>
      </c>
      <c r="BA132" s="76">
        <v>0</v>
      </c>
      <c r="BB132" s="76">
        <v>0</v>
      </c>
      <c r="BC132" s="76">
        <v>0</v>
      </c>
      <c r="BD132" s="76">
        <v>0</v>
      </c>
      <c r="BE132" s="76">
        <v>70713</v>
      </c>
      <c r="BF132" s="76">
        <v>0</v>
      </c>
      <c r="BG132" s="76">
        <v>1499</v>
      </c>
      <c r="BH132" s="76">
        <v>3351</v>
      </c>
      <c r="BI132" s="76">
        <v>0</v>
      </c>
      <c r="BJ132" s="76">
        <v>9</v>
      </c>
      <c r="BK132" s="76">
        <v>4859</v>
      </c>
      <c r="BL132" s="76">
        <v>0</v>
      </c>
      <c r="BM132" s="76">
        <v>0</v>
      </c>
      <c r="BN132" s="76">
        <v>0</v>
      </c>
      <c r="BO132" s="76">
        <v>3539</v>
      </c>
      <c r="BP132" s="76">
        <v>3539</v>
      </c>
      <c r="BQ132" s="76">
        <v>1320</v>
      </c>
      <c r="BR132" s="76">
        <v>72033</v>
      </c>
      <c r="BS132" s="76">
        <v>22792</v>
      </c>
      <c r="BT132" s="76">
        <v>0</v>
      </c>
      <c r="BU132" s="76">
        <v>0</v>
      </c>
      <c r="BV132" s="76">
        <v>17026</v>
      </c>
      <c r="BW132" s="76">
        <v>0</v>
      </c>
      <c r="BX132" s="76">
        <v>0</v>
      </c>
      <c r="BY132" s="76">
        <v>0</v>
      </c>
      <c r="BZ132" s="76">
        <v>39818</v>
      </c>
      <c r="CA132" s="76">
        <v>1309</v>
      </c>
      <c r="CB132" s="76">
        <v>0</v>
      </c>
      <c r="CC132" s="76">
        <v>30906</v>
      </c>
      <c r="CD132" s="76">
        <v>30905</v>
      </c>
      <c r="CE132" s="76">
        <v>0</v>
      </c>
      <c r="CF132" s="76">
        <v>0</v>
      </c>
      <c r="CG132" s="76">
        <v>0</v>
      </c>
      <c r="CH132" s="76">
        <v>0</v>
      </c>
      <c r="CI132" s="76">
        <v>30905</v>
      </c>
      <c r="CJ132" s="76">
        <v>267</v>
      </c>
      <c r="CK132" s="76">
        <v>237</v>
      </c>
      <c r="CL132" s="76">
        <v>0</v>
      </c>
      <c r="CM132" s="76">
        <v>30</v>
      </c>
      <c r="CN132" s="76">
        <v>0</v>
      </c>
      <c r="CO132" s="76">
        <v>0</v>
      </c>
      <c r="CP132" s="76">
        <v>0</v>
      </c>
      <c r="CQ132" s="76">
        <v>0</v>
      </c>
      <c r="CR132" s="76">
        <v>0</v>
      </c>
      <c r="CS132" s="76">
        <v>0</v>
      </c>
      <c r="CT132" s="76">
        <v>0</v>
      </c>
      <c r="CU132" s="76">
        <v>0</v>
      </c>
      <c r="CV132" s="76">
        <v>0</v>
      </c>
      <c r="CW132" s="76">
        <v>0</v>
      </c>
      <c r="CX132" s="76">
        <v>0</v>
      </c>
      <c r="CY132" s="76">
        <v>0</v>
      </c>
      <c r="CZ132" s="76">
        <v>210</v>
      </c>
      <c r="DA132" s="76">
        <v>0</v>
      </c>
      <c r="DB132" s="76">
        <v>72</v>
      </c>
      <c r="DC132" s="76">
        <v>138</v>
      </c>
      <c r="DD132" s="76">
        <v>477</v>
      </c>
      <c r="DE132" s="76">
        <v>237</v>
      </c>
      <c r="DF132" s="76">
        <v>72</v>
      </c>
      <c r="DG132" s="76">
        <v>168</v>
      </c>
      <c r="DH132" s="76">
        <v>0</v>
      </c>
      <c r="DI132" s="76">
        <v>0</v>
      </c>
      <c r="DJ132" s="76">
        <v>0</v>
      </c>
      <c r="DK132" s="76">
        <v>0</v>
      </c>
      <c r="DL132" s="76">
        <v>0</v>
      </c>
      <c r="DM132" s="76">
        <v>0</v>
      </c>
      <c r="DN132" s="76">
        <v>0</v>
      </c>
      <c r="DO132" s="76">
        <v>0</v>
      </c>
      <c r="DP132" s="76">
        <v>0</v>
      </c>
      <c r="DQ132" s="76">
        <v>0</v>
      </c>
      <c r="DR132" s="76">
        <v>0</v>
      </c>
      <c r="DS132" s="76">
        <v>0</v>
      </c>
      <c r="DT132" s="76">
        <v>0</v>
      </c>
      <c r="DU132" s="76">
        <v>0</v>
      </c>
      <c r="DV132" s="76">
        <v>0</v>
      </c>
      <c r="DW132" s="76">
        <v>0</v>
      </c>
      <c r="DX132" s="76">
        <v>0</v>
      </c>
      <c r="DY132" s="76">
        <v>0</v>
      </c>
      <c r="DZ132" s="76">
        <v>0</v>
      </c>
      <c r="EA132" s="76">
        <v>0</v>
      </c>
      <c r="EB132" s="76">
        <v>0</v>
      </c>
      <c r="EC132" s="76">
        <v>0</v>
      </c>
      <c r="ED132" s="76">
        <v>0</v>
      </c>
      <c r="EE132" s="76">
        <v>0</v>
      </c>
      <c r="EF132" s="76">
        <v>0</v>
      </c>
      <c r="EG132" s="76">
        <v>0</v>
      </c>
      <c r="EH132" s="76">
        <v>0</v>
      </c>
      <c r="EI132" s="76">
        <v>0</v>
      </c>
      <c r="EJ132" s="76">
        <v>477</v>
      </c>
      <c r="EK132" s="76">
        <v>237</v>
      </c>
      <c r="EL132" s="76">
        <v>72</v>
      </c>
      <c r="EM132" s="76">
        <v>168</v>
      </c>
      <c r="EN132" s="76">
        <v>193</v>
      </c>
      <c r="EO132" s="76">
        <v>44</v>
      </c>
      <c r="EP132" s="76">
        <v>73</v>
      </c>
      <c r="EQ132" s="76">
        <v>44</v>
      </c>
      <c r="ER132" s="76">
        <v>80913</v>
      </c>
      <c r="ES132" s="76">
        <v>0</v>
      </c>
      <c r="ET132" s="76">
        <v>80913</v>
      </c>
      <c r="EU132" s="76">
        <v>2548</v>
      </c>
      <c r="EV132" s="76">
        <v>-43</v>
      </c>
      <c r="EW132" s="76">
        <v>0</v>
      </c>
      <c r="EX132" s="76">
        <v>0</v>
      </c>
      <c r="EY132" s="76">
        <v>-83</v>
      </c>
      <c r="EZ132" s="76">
        <v>83335</v>
      </c>
      <c r="FA132" s="76">
        <v>13835</v>
      </c>
      <c r="FB132" s="76">
        <v>1094</v>
      </c>
      <c r="FC132" s="76">
        <v>295</v>
      </c>
      <c r="FD132" s="76">
        <v>0</v>
      </c>
      <c r="FE132" s="76">
        <v>0</v>
      </c>
      <c r="FF132" s="76">
        <v>0</v>
      </c>
      <c r="FG132" s="76">
        <v>0</v>
      </c>
      <c r="FH132" s="76">
        <v>15224</v>
      </c>
      <c r="FI132" s="76">
        <v>68111</v>
      </c>
      <c r="FJ132" s="76">
        <v>67078</v>
      </c>
      <c r="FK132" s="76">
        <v>116</v>
      </c>
      <c r="FL132" s="76">
        <v>44</v>
      </c>
      <c r="FM132" s="76">
        <v>72</v>
      </c>
      <c r="FN132" s="76">
        <v>0</v>
      </c>
      <c r="FO132" s="76">
        <v>0</v>
      </c>
      <c r="FP132" s="76">
        <v>0</v>
      </c>
      <c r="FQ132" s="76">
        <v>0</v>
      </c>
      <c r="FR132" s="76">
        <v>0</v>
      </c>
      <c r="FS132" s="76">
        <v>0</v>
      </c>
      <c r="FT132" s="76">
        <v>0</v>
      </c>
      <c r="FU132" s="76">
        <v>0</v>
      </c>
      <c r="FV132" s="76">
        <v>0</v>
      </c>
      <c r="FW132" s="76">
        <v>0</v>
      </c>
      <c r="FX132" s="76">
        <v>0</v>
      </c>
      <c r="FY132" s="76">
        <v>0</v>
      </c>
      <c r="FZ132" s="76">
        <v>0</v>
      </c>
      <c r="GA132" s="76">
        <v>1</v>
      </c>
      <c r="GB132" s="76">
        <v>-1</v>
      </c>
      <c r="GC132" s="76">
        <v>116</v>
      </c>
      <c r="GD132" s="76">
        <v>45</v>
      </c>
      <c r="GE132" s="76">
        <v>71</v>
      </c>
      <c r="GF132" s="76">
        <v>0</v>
      </c>
      <c r="GG132" s="76">
        <v>0</v>
      </c>
      <c r="GH132" s="76">
        <v>0</v>
      </c>
      <c r="GI132" s="76">
        <v>0</v>
      </c>
      <c r="GJ132" s="76">
        <v>0</v>
      </c>
      <c r="GK132" s="76">
        <v>9</v>
      </c>
      <c r="GL132" s="76">
        <v>9</v>
      </c>
      <c r="GM132" s="76">
        <v>1555</v>
      </c>
      <c r="GN132" s="76">
        <v>224</v>
      </c>
      <c r="GO132" s="76">
        <v>0</v>
      </c>
      <c r="GP132" s="76">
        <v>0</v>
      </c>
      <c r="GQ132" s="76">
        <v>0</v>
      </c>
      <c r="GR132" s="76">
        <v>0</v>
      </c>
      <c r="GS132" s="76">
        <v>0</v>
      </c>
      <c r="GT132" s="76">
        <v>0</v>
      </c>
      <c r="GU132" s="76">
        <v>232</v>
      </c>
      <c r="GV132" s="76">
        <v>0</v>
      </c>
      <c r="GW132" s="76">
        <v>1528</v>
      </c>
      <c r="GX132" s="76">
        <v>3539</v>
      </c>
      <c r="GY132" s="76">
        <v>0</v>
      </c>
      <c r="GZ132" s="76">
        <v>0</v>
      </c>
      <c r="HA132" s="76">
        <v>0</v>
      </c>
      <c r="HB132" s="76">
        <v>0</v>
      </c>
      <c r="HC132" s="76">
        <v>0</v>
      </c>
      <c r="HD132" s="76">
        <v>0</v>
      </c>
      <c r="HE132" s="76">
        <v>0</v>
      </c>
      <c r="HF132" s="76">
        <v>0</v>
      </c>
      <c r="HG132" s="76">
        <v>702</v>
      </c>
      <c r="HH132" s="76">
        <v>0</v>
      </c>
      <c r="HI132" s="76">
        <v>0</v>
      </c>
      <c r="HJ132" s="76">
        <v>0</v>
      </c>
      <c r="HK132" s="76">
        <v>0</v>
      </c>
      <c r="HL132" s="76">
        <v>-10</v>
      </c>
      <c r="HM132" s="76">
        <v>692</v>
      </c>
      <c r="HN132" s="76">
        <v>1195</v>
      </c>
      <c r="HO132" s="76">
        <v>1095</v>
      </c>
      <c r="HP132" s="76">
        <v>-295</v>
      </c>
      <c r="HQ132" s="76">
        <v>0</v>
      </c>
      <c r="HR132" s="76">
        <v>0</v>
      </c>
      <c r="HS132" s="76">
        <v>0</v>
      </c>
      <c r="HT132" s="76">
        <v>1646</v>
      </c>
      <c r="HU132" s="76">
        <v>0</v>
      </c>
      <c r="HV132" s="76">
        <v>0</v>
      </c>
      <c r="HW132" s="76">
        <v>0</v>
      </c>
      <c r="HX132" s="76">
        <v>0</v>
      </c>
    </row>
    <row r="133" spans="1:232" x14ac:dyDescent="0.2">
      <c r="A133" s="74" t="s">
        <v>448</v>
      </c>
      <c r="B133" s="74" t="s">
        <v>449</v>
      </c>
      <c r="C133" s="75" t="s">
        <v>200</v>
      </c>
      <c r="D133" s="75">
        <v>12</v>
      </c>
      <c r="E133" s="76">
        <v>7724</v>
      </c>
      <c r="F133" s="76">
        <v>-222</v>
      </c>
      <c r="G133" s="76">
        <v>-4385</v>
      </c>
      <c r="H133" s="76">
        <v>3117</v>
      </c>
      <c r="I133" s="76">
        <v>308</v>
      </c>
      <c r="J133" s="76">
        <v>0</v>
      </c>
      <c r="K133" s="76">
        <v>0</v>
      </c>
      <c r="L133" s="76">
        <v>80</v>
      </c>
      <c r="M133" s="76">
        <v>116</v>
      </c>
      <c r="N133" s="76">
        <v>-2321</v>
      </c>
      <c r="O133" s="76">
        <v>0</v>
      </c>
      <c r="P133" s="76">
        <v>32</v>
      </c>
      <c r="Q133" s="76">
        <v>0</v>
      </c>
      <c r="R133" s="76">
        <v>0</v>
      </c>
      <c r="S133" s="76">
        <v>1332</v>
      </c>
      <c r="T133" s="76">
        <v>0</v>
      </c>
      <c r="U133" s="76">
        <v>1332</v>
      </c>
      <c r="V133" s="76">
        <v>0</v>
      </c>
      <c r="W133" s="76">
        <v>0</v>
      </c>
      <c r="X133" s="76">
        <v>0</v>
      </c>
      <c r="Y133" s="76">
        <v>0</v>
      </c>
      <c r="Z133" s="76">
        <v>1332</v>
      </c>
      <c r="AA133" s="76">
        <v>6802</v>
      </c>
      <c r="AB133" s="76">
        <v>418</v>
      </c>
      <c r="AC133" s="76">
        <v>7220</v>
      </c>
      <c r="AD133" s="76">
        <v>7</v>
      </c>
      <c r="AE133" s="76">
        <v>0</v>
      </c>
      <c r="AF133" s="76">
        <v>0</v>
      </c>
      <c r="AG133" s="76">
        <v>0</v>
      </c>
      <c r="AH133" s="76">
        <v>7227</v>
      </c>
      <c r="AI133" s="76">
        <v>1387</v>
      </c>
      <c r="AJ133" s="76">
        <v>499</v>
      </c>
      <c r="AK133" s="76">
        <v>1070</v>
      </c>
      <c r="AL133" s="76">
        <v>260</v>
      </c>
      <c r="AM133" s="76">
        <v>0</v>
      </c>
      <c r="AN133" s="76">
        <v>29</v>
      </c>
      <c r="AO133" s="76">
        <v>1004</v>
      </c>
      <c r="AP133" s="76">
        <v>0</v>
      </c>
      <c r="AQ133" s="76">
        <v>133</v>
      </c>
      <c r="AR133" s="76">
        <v>4382</v>
      </c>
      <c r="AS133" s="76">
        <v>2845</v>
      </c>
      <c r="AT133" s="76">
        <v>39</v>
      </c>
      <c r="AU133" s="76">
        <v>87317</v>
      </c>
      <c r="AV133" s="76">
        <v>0</v>
      </c>
      <c r="AW133" s="76">
        <v>1198</v>
      </c>
      <c r="AX133" s="76">
        <v>16</v>
      </c>
      <c r="AY133" s="76">
        <v>0</v>
      </c>
      <c r="AZ133" s="76">
        <v>0</v>
      </c>
      <c r="BA133" s="76">
        <v>0</v>
      </c>
      <c r="BB133" s="76">
        <v>0</v>
      </c>
      <c r="BC133" s="76">
        <v>0</v>
      </c>
      <c r="BD133" s="76">
        <v>0</v>
      </c>
      <c r="BE133" s="76">
        <v>88531</v>
      </c>
      <c r="BF133" s="76">
        <v>585</v>
      </c>
      <c r="BG133" s="76">
        <v>167</v>
      </c>
      <c r="BH133" s="76">
        <v>12474</v>
      </c>
      <c r="BI133" s="76">
        <v>417</v>
      </c>
      <c r="BJ133" s="76">
        <v>451</v>
      </c>
      <c r="BK133" s="76">
        <v>14094</v>
      </c>
      <c r="BL133" s="76">
        <v>563</v>
      </c>
      <c r="BM133" s="76">
        <v>0</v>
      </c>
      <c r="BN133" s="76">
        <v>0</v>
      </c>
      <c r="BO133" s="76">
        <v>2020</v>
      </c>
      <c r="BP133" s="76">
        <v>2583</v>
      </c>
      <c r="BQ133" s="76">
        <v>11511</v>
      </c>
      <c r="BR133" s="76">
        <v>100042</v>
      </c>
      <c r="BS133" s="76">
        <v>50991</v>
      </c>
      <c r="BT133" s="76">
        <v>0</v>
      </c>
      <c r="BU133" s="76">
        <v>0</v>
      </c>
      <c r="BV133" s="76">
        <v>0</v>
      </c>
      <c r="BW133" s="76">
        <v>0</v>
      </c>
      <c r="BX133" s="76">
        <v>0</v>
      </c>
      <c r="BY133" s="76">
        <v>2148</v>
      </c>
      <c r="BZ133" s="76">
        <v>53139</v>
      </c>
      <c r="CA133" s="76">
        <v>472</v>
      </c>
      <c r="CB133" s="76">
        <v>0</v>
      </c>
      <c r="CC133" s="76">
        <v>46431</v>
      </c>
      <c r="CD133" s="76">
        <v>14667</v>
      </c>
      <c r="CE133" s="76">
        <v>31718</v>
      </c>
      <c r="CF133" s="76">
        <v>46</v>
      </c>
      <c r="CG133" s="76">
        <v>0</v>
      </c>
      <c r="CH133" s="76">
        <v>0</v>
      </c>
      <c r="CI133" s="76">
        <v>46431</v>
      </c>
      <c r="CJ133" s="76">
        <v>356</v>
      </c>
      <c r="CK133" s="76">
        <v>222</v>
      </c>
      <c r="CL133" s="76">
        <v>0</v>
      </c>
      <c r="CM133" s="76">
        <v>134</v>
      </c>
      <c r="CN133" s="76">
        <v>0</v>
      </c>
      <c r="CO133" s="76">
        <v>0</v>
      </c>
      <c r="CP133" s="76">
        <v>0</v>
      </c>
      <c r="CQ133" s="76">
        <v>0</v>
      </c>
      <c r="CR133" s="76">
        <v>0</v>
      </c>
      <c r="CS133" s="76">
        <v>0</v>
      </c>
      <c r="CT133" s="76">
        <v>0</v>
      </c>
      <c r="CU133" s="76">
        <v>0</v>
      </c>
      <c r="CV133" s="76">
        <v>0</v>
      </c>
      <c r="CW133" s="76">
        <v>0</v>
      </c>
      <c r="CX133" s="76">
        <v>0</v>
      </c>
      <c r="CY133" s="76">
        <v>0</v>
      </c>
      <c r="CZ133" s="76">
        <v>86</v>
      </c>
      <c r="DA133" s="76">
        <v>0</v>
      </c>
      <c r="DB133" s="76">
        <v>3</v>
      </c>
      <c r="DC133" s="76">
        <v>83</v>
      </c>
      <c r="DD133" s="76">
        <v>442</v>
      </c>
      <c r="DE133" s="76">
        <v>222</v>
      </c>
      <c r="DF133" s="76">
        <v>3</v>
      </c>
      <c r="DG133" s="76">
        <v>217</v>
      </c>
      <c r="DH133" s="76">
        <v>0</v>
      </c>
      <c r="DI133" s="76">
        <v>0</v>
      </c>
      <c r="DJ133" s="76">
        <v>0</v>
      </c>
      <c r="DK133" s="76">
        <v>0</v>
      </c>
      <c r="DL133" s="76">
        <v>0</v>
      </c>
      <c r="DM133" s="76">
        <v>0</v>
      </c>
      <c r="DN133" s="76">
        <v>0</v>
      </c>
      <c r="DO133" s="76">
        <v>0</v>
      </c>
      <c r="DP133" s="76">
        <v>0</v>
      </c>
      <c r="DQ133" s="76">
        <v>0</v>
      </c>
      <c r="DR133" s="76">
        <v>0</v>
      </c>
      <c r="DS133" s="76">
        <v>0</v>
      </c>
      <c r="DT133" s="76">
        <v>0</v>
      </c>
      <c r="DU133" s="76">
        <v>0</v>
      </c>
      <c r="DV133" s="76">
        <v>0</v>
      </c>
      <c r="DW133" s="76">
        <v>0</v>
      </c>
      <c r="DX133" s="76">
        <v>0</v>
      </c>
      <c r="DY133" s="76">
        <v>0</v>
      </c>
      <c r="DZ133" s="76">
        <v>0</v>
      </c>
      <c r="EA133" s="76">
        <v>0</v>
      </c>
      <c r="EB133" s="76">
        <v>55</v>
      </c>
      <c r="EC133" s="76">
        <v>0</v>
      </c>
      <c r="ED133" s="76">
        <v>0</v>
      </c>
      <c r="EE133" s="76">
        <v>55</v>
      </c>
      <c r="EF133" s="76">
        <v>55</v>
      </c>
      <c r="EG133" s="76">
        <v>0</v>
      </c>
      <c r="EH133" s="76">
        <v>0</v>
      </c>
      <c r="EI133" s="76">
        <v>55</v>
      </c>
      <c r="EJ133" s="76">
        <v>497</v>
      </c>
      <c r="EK133" s="76">
        <v>222</v>
      </c>
      <c r="EL133" s="76">
        <v>3</v>
      </c>
      <c r="EM133" s="76">
        <v>272</v>
      </c>
      <c r="EN133" s="76">
        <v>207</v>
      </c>
      <c r="EO133" s="76">
        <v>27</v>
      </c>
      <c r="EP133" s="76">
        <v>40</v>
      </c>
      <c r="EQ133" s="76">
        <v>27</v>
      </c>
      <c r="ER133" s="76">
        <v>0</v>
      </c>
      <c r="ES133" s="76">
        <v>87827</v>
      </c>
      <c r="ET133" s="76">
        <v>87827</v>
      </c>
      <c r="EU133" s="76">
        <v>5004</v>
      </c>
      <c r="EV133" s="76">
        <v>-204</v>
      </c>
      <c r="EW133" s="76">
        <v>0</v>
      </c>
      <c r="EX133" s="76">
        <v>0</v>
      </c>
      <c r="EY133" s="76">
        <v>-2112</v>
      </c>
      <c r="EZ133" s="76">
        <v>90515</v>
      </c>
      <c r="FA133" s="76">
        <v>4330</v>
      </c>
      <c r="FB133" s="76">
        <v>956</v>
      </c>
      <c r="FC133" s="76">
        <v>0</v>
      </c>
      <c r="FD133" s="76">
        <v>0</v>
      </c>
      <c r="FE133" s="76">
        <v>-7</v>
      </c>
      <c r="FF133" s="76">
        <v>0</v>
      </c>
      <c r="FG133" s="76">
        <v>-2081</v>
      </c>
      <c r="FH133" s="76">
        <v>3198</v>
      </c>
      <c r="FI133" s="76">
        <v>87317</v>
      </c>
      <c r="FJ133" s="76">
        <v>83497</v>
      </c>
      <c r="FK133" s="76">
        <v>0</v>
      </c>
      <c r="FL133" s="76">
        <v>0</v>
      </c>
      <c r="FM133" s="76">
        <v>0</v>
      </c>
      <c r="FN133" s="76">
        <v>0</v>
      </c>
      <c r="FO133" s="76">
        <v>0</v>
      </c>
      <c r="FP133" s="76">
        <v>0</v>
      </c>
      <c r="FQ133" s="76">
        <v>0</v>
      </c>
      <c r="FR133" s="76">
        <v>0</v>
      </c>
      <c r="FS133" s="76">
        <v>0</v>
      </c>
      <c r="FT133" s="76">
        <v>467</v>
      </c>
      <c r="FU133" s="76">
        <v>159</v>
      </c>
      <c r="FV133" s="76">
        <v>308</v>
      </c>
      <c r="FW133" s="76">
        <v>0</v>
      </c>
      <c r="FX133" s="76">
        <v>0</v>
      </c>
      <c r="FY133" s="76">
        <v>0</v>
      </c>
      <c r="FZ133" s="76">
        <v>0</v>
      </c>
      <c r="GA133" s="76">
        <v>0</v>
      </c>
      <c r="GB133" s="76">
        <v>0</v>
      </c>
      <c r="GC133" s="76">
        <v>467</v>
      </c>
      <c r="GD133" s="76">
        <v>159</v>
      </c>
      <c r="GE133" s="76">
        <v>308</v>
      </c>
      <c r="GF133" s="76">
        <v>0</v>
      </c>
      <c r="GG133" s="76">
        <v>0</v>
      </c>
      <c r="GH133" s="76">
        <v>60</v>
      </c>
      <c r="GI133" s="76">
        <v>0</v>
      </c>
      <c r="GJ133" s="76">
        <v>0</v>
      </c>
      <c r="GK133" s="76">
        <v>391</v>
      </c>
      <c r="GL133" s="76">
        <v>451</v>
      </c>
      <c r="GM133" s="76">
        <v>1076</v>
      </c>
      <c r="GN133" s="76">
        <v>102</v>
      </c>
      <c r="GO133" s="76">
        <v>0</v>
      </c>
      <c r="GP133" s="76">
        <v>13</v>
      </c>
      <c r="GQ133" s="76">
        <v>313</v>
      </c>
      <c r="GR133" s="76">
        <v>405</v>
      </c>
      <c r="GS133" s="76">
        <v>0</v>
      </c>
      <c r="GT133" s="76">
        <v>0</v>
      </c>
      <c r="GU133" s="76">
        <v>75</v>
      </c>
      <c r="GV133" s="76">
        <v>0</v>
      </c>
      <c r="GW133" s="76">
        <v>36</v>
      </c>
      <c r="GX133" s="76">
        <v>2020</v>
      </c>
      <c r="GY133" s="76">
        <v>91</v>
      </c>
      <c r="GZ133" s="76">
        <v>0</v>
      </c>
      <c r="HA133" s="76">
        <v>0</v>
      </c>
      <c r="HB133" s="76">
        <v>2057</v>
      </c>
      <c r="HC133" s="76">
        <v>2148</v>
      </c>
      <c r="HD133" s="76">
        <v>0</v>
      </c>
      <c r="HE133" s="76">
        <v>0</v>
      </c>
      <c r="HF133" s="76">
        <v>0</v>
      </c>
      <c r="HG133" s="76">
        <v>2411</v>
      </c>
      <c r="HH133" s="76">
        <v>-63</v>
      </c>
      <c r="HI133" s="76">
        <v>19</v>
      </c>
      <c r="HJ133" s="76">
        <v>0</v>
      </c>
      <c r="HK133" s="76">
        <v>0</v>
      </c>
      <c r="HL133" s="76">
        <v>-46</v>
      </c>
      <c r="HM133" s="76">
        <v>2321</v>
      </c>
      <c r="HN133" s="76">
        <v>328</v>
      </c>
      <c r="HO133" s="76">
        <v>1036</v>
      </c>
      <c r="HP133" s="76">
        <v>0</v>
      </c>
      <c r="HQ133" s="76">
        <v>29</v>
      </c>
      <c r="HR133" s="76">
        <v>-28</v>
      </c>
      <c r="HS133" s="76">
        <v>32</v>
      </c>
      <c r="HT133" s="76">
        <v>1318</v>
      </c>
      <c r="HU133" s="76">
        <v>0</v>
      </c>
      <c r="HV133" s="76">
        <v>0</v>
      </c>
      <c r="HW133" s="76">
        <v>0</v>
      </c>
      <c r="HX133" s="76">
        <v>0</v>
      </c>
    </row>
    <row r="134" spans="1:232" x14ac:dyDescent="0.2">
      <c r="A134" s="71" t="s">
        <v>450</v>
      </c>
      <c r="B134" s="71" t="s">
        <v>92</v>
      </c>
      <c r="C134" s="72" t="s">
        <v>200</v>
      </c>
      <c r="D134" s="72">
        <v>12</v>
      </c>
      <c r="E134" s="73">
        <v>219236</v>
      </c>
      <c r="F134" s="73">
        <v>0</v>
      </c>
      <c r="G134" s="73">
        <v>-162858</v>
      </c>
      <c r="H134" s="73">
        <v>56378</v>
      </c>
      <c r="I134" s="73">
        <v>53494</v>
      </c>
      <c r="J134" s="73">
        <v>12358</v>
      </c>
      <c r="K134" s="73">
        <v>8</v>
      </c>
      <c r="L134" s="73">
        <v>0</v>
      </c>
      <c r="M134" s="73">
        <v>7851</v>
      </c>
      <c r="N134" s="73">
        <v>-85533</v>
      </c>
      <c r="O134" s="73">
        <v>3171</v>
      </c>
      <c r="P134" s="73">
        <v>145</v>
      </c>
      <c r="Q134" s="73">
        <v>0</v>
      </c>
      <c r="R134" s="73">
        <v>0</v>
      </c>
      <c r="S134" s="73">
        <v>47872</v>
      </c>
      <c r="T134" s="73">
        <v>0</v>
      </c>
      <c r="U134" s="73">
        <v>47872</v>
      </c>
      <c r="V134" s="73">
        <v>0</v>
      </c>
      <c r="W134" s="73">
        <v>-13792</v>
      </c>
      <c r="X134" s="73">
        <v>0</v>
      </c>
      <c r="Y134" s="73">
        <v>8</v>
      </c>
      <c r="Z134" s="73">
        <v>34088</v>
      </c>
      <c r="AA134" s="73">
        <v>139953</v>
      </c>
      <c r="AB134" s="73">
        <v>15560</v>
      </c>
      <c r="AC134" s="73">
        <v>155513</v>
      </c>
      <c r="AD134" s="73">
        <v>10031</v>
      </c>
      <c r="AE134" s="73">
        <v>0</v>
      </c>
      <c r="AF134" s="73">
        <v>75</v>
      </c>
      <c r="AG134" s="73">
        <v>672</v>
      </c>
      <c r="AH134" s="73">
        <v>166291</v>
      </c>
      <c r="AI134" s="73">
        <v>18775</v>
      </c>
      <c r="AJ134" s="73">
        <v>20556</v>
      </c>
      <c r="AK134" s="73">
        <v>15871</v>
      </c>
      <c r="AL134" s="73">
        <v>9091</v>
      </c>
      <c r="AM134" s="73">
        <v>1761</v>
      </c>
      <c r="AN134" s="73">
        <v>757</v>
      </c>
      <c r="AO134" s="73">
        <v>27683</v>
      </c>
      <c r="AP134" s="73">
        <v>-1117</v>
      </c>
      <c r="AQ134" s="73">
        <v>79</v>
      </c>
      <c r="AR134" s="73">
        <v>93456</v>
      </c>
      <c r="AS134" s="73">
        <v>72835</v>
      </c>
      <c r="AT134" s="73">
        <v>1303</v>
      </c>
      <c r="AU134" s="73">
        <v>2442385</v>
      </c>
      <c r="AV134" s="73">
        <v>0</v>
      </c>
      <c r="AW134" s="73">
        <v>14679</v>
      </c>
      <c r="AX134" s="73">
        <v>313</v>
      </c>
      <c r="AY134" s="73">
        <v>0</v>
      </c>
      <c r="AZ134" s="73">
        <v>37784</v>
      </c>
      <c r="BA134" s="73">
        <v>0</v>
      </c>
      <c r="BB134" s="73">
        <v>0</v>
      </c>
      <c r="BC134" s="73">
        <v>0</v>
      </c>
      <c r="BD134" s="73">
        <v>153667</v>
      </c>
      <c r="BE134" s="73">
        <v>2648828</v>
      </c>
      <c r="BF134" s="73">
        <v>64888</v>
      </c>
      <c r="BG134" s="73">
        <v>0</v>
      </c>
      <c r="BH134" s="73">
        <v>28211</v>
      </c>
      <c r="BI134" s="73">
        <v>0</v>
      </c>
      <c r="BJ134" s="73">
        <v>33145</v>
      </c>
      <c r="BK134" s="73">
        <v>126244</v>
      </c>
      <c r="BL134" s="73">
        <v>49549</v>
      </c>
      <c r="BM134" s="73">
        <v>0</v>
      </c>
      <c r="BN134" s="73">
        <v>92</v>
      </c>
      <c r="BO134" s="73">
        <v>67391</v>
      </c>
      <c r="BP134" s="73">
        <v>117032</v>
      </c>
      <c r="BQ134" s="73">
        <v>9212</v>
      </c>
      <c r="BR134" s="73">
        <v>2658040</v>
      </c>
      <c r="BS134" s="73">
        <v>979435</v>
      </c>
      <c r="BT134" s="73">
        <v>127592</v>
      </c>
      <c r="BU134" s="73">
        <v>0</v>
      </c>
      <c r="BV134" s="73">
        <v>1027488</v>
      </c>
      <c r="BW134" s="73">
        <v>0</v>
      </c>
      <c r="BX134" s="73">
        <v>285019</v>
      </c>
      <c r="BY134" s="73">
        <v>56763</v>
      </c>
      <c r="BZ134" s="73">
        <v>2476297</v>
      </c>
      <c r="CA134" s="73">
        <v>23245</v>
      </c>
      <c r="CB134" s="73">
        <v>3815</v>
      </c>
      <c r="CC134" s="73">
        <v>154683</v>
      </c>
      <c r="CD134" s="73">
        <v>182148</v>
      </c>
      <c r="CE134" s="73">
        <v>0</v>
      </c>
      <c r="CF134" s="73">
        <v>0</v>
      </c>
      <c r="CG134" s="73">
        <v>-27465</v>
      </c>
      <c r="CH134" s="73">
        <v>0</v>
      </c>
      <c r="CI134" s="73">
        <v>154683</v>
      </c>
      <c r="CJ134" s="73">
        <v>29756</v>
      </c>
      <c r="CK134" s="73">
        <v>0</v>
      </c>
      <c r="CL134" s="73">
        <v>20716</v>
      </c>
      <c r="CM134" s="73">
        <v>9040</v>
      </c>
      <c r="CN134" s="73">
        <v>1656</v>
      </c>
      <c r="CO134" s="73">
        <v>0</v>
      </c>
      <c r="CP134" s="73">
        <v>23673</v>
      </c>
      <c r="CQ134" s="73">
        <v>-22017</v>
      </c>
      <c r="CR134" s="73">
        <v>0</v>
      </c>
      <c r="CS134" s="73">
        <v>0</v>
      </c>
      <c r="CT134" s="73">
        <v>0</v>
      </c>
      <c r="CU134" s="73">
        <v>0</v>
      </c>
      <c r="CV134" s="73">
        <v>0</v>
      </c>
      <c r="CW134" s="73">
        <v>0</v>
      </c>
      <c r="CX134" s="73">
        <v>0</v>
      </c>
      <c r="CY134" s="73">
        <v>0</v>
      </c>
      <c r="CZ134" s="73">
        <v>19164</v>
      </c>
      <c r="DA134" s="73">
        <v>0</v>
      </c>
      <c r="DB134" s="73">
        <v>22866</v>
      </c>
      <c r="DC134" s="73">
        <v>-3702</v>
      </c>
      <c r="DD134" s="73">
        <v>50576</v>
      </c>
      <c r="DE134" s="73">
        <v>0</v>
      </c>
      <c r="DF134" s="73">
        <v>67255</v>
      </c>
      <c r="DG134" s="73">
        <v>-16679</v>
      </c>
      <c r="DH134" s="73">
        <v>0</v>
      </c>
      <c r="DI134" s="73">
        <v>0</v>
      </c>
      <c r="DJ134" s="73">
        <v>0</v>
      </c>
      <c r="DK134" s="73">
        <v>0</v>
      </c>
      <c r="DL134" s="73">
        <v>0</v>
      </c>
      <c r="DM134" s="73">
        <v>0</v>
      </c>
      <c r="DN134" s="73">
        <v>0</v>
      </c>
      <c r="DO134" s="73">
        <v>0</v>
      </c>
      <c r="DP134" s="73">
        <v>0</v>
      </c>
      <c r="DQ134" s="73">
        <v>0</v>
      </c>
      <c r="DR134" s="73">
        <v>0</v>
      </c>
      <c r="DS134" s="73">
        <v>0</v>
      </c>
      <c r="DT134" s="73">
        <v>0</v>
      </c>
      <c r="DU134" s="73">
        <v>0</v>
      </c>
      <c r="DV134" s="73">
        <v>0</v>
      </c>
      <c r="DW134" s="73">
        <v>0</v>
      </c>
      <c r="DX134" s="73">
        <v>0</v>
      </c>
      <c r="DY134" s="73">
        <v>0</v>
      </c>
      <c r="DZ134" s="73">
        <v>0</v>
      </c>
      <c r="EA134" s="73">
        <v>0</v>
      </c>
      <c r="EB134" s="73">
        <v>2369</v>
      </c>
      <c r="EC134" s="73">
        <v>0</v>
      </c>
      <c r="ED134" s="73">
        <v>2147</v>
      </c>
      <c r="EE134" s="73">
        <v>222</v>
      </c>
      <c r="EF134" s="73">
        <v>2369</v>
      </c>
      <c r="EG134" s="73">
        <v>0</v>
      </c>
      <c r="EH134" s="73">
        <v>2147</v>
      </c>
      <c r="EI134" s="73">
        <v>222</v>
      </c>
      <c r="EJ134" s="73">
        <v>52945</v>
      </c>
      <c r="EK134" s="73">
        <v>0</v>
      </c>
      <c r="EL134" s="73">
        <v>69402</v>
      </c>
      <c r="EM134" s="73">
        <v>-16457</v>
      </c>
      <c r="EN134" s="73">
        <v>5417</v>
      </c>
      <c r="EO134" s="73">
        <v>2840</v>
      </c>
      <c r="EP134" s="73">
        <v>428</v>
      </c>
      <c r="EQ134" s="73">
        <v>2840</v>
      </c>
      <c r="ER134" s="73">
        <v>2524061</v>
      </c>
      <c r="ES134" s="73">
        <v>0</v>
      </c>
      <c r="ET134" s="73">
        <v>2524061</v>
      </c>
      <c r="EU134" s="73">
        <v>230316</v>
      </c>
      <c r="EV134" s="73">
        <v>-71670</v>
      </c>
      <c r="EW134" s="73">
        <v>0</v>
      </c>
      <c r="EX134" s="73">
        <v>0</v>
      </c>
      <c r="EY134" s="73">
        <v>0</v>
      </c>
      <c r="EZ134" s="73">
        <v>2682707</v>
      </c>
      <c r="FA134" s="73">
        <v>224219</v>
      </c>
      <c r="FB134" s="73">
        <v>28973</v>
      </c>
      <c r="FC134" s="73">
        <v>-1142</v>
      </c>
      <c r="FD134" s="73">
        <v>0</v>
      </c>
      <c r="FE134" s="73">
        <v>-11728</v>
      </c>
      <c r="FF134" s="73">
        <v>0</v>
      </c>
      <c r="FG134" s="73">
        <v>0</v>
      </c>
      <c r="FH134" s="73">
        <v>240322</v>
      </c>
      <c r="FI134" s="73">
        <v>2442385</v>
      </c>
      <c r="FJ134" s="73">
        <v>2299842</v>
      </c>
      <c r="FK134" s="73">
        <v>22332</v>
      </c>
      <c r="FL134" s="73">
        <v>10797</v>
      </c>
      <c r="FM134" s="73">
        <v>11535</v>
      </c>
      <c r="FN134" s="73">
        <v>1606</v>
      </c>
      <c r="FO134" s="73">
        <v>680</v>
      </c>
      <c r="FP134" s="73">
        <v>926</v>
      </c>
      <c r="FQ134" s="73">
        <v>0</v>
      </c>
      <c r="FR134" s="73">
        <v>0</v>
      </c>
      <c r="FS134" s="73">
        <v>0</v>
      </c>
      <c r="FT134" s="73">
        <v>93712</v>
      </c>
      <c r="FU134" s="73">
        <v>52679</v>
      </c>
      <c r="FV134" s="73">
        <v>41033</v>
      </c>
      <c r="FW134" s="73">
        <v>0</v>
      </c>
      <c r="FX134" s="73">
        <v>0</v>
      </c>
      <c r="FY134" s="73">
        <v>0</v>
      </c>
      <c r="FZ134" s="73">
        <v>0</v>
      </c>
      <c r="GA134" s="73">
        <v>0</v>
      </c>
      <c r="GB134" s="73">
        <v>0</v>
      </c>
      <c r="GC134" s="73">
        <v>117650</v>
      </c>
      <c r="GD134" s="73">
        <v>64156</v>
      </c>
      <c r="GE134" s="73">
        <v>53494</v>
      </c>
      <c r="GF134" s="73">
        <v>19307</v>
      </c>
      <c r="GG134" s="73">
        <v>0</v>
      </c>
      <c r="GH134" s="73">
        <v>136</v>
      </c>
      <c r="GI134" s="73">
        <v>0</v>
      </c>
      <c r="GJ134" s="73">
        <v>0</v>
      </c>
      <c r="GK134" s="73">
        <v>13702</v>
      </c>
      <c r="GL134" s="73">
        <v>33145</v>
      </c>
      <c r="GM134" s="73">
        <v>3701</v>
      </c>
      <c r="GN134" s="73">
        <v>8708</v>
      </c>
      <c r="GO134" s="73">
        <v>28408</v>
      </c>
      <c r="GP134" s="73">
        <v>0</v>
      </c>
      <c r="GQ134" s="73">
        <v>0</v>
      </c>
      <c r="GR134" s="73">
        <v>24564</v>
      </c>
      <c r="GS134" s="73">
        <v>0</v>
      </c>
      <c r="GT134" s="73">
        <v>0</v>
      </c>
      <c r="GU134" s="73">
        <v>361</v>
      </c>
      <c r="GV134" s="73">
        <v>0</v>
      </c>
      <c r="GW134" s="73">
        <v>1649</v>
      </c>
      <c r="GX134" s="73">
        <v>67391</v>
      </c>
      <c r="GY134" s="73">
        <v>24331</v>
      </c>
      <c r="GZ134" s="73">
        <v>1177</v>
      </c>
      <c r="HA134" s="73">
        <v>2609</v>
      </c>
      <c r="HB134" s="73">
        <v>28646</v>
      </c>
      <c r="HC134" s="73">
        <v>56763</v>
      </c>
      <c r="HD134" s="73">
        <v>0</v>
      </c>
      <c r="HE134" s="73">
        <v>3815</v>
      </c>
      <c r="HF134" s="73">
        <v>3815</v>
      </c>
      <c r="HG134" s="73">
        <v>60905</v>
      </c>
      <c r="HH134" s="73">
        <v>0</v>
      </c>
      <c r="HI134" s="73">
        <v>0</v>
      </c>
      <c r="HJ134" s="73">
        <v>0</v>
      </c>
      <c r="HK134" s="73">
        <v>31206</v>
      </c>
      <c r="HL134" s="73">
        <v>-6578</v>
      </c>
      <c r="HM134" s="73">
        <v>85533</v>
      </c>
      <c r="HN134" s="73">
        <v>17419</v>
      </c>
      <c r="HO134" s="73">
        <v>30955</v>
      </c>
      <c r="HP134" s="73">
        <v>1238</v>
      </c>
      <c r="HQ134" s="73">
        <v>1638</v>
      </c>
      <c r="HR134" s="73">
        <v>-912</v>
      </c>
      <c r="HS134" s="73">
        <v>-73</v>
      </c>
      <c r="HT134" s="73">
        <v>36728</v>
      </c>
      <c r="HU134" s="73">
        <v>125</v>
      </c>
      <c r="HV134" s="73">
        <v>0</v>
      </c>
      <c r="HW134" s="73">
        <v>-16</v>
      </c>
      <c r="HX134" s="73">
        <v>185</v>
      </c>
    </row>
    <row r="135" spans="1:232" x14ac:dyDescent="0.2">
      <c r="A135" s="74" t="s">
        <v>451</v>
      </c>
      <c r="B135" s="74" t="s">
        <v>452</v>
      </c>
      <c r="C135" s="75" t="s">
        <v>200</v>
      </c>
      <c r="D135" s="75">
        <v>12</v>
      </c>
      <c r="E135" s="76">
        <v>16819</v>
      </c>
      <c r="F135" s="76">
        <v>0</v>
      </c>
      <c r="G135" s="76">
        <v>-13241</v>
      </c>
      <c r="H135" s="76">
        <v>3578</v>
      </c>
      <c r="I135" s="76">
        <v>3151</v>
      </c>
      <c r="J135" s="76">
        <v>0</v>
      </c>
      <c r="K135" s="76">
        <v>0</v>
      </c>
      <c r="L135" s="76">
        <v>0</v>
      </c>
      <c r="M135" s="76">
        <v>1040</v>
      </c>
      <c r="N135" s="76">
        <v>-3095</v>
      </c>
      <c r="O135" s="76">
        <v>0</v>
      </c>
      <c r="P135" s="76">
        <v>0</v>
      </c>
      <c r="Q135" s="76">
        <v>0</v>
      </c>
      <c r="R135" s="76">
        <v>0</v>
      </c>
      <c r="S135" s="76">
        <v>4674</v>
      </c>
      <c r="T135" s="76">
        <v>0</v>
      </c>
      <c r="U135" s="76">
        <v>4674</v>
      </c>
      <c r="V135" s="76">
        <v>0</v>
      </c>
      <c r="W135" s="76">
        <v>0</v>
      </c>
      <c r="X135" s="76">
        <v>0</v>
      </c>
      <c r="Y135" s="76">
        <v>0</v>
      </c>
      <c r="Z135" s="76">
        <v>4674</v>
      </c>
      <c r="AA135" s="76">
        <v>13070</v>
      </c>
      <c r="AB135" s="76">
        <v>2346</v>
      </c>
      <c r="AC135" s="76">
        <v>15416</v>
      </c>
      <c r="AD135" s="76">
        <v>162</v>
      </c>
      <c r="AE135" s="76">
        <v>0</v>
      </c>
      <c r="AF135" s="76">
        <v>0</v>
      </c>
      <c r="AG135" s="76">
        <v>0</v>
      </c>
      <c r="AH135" s="76">
        <v>15578</v>
      </c>
      <c r="AI135" s="76">
        <v>1391</v>
      </c>
      <c r="AJ135" s="76">
        <v>2765</v>
      </c>
      <c r="AK135" s="76">
        <v>1012</v>
      </c>
      <c r="AL135" s="76">
        <v>1978</v>
      </c>
      <c r="AM135" s="76">
        <v>320</v>
      </c>
      <c r="AN135" s="76">
        <v>67</v>
      </c>
      <c r="AO135" s="76">
        <v>907</v>
      </c>
      <c r="AP135" s="76">
        <v>0</v>
      </c>
      <c r="AQ135" s="76">
        <v>0</v>
      </c>
      <c r="AR135" s="76">
        <v>8440</v>
      </c>
      <c r="AS135" s="76">
        <v>7138</v>
      </c>
      <c r="AT135" s="76">
        <v>68</v>
      </c>
      <c r="AU135" s="76">
        <v>88003</v>
      </c>
      <c r="AV135" s="76">
        <v>0</v>
      </c>
      <c r="AW135" s="76">
        <v>0</v>
      </c>
      <c r="AX135" s="76">
        <v>0</v>
      </c>
      <c r="AY135" s="76">
        <v>0</v>
      </c>
      <c r="AZ135" s="76">
        <v>0</v>
      </c>
      <c r="BA135" s="76">
        <v>0</v>
      </c>
      <c r="BB135" s="76">
        <v>0</v>
      </c>
      <c r="BC135" s="76">
        <v>0</v>
      </c>
      <c r="BD135" s="76">
        <v>30289</v>
      </c>
      <c r="BE135" s="76">
        <v>118292</v>
      </c>
      <c r="BF135" s="76">
        <v>0</v>
      </c>
      <c r="BG135" s="76">
        <v>0</v>
      </c>
      <c r="BH135" s="76">
        <v>5537</v>
      </c>
      <c r="BI135" s="76">
        <v>0</v>
      </c>
      <c r="BJ135" s="76">
        <v>3852</v>
      </c>
      <c r="BK135" s="76">
        <v>9389</v>
      </c>
      <c r="BL135" s="76">
        <v>0</v>
      </c>
      <c r="BM135" s="76">
        <v>0</v>
      </c>
      <c r="BN135" s="76">
        <v>0</v>
      </c>
      <c r="BO135" s="76">
        <v>3662</v>
      </c>
      <c r="BP135" s="76">
        <v>3662</v>
      </c>
      <c r="BQ135" s="76">
        <v>5727</v>
      </c>
      <c r="BR135" s="76">
        <v>124019</v>
      </c>
      <c r="BS135" s="76">
        <v>60265</v>
      </c>
      <c r="BT135" s="76">
        <v>0</v>
      </c>
      <c r="BU135" s="76">
        <v>0</v>
      </c>
      <c r="BV135" s="76">
        <v>13310</v>
      </c>
      <c r="BW135" s="76">
        <v>0</v>
      </c>
      <c r="BX135" s="76">
        <v>0</v>
      </c>
      <c r="BY135" s="76">
        <v>634</v>
      </c>
      <c r="BZ135" s="76">
        <v>74209</v>
      </c>
      <c r="CA135" s="76">
        <v>0</v>
      </c>
      <c r="CB135" s="76">
        <v>0</v>
      </c>
      <c r="CC135" s="76">
        <v>49810</v>
      </c>
      <c r="CD135" s="76">
        <v>50810</v>
      </c>
      <c r="CE135" s="76">
        <v>0</v>
      </c>
      <c r="CF135" s="76">
        <v>0</v>
      </c>
      <c r="CG135" s="76">
        <v>-1000</v>
      </c>
      <c r="CH135" s="76">
        <v>0</v>
      </c>
      <c r="CI135" s="76">
        <v>49810</v>
      </c>
      <c r="CJ135" s="76">
        <v>0</v>
      </c>
      <c r="CK135" s="76">
        <v>0</v>
      </c>
      <c r="CL135" s="76">
        <v>0</v>
      </c>
      <c r="CM135" s="76">
        <v>0</v>
      </c>
      <c r="CN135" s="76">
        <v>0</v>
      </c>
      <c r="CO135" s="76">
        <v>0</v>
      </c>
      <c r="CP135" s="76">
        <v>3095</v>
      </c>
      <c r="CQ135" s="76">
        <v>-3095</v>
      </c>
      <c r="CR135" s="76">
        <v>0</v>
      </c>
      <c r="CS135" s="76">
        <v>0</v>
      </c>
      <c r="CT135" s="76">
        <v>0</v>
      </c>
      <c r="CU135" s="76">
        <v>0</v>
      </c>
      <c r="CV135" s="76">
        <v>0</v>
      </c>
      <c r="CW135" s="76">
        <v>0</v>
      </c>
      <c r="CX135" s="76">
        <v>0</v>
      </c>
      <c r="CY135" s="76">
        <v>0</v>
      </c>
      <c r="CZ135" s="76">
        <v>1241</v>
      </c>
      <c r="DA135" s="76">
        <v>0</v>
      </c>
      <c r="DB135" s="76">
        <v>1676</v>
      </c>
      <c r="DC135" s="76">
        <v>-435</v>
      </c>
      <c r="DD135" s="76">
        <v>1241</v>
      </c>
      <c r="DE135" s="76">
        <v>0</v>
      </c>
      <c r="DF135" s="76">
        <v>4771</v>
      </c>
      <c r="DG135" s="76">
        <v>-3530</v>
      </c>
      <c r="DH135" s="76">
        <v>0</v>
      </c>
      <c r="DI135" s="76">
        <v>0</v>
      </c>
      <c r="DJ135" s="76">
        <v>0</v>
      </c>
      <c r="DK135" s="76">
        <v>0</v>
      </c>
      <c r="DL135" s="76">
        <v>0</v>
      </c>
      <c r="DM135" s="76">
        <v>0</v>
      </c>
      <c r="DN135" s="76">
        <v>0</v>
      </c>
      <c r="DO135" s="76">
        <v>0</v>
      </c>
      <c r="DP135" s="76">
        <v>0</v>
      </c>
      <c r="DQ135" s="76">
        <v>0</v>
      </c>
      <c r="DR135" s="76">
        <v>0</v>
      </c>
      <c r="DS135" s="76">
        <v>0</v>
      </c>
      <c r="DT135" s="76">
        <v>0</v>
      </c>
      <c r="DU135" s="76">
        <v>0</v>
      </c>
      <c r="DV135" s="76">
        <v>0</v>
      </c>
      <c r="DW135" s="76">
        <v>0</v>
      </c>
      <c r="DX135" s="76">
        <v>0</v>
      </c>
      <c r="DY135" s="76">
        <v>0</v>
      </c>
      <c r="DZ135" s="76">
        <v>0</v>
      </c>
      <c r="EA135" s="76">
        <v>0</v>
      </c>
      <c r="EB135" s="76">
        <v>0</v>
      </c>
      <c r="EC135" s="76">
        <v>0</v>
      </c>
      <c r="ED135" s="76">
        <v>30</v>
      </c>
      <c r="EE135" s="76">
        <v>-30</v>
      </c>
      <c r="EF135" s="76">
        <v>0</v>
      </c>
      <c r="EG135" s="76">
        <v>0</v>
      </c>
      <c r="EH135" s="76">
        <v>30</v>
      </c>
      <c r="EI135" s="76">
        <v>-30</v>
      </c>
      <c r="EJ135" s="76">
        <v>1241</v>
      </c>
      <c r="EK135" s="76">
        <v>0</v>
      </c>
      <c r="EL135" s="76">
        <v>4801</v>
      </c>
      <c r="EM135" s="76">
        <v>-3560</v>
      </c>
      <c r="EN135" s="76">
        <v>3495</v>
      </c>
      <c r="EO135" s="76">
        <v>134</v>
      </c>
      <c r="EP135" s="76">
        <v>109</v>
      </c>
      <c r="EQ135" s="76">
        <v>134</v>
      </c>
      <c r="ER135" s="76">
        <v>96858</v>
      </c>
      <c r="ES135" s="76">
        <v>0</v>
      </c>
      <c r="ET135" s="76">
        <v>96858</v>
      </c>
      <c r="EU135" s="76">
        <v>2683</v>
      </c>
      <c r="EV135" s="76">
        <v>-393</v>
      </c>
      <c r="EW135" s="76">
        <v>0</v>
      </c>
      <c r="EX135" s="76">
        <v>0</v>
      </c>
      <c r="EY135" s="76">
        <v>0</v>
      </c>
      <c r="EZ135" s="76">
        <v>99148</v>
      </c>
      <c r="FA135" s="76">
        <v>10399</v>
      </c>
      <c r="FB135" s="76">
        <v>882</v>
      </c>
      <c r="FC135" s="76">
        <v>0</v>
      </c>
      <c r="FD135" s="76">
        <v>0</v>
      </c>
      <c r="FE135" s="76">
        <v>-136</v>
      </c>
      <c r="FF135" s="76">
        <v>0</v>
      </c>
      <c r="FG135" s="76">
        <v>0</v>
      </c>
      <c r="FH135" s="76">
        <v>11145</v>
      </c>
      <c r="FI135" s="76">
        <v>88003</v>
      </c>
      <c r="FJ135" s="76">
        <v>86459</v>
      </c>
      <c r="FK135" s="76">
        <v>0</v>
      </c>
      <c r="FL135" s="76">
        <v>0</v>
      </c>
      <c r="FM135" s="76">
        <v>0</v>
      </c>
      <c r="FN135" s="76">
        <v>747</v>
      </c>
      <c r="FO135" s="76">
        <v>381</v>
      </c>
      <c r="FP135" s="76">
        <v>366</v>
      </c>
      <c r="FQ135" s="76">
        <v>0</v>
      </c>
      <c r="FR135" s="76">
        <v>0</v>
      </c>
      <c r="FS135" s="76">
        <v>0</v>
      </c>
      <c r="FT135" s="76">
        <v>0</v>
      </c>
      <c r="FU135" s="76">
        <v>0</v>
      </c>
      <c r="FV135" s="76">
        <v>0</v>
      </c>
      <c r="FW135" s="76">
        <v>0</v>
      </c>
      <c r="FX135" s="76">
        <v>0</v>
      </c>
      <c r="FY135" s="76">
        <v>0</v>
      </c>
      <c r="FZ135" s="76">
        <v>2903</v>
      </c>
      <c r="GA135" s="76">
        <v>118</v>
      </c>
      <c r="GB135" s="76">
        <v>2785</v>
      </c>
      <c r="GC135" s="76">
        <v>3650</v>
      </c>
      <c r="GD135" s="76">
        <v>499</v>
      </c>
      <c r="GE135" s="76">
        <v>3151</v>
      </c>
      <c r="GF135" s="76">
        <v>246</v>
      </c>
      <c r="GG135" s="76">
        <v>0</v>
      </c>
      <c r="GH135" s="76">
        <v>0</v>
      </c>
      <c r="GI135" s="76">
        <v>0</v>
      </c>
      <c r="GJ135" s="76">
        <v>0</v>
      </c>
      <c r="GK135" s="76">
        <v>3606</v>
      </c>
      <c r="GL135" s="76">
        <v>3852</v>
      </c>
      <c r="GM135" s="76">
        <v>404</v>
      </c>
      <c r="GN135" s="76">
        <v>765</v>
      </c>
      <c r="GO135" s="76">
        <v>0</v>
      </c>
      <c r="GP135" s="76">
        <v>0</v>
      </c>
      <c r="GQ135" s="76">
        <v>0</v>
      </c>
      <c r="GR135" s="76">
        <v>0</v>
      </c>
      <c r="GS135" s="76">
        <v>0</v>
      </c>
      <c r="GT135" s="76">
        <v>0</v>
      </c>
      <c r="GU135" s="76">
        <v>0</v>
      </c>
      <c r="GV135" s="76">
        <v>0</v>
      </c>
      <c r="GW135" s="76">
        <v>2493</v>
      </c>
      <c r="GX135" s="76">
        <v>3662</v>
      </c>
      <c r="GY135" s="76">
        <v>25</v>
      </c>
      <c r="GZ135" s="76">
        <v>277</v>
      </c>
      <c r="HA135" s="76">
        <v>0</v>
      </c>
      <c r="HB135" s="76">
        <v>332</v>
      </c>
      <c r="HC135" s="76">
        <v>634</v>
      </c>
      <c r="HD135" s="76">
        <v>0</v>
      </c>
      <c r="HE135" s="76">
        <v>0</v>
      </c>
      <c r="HF135" s="76">
        <v>0</v>
      </c>
      <c r="HG135" s="76">
        <v>3091</v>
      </c>
      <c r="HH135" s="76">
        <v>0</v>
      </c>
      <c r="HI135" s="76">
        <v>0</v>
      </c>
      <c r="HJ135" s="76">
        <v>0</v>
      </c>
      <c r="HK135" s="76">
        <v>4</v>
      </c>
      <c r="HL135" s="76">
        <v>0</v>
      </c>
      <c r="HM135" s="76">
        <v>3095</v>
      </c>
      <c r="HN135" s="76">
        <v>2598</v>
      </c>
      <c r="HO135" s="76">
        <v>906</v>
      </c>
      <c r="HP135" s="76">
        <v>0</v>
      </c>
      <c r="HQ135" s="76">
        <v>0</v>
      </c>
      <c r="HR135" s="76">
        <v>-4</v>
      </c>
      <c r="HS135" s="76">
        <v>0</v>
      </c>
      <c r="HT135" s="76">
        <v>3204</v>
      </c>
      <c r="HU135" s="76">
        <v>0</v>
      </c>
      <c r="HV135" s="76">
        <v>0</v>
      </c>
      <c r="HW135" s="76">
        <v>0</v>
      </c>
      <c r="HX135" s="76">
        <v>0</v>
      </c>
    </row>
    <row r="136" spans="1:232" x14ac:dyDescent="0.2">
      <c r="A136" s="74" t="s">
        <v>453</v>
      </c>
      <c r="B136" s="74" t="s">
        <v>454</v>
      </c>
      <c r="C136" s="75" t="s">
        <v>200</v>
      </c>
      <c r="D136" s="75">
        <v>12</v>
      </c>
      <c r="E136" s="76">
        <v>13226</v>
      </c>
      <c r="F136" s="76">
        <v>0</v>
      </c>
      <c r="G136" s="76">
        <v>-12203</v>
      </c>
      <c r="H136" s="76">
        <v>1023</v>
      </c>
      <c r="I136" s="76">
        <v>55</v>
      </c>
      <c r="J136" s="76">
        <v>0</v>
      </c>
      <c r="K136" s="76">
        <v>0</v>
      </c>
      <c r="L136" s="76">
        <v>0</v>
      </c>
      <c r="M136" s="76">
        <v>20</v>
      </c>
      <c r="N136" s="76">
        <v>-929</v>
      </c>
      <c r="O136" s="76">
        <v>0</v>
      </c>
      <c r="P136" s="76">
        <v>0</v>
      </c>
      <c r="Q136" s="76">
        <v>0</v>
      </c>
      <c r="R136" s="76">
        <v>0</v>
      </c>
      <c r="S136" s="76">
        <v>169</v>
      </c>
      <c r="T136" s="76">
        <v>0</v>
      </c>
      <c r="U136" s="76">
        <v>169</v>
      </c>
      <c r="V136" s="76">
        <v>0</v>
      </c>
      <c r="W136" s="76">
        <v>-1918</v>
      </c>
      <c r="X136" s="76">
        <v>0</v>
      </c>
      <c r="Y136" s="76">
        <v>0</v>
      </c>
      <c r="Z136" s="76">
        <v>-1749</v>
      </c>
      <c r="AA136" s="76">
        <v>11724</v>
      </c>
      <c r="AB136" s="76">
        <v>653</v>
      </c>
      <c r="AC136" s="76">
        <v>12377</v>
      </c>
      <c r="AD136" s="76">
        <v>113</v>
      </c>
      <c r="AE136" s="76">
        <v>0</v>
      </c>
      <c r="AF136" s="76">
        <v>334</v>
      </c>
      <c r="AG136" s="76">
        <v>1</v>
      </c>
      <c r="AH136" s="76">
        <v>12825</v>
      </c>
      <c r="AI136" s="76">
        <v>3328</v>
      </c>
      <c r="AJ136" s="76">
        <v>817</v>
      </c>
      <c r="AK136" s="76">
        <v>2378</v>
      </c>
      <c r="AL136" s="76">
        <v>1753</v>
      </c>
      <c r="AM136" s="76">
        <v>0</v>
      </c>
      <c r="AN136" s="76">
        <v>156</v>
      </c>
      <c r="AO136" s="76">
        <v>2099</v>
      </c>
      <c r="AP136" s="76">
        <v>0</v>
      </c>
      <c r="AQ136" s="76">
        <v>1265</v>
      </c>
      <c r="AR136" s="76">
        <v>11796</v>
      </c>
      <c r="AS136" s="76">
        <v>1029</v>
      </c>
      <c r="AT136" s="76">
        <v>357</v>
      </c>
      <c r="AU136" s="76">
        <v>50676</v>
      </c>
      <c r="AV136" s="76">
        <v>0</v>
      </c>
      <c r="AW136" s="76">
        <v>1019</v>
      </c>
      <c r="AX136" s="76">
        <v>0</v>
      </c>
      <c r="AY136" s="76">
        <v>0</v>
      </c>
      <c r="AZ136" s="76">
        <v>0</v>
      </c>
      <c r="BA136" s="76">
        <v>0</v>
      </c>
      <c r="BB136" s="76">
        <v>0</v>
      </c>
      <c r="BC136" s="76">
        <v>0</v>
      </c>
      <c r="BD136" s="76">
        <v>0</v>
      </c>
      <c r="BE136" s="76">
        <v>51695</v>
      </c>
      <c r="BF136" s="76">
        <v>52</v>
      </c>
      <c r="BG136" s="76">
        <v>1373</v>
      </c>
      <c r="BH136" s="76">
        <v>3033</v>
      </c>
      <c r="BI136" s="76">
        <v>5510</v>
      </c>
      <c r="BJ136" s="76">
        <v>0</v>
      </c>
      <c r="BK136" s="76">
        <v>9968</v>
      </c>
      <c r="BL136" s="76">
        <v>0</v>
      </c>
      <c r="BM136" s="76">
        <v>0</v>
      </c>
      <c r="BN136" s="76">
        <v>0</v>
      </c>
      <c r="BO136" s="76">
        <v>1298</v>
      </c>
      <c r="BP136" s="76">
        <v>1298</v>
      </c>
      <c r="BQ136" s="76">
        <v>8670</v>
      </c>
      <c r="BR136" s="76">
        <v>60365</v>
      </c>
      <c r="BS136" s="76">
        <v>27500</v>
      </c>
      <c r="BT136" s="76">
        <v>463</v>
      </c>
      <c r="BU136" s="76">
        <v>0</v>
      </c>
      <c r="BV136" s="76">
        <v>3655</v>
      </c>
      <c r="BW136" s="76">
        <v>0</v>
      </c>
      <c r="BX136" s="76">
        <v>0</v>
      </c>
      <c r="BY136" s="76">
        <v>0</v>
      </c>
      <c r="BZ136" s="76">
        <v>31618</v>
      </c>
      <c r="CA136" s="76">
        <v>5287</v>
      </c>
      <c r="CB136" s="76">
        <v>87</v>
      </c>
      <c r="CC136" s="76">
        <v>23373</v>
      </c>
      <c r="CD136" s="76">
        <v>23373</v>
      </c>
      <c r="CE136" s="76">
        <v>0</v>
      </c>
      <c r="CF136" s="76">
        <v>0</v>
      </c>
      <c r="CG136" s="76">
        <v>0</v>
      </c>
      <c r="CH136" s="76">
        <v>0</v>
      </c>
      <c r="CI136" s="76">
        <v>23373</v>
      </c>
      <c r="CJ136" s="76">
        <v>0</v>
      </c>
      <c r="CK136" s="76">
        <v>0</v>
      </c>
      <c r="CL136" s="76">
        <v>0</v>
      </c>
      <c r="CM136" s="76">
        <v>0</v>
      </c>
      <c r="CN136" s="76">
        <v>0</v>
      </c>
      <c r="CO136" s="76">
        <v>0</v>
      </c>
      <c r="CP136" s="76">
        <v>0</v>
      </c>
      <c r="CQ136" s="76">
        <v>0</v>
      </c>
      <c r="CR136" s="76">
        <v>0</v>
      </c>
      <c r="CS136" s="76">
        <v>0</v>
      </c>
      <c r="CT136" s="76">
        <v>0</v>
      </c>
      <c r="CU136" s="76">
        <v>0</v>
      </c>
      <c r="CV136" s="76">
        <v>0</v>
      </c>
      <c r="CW136" s="76">
        <v>0</v>
      </c>
      <c r="CX136" s="76">
        <v>0</v>
      </c>
      <c r="CY136" s="76">
        <v>0</v>
      </c>
      <c r="CZ136" s="76">
        <v>401</v>
      </c>
      <c r="DA136" s="76">
        <v>0</v>
      </c>
      <c r="DB136" s="76">
        <v>407</v>
      </c>
      <c r="DC136" s="76">
        <v>-6</v>
      </c>
      <c r="DD136" s="76">
        <v>401</v>
      </c>
      <c r="DE136" s="76">
        <v>0</v>
      </c>
      <c r="DF136" s="76">
        <v>407</v>
      </c>
      <c r="DG136" s="76">
        <v>-6</v>
      </c>
      <c r="DH136" s="76">
        <v>0</v>
      </c>
      <c r="DI136" s="76">
        <v>0</v>
      </c>
      <c r="DJ136" s="76">
        <v>0</v>
      </c>
      <c r="DK136" s="76">
        <v>0</v>
      </c>
      <c r="DL136" s="76">
        <v>0</v>
      </c>
      <c r="DM136" s="76">
        <v>0</v>
      </c>
      <c r="DN136" s="76">
        <v>0</v>
      </c>
      <c r="DO136" s="76">
        <v>0</v>
      </c>
      <c r="DP136" s="76">
        <v>0</v>
      </c>
      <c r="DQ136" s="76">
        <v>0</v>
      </c>
      <c r="DR136" s="76">
        <v>0</v>
      </c>
      <c r="DS136" s="76">
        <v>0</v>
      </c>
      <c r="DT136" s="76">
        <v>0</v>
      </c>
      <c r="DU136" s="76">
        <v>0</v>
      </c>
      <c r="DV136" s="76">
        <v>0</v>
      </c>
      <c r="DW136" s="76">
        <v>0</v>
      </c>
      <c r="DX136" s="76">
        <v>0</v>
      </c>
      <c r="DY136" s="76">
        <v>0</v>
      </c>
      <c r="DZ136" s="76">
        <v>0</v>
      </c>
      <c r="EA136" s="76">
        <v>0</v>
      </c>
      <c r="EB136" s="76">
        <v>0</v>
      </c>
      <c r="EC136" s="76">
        <v>0</v>
      </c>
      <c r="ED136" s="76">
        <v>0</v>
      </c>
      <c r="EE136" s="76">
        <v>0</v>
      </c>
      <c r="EF136" s="76">
        <v>0</v>
      </c>
      <c r="EG136" s="76">
        <v>0</v>
      </c>
      <c r="EH136" s="76">
        <v>0</v>
      </c>
      <c r="EI136" s="76">
        <v>0</v>
      </c>
      <c r="EJ136" s="76">
        <v>401</v>
      </c>
      <c r="EK136" s="76">
        <v>0</v>
      </c>
      <c r="EL136" s="76">
        <v>407</v>
      </c>
      <c r="EM136" s="76">
        <v>-6</v>
      </c>
      <c r="EN136" s="76">
        <v>459</v>
      </c>
      <c r="EO136" s="76">
        <v>295</v>
      </c>
      <c r="EP136" s="76">
        <v>102</v>
      </c>
      <c r="EQ136" s="76">
        <v>295</v>
      </c>
      <c r="ER136" s="76">
        <v>60127</v>
      </c>
      <c r="ES136" s="76">
        <v>0</v>
      </c>
      <c r="ET136" s="76">
        <v>60127</v>
      </c>
      <c r="EU136" s="76">
        <v>2547</v>
      </c>
      <c r="EV136" s="76">
        <v>-255</v>
      </c>
      <c r="EW136" s="76">
        <v>0</v>
      </c>
      <c r="EX136" s="76">
        <v>0</v>
      </c>
      <c r="EY136" s="76">
        <v>0</v>
      </c>
      <c r="EZ136" s="76">
        <v>62419</v>
      </c>
      <c r="FA136" s="76">
        <v>9695</v>
      </c>
      <c r="FB136" s="76">
        <v>2099</v>
      </c>
      <c r="FC136" s="76">
        <v>0</v>
      </c>
      <c r="FD136" s="76">
        <v>0</v>
      </c>
      <c r="FE136" s="76">
        <v>-51</v>
      </c>
      <c r="FF136" s="76">
        <v>0</v>
      </c>
      <c r="FG136" s="76">
        <v>0</v>
      </c>
      <c r="FH136" s="76">
        <v>11743</v>
      </c>
      <c r="FI136" s="76">
        <v>50676</v>
      </c>
      <c r="FJ136" s="76">
        <v>50432</v>
      </c>
      <c r="FK136" s="76">
        <v>0</v>
      </c>
      <c r="FL136" s="76">
        <v>0</v>
      </c>
      <c r="FM136" s="76">
        <v>0</v>
      </c>
      <c r="FN136" s="76">
        <v>285</v>
      </c>
      <c r="FO136" s="76">
        <v>256</v>
      </c>
      <c r="FP136" s="76">
        <v>29</v>
      </c>
      <c r="FQ136" s="76">
        <v>41</v>
      </c>
      <c r="FR136" s="76">
        <v>15</v>
      </c>
      <c r="FS136" s="76">
        <v>26</v>
      </c>
      <c r="FT136" s="76">
        <v>0</v>
      </c>
      <c r="FU136" s="76">
        <v>0</v>
      </c>
      <c r="FV136" s="76">
        <v>0</v>
      </c>
      <c r="FW136" s="76">
        <v>0</v>
      </c>
      <c r="FX136" s="76">
        <v>0</v>
      </c>
      <c r="FY136" s="76">
        <v>0</v>
      </c>
      <c r="FZ136" s="76">
        <v>0</v>
      </c>
      <c r="GA136" s="76">
        <v>0</v>
      </c>
      <c r="GB136" s="76">
        <v>0</v>
      </c>
      <c r="GC136" s="76">
        <v>326</v>
      </c>
      <c r="GD136" s="76">
        <v>271</v>
      </c>
      <c r="GE136" s="76">
        <v>55</v>
      </c>
      <c r="GF136" s="76">
        <v>0</v>
      </c>
      <c r="GG136" s="76">
        <v>0</v>
      </c>
      <c r="GH136" s="76">
        <v>0</v>
      </c>
      <c r="GI136" s="76">
        <v>0</v>
      </c>
      <c r="GJ136" s="76">
        <v>0</v>
      </c>
      <c r="GK136" s="76">
        <v>0</v>
      </c>
      <c r="GL136" s="76">
        <v>0</v>
      </c>
      <c r="GM136" s="76">
        <v>230</v>
      </c>
      <c r="GN136" s="76">
        <v>382</v>
      </c>
      <c r="GO136" s="76">
        <v>193</v>
      </c>
      <c r="GP136" s="76">
        <v>0</v>
      </c>
      <c r="GQ136" s="76">
        <v>0</v>
      </c>
      <c r="GR136" s="76">
        <v>295</v>
      </c>
      <c r="GS136" s="76">
        <v>0</v>
      </c>
      <c r="GT136" s="76">
        <v>0</v>
      </c>
      <c r="GU136" s="76">
        <v>61</v>
      </c>
      <c r="GV136" s="76">
        <v>0</v>
      </c>
      <c r="GW136" s="76">
        <v>137</v>
      </c>
      <c r="GX136" s="76">
        <v>1298</v>
      </c>
      <c r="GY136" s="76">
        <v>0</v>
      </c>
      <c r="GZ136" s="76">
        <v>0</v>
      </c>
      <c r="HA136" s="76">
        <v>0</v>
      </c>
      <c r="HB136" s="76">
        <v>0</v>
      </c>
      <c r="HC136" s="76">
        <v>0</v>
      </c>
      <c r="HD136" s="76">
        <v>0</v>
      </c>
      <c r="HE136" s="76">
        <v>87</v>
      </c>
      <c r="HF136" s="76">
        <v>87</v>
      </c>
      <c r="HG136" s="76">
        <v>929</v>
      </c>
      <c r="HH136" s="76">
        <v>0</v>
      </c>
      <c r="HI136" s="76">
        <v>0</v>
      </c>
      <c r="HJ136" s="76">
        <v>0</v>
      </c>
      <c r="HK136" s="76">
        <v>0</v>
      </c>
      <c r="HL136" s="76">
        <v>0</v>
      </c>
      <c r="HM136" s="76">
        <v>929</v>
      </c>
      <c r="HN136" s="76">
        <v>2547</v>
      </c>
      <c r="HO136" s="76">
        <v>2099</v>
      </c>
      <c r="HP136" s="76">
        <v>0</v>
      </c>
      <c r="HQ136" s="76">
        <v>0</v>
      </c>
      <c r="HR136" s="76">
        <v>-13</v>
      </c>
      <c r="HS136" s="76">
        <v>9</v>
      </c>
      <c r="HT136" s="76">
        <v>3389</v>
      </c>
      <c r="HU136" s="76">
        <v>0</v>
      </c>
      <c r="HV136" s="76">
        <v>0</v>
      </c>
      <c r="HW136" s="76">
        <v>0</v>
      </c>
      <c r="HX136" s="76">
        <v>0</v>
      </c>
    </row>
    <row r="137" spans="1:232" x14ac:dyDescent="0.2">
      <c r="A137" s="74" t="s">
        <v>95</v>
      </c>
      <c r="B137" s="74" t="s">
        <v>94</v>
      </c>
      <c r="C137" s="75" t="s">
        <v>201</v>
      </c>
      <c r="D137" s="75">
        <v>12</v>
      </c>
      <c r="E137" s="76">
        <v>17717</v>
      </c>
      <c r="F137" s="76">
        <v>-1160</v>
      </c>
      <c r="G137" s="76">
        <v>-12475</v>
      </c>
      <c r="H137" s="76">
        <v>4082</v>
      </c>
      <c r="I137" s="76">
        <v>-339</v>
      </c>
      <c r="J137" s="76">
        <v>19</v>
      </c>
      <c r="K137" s="76">
        <v>0</v>
      </c>
      <c r="L137" s="76">
        <v>0</v>
      </c>
      <c r="M137" s="76">
        <v>5</v>
      </c>
      <c r="N137" s="76">
        <v>-2733</v>
      </c>
      <c r="O137" s="76">
        <v>0</v>
      </c>
      <c r="P137" s="76">
        <v>0</v>
      </c>
      <c r="Q137" s="76">
        <v>0</v>
      </c>
      <c r="R137" s="76">
        <v>0</v>
      </c>
      <c r="S137" s="76">
        <v>1034</v>
      </c>
      <c r="T137" s="76">
        <v>0</v>
      </c>
      <c r="U137" s="76">
        <v>1034</v>
      </c>
      <c r="V137" s="76">
        <v>0</v>
      </c>
      <c r="W137" s="76">
        <v>0</v>
      </c>
      <c r="X137" s="76">
        <v>0</v>
      </c>
      <c r="Y137" s="76">
        <v>0</v>
      </c>
      <c r="Z137" s="76">
        <v>1034</v>
      </c>
      <c r="AA137" s="76">
        <v>12223</v>
      </c>
      <c r="AB137" s="76">
        <v>1381</v>
      </c>
      <c r="AC137" s="76">
        <v>13604</v>
      </c>
      <c r="AD137" s="76">
        <v>542</v>
      </c>
      <c r="AE137" s="76">
        <v>0</v>
      </c>
      <c r="AF137" s="76">
        <v>0</v>
      </c>
      <c r="AG137" s="76">
        <v>282</v>
      </c>
      <c r="AH137" s="76">
        <v>14428</v>
      </c>
      <c r="AI137" s="76">
        <v>4242</v>
      </c>
      <c r="AJ137" s="76">
        <v>733</v>
      </c>
      <c r="AK137" s="76">
        <v>2297</v>
      </c>
      <c r="AL137" s="76">
        <v>788</v>
      </c>
      <c r="AM137" s="76">
        <v>55</v>
      </c>
      <c r="AN137" s="76">
        <v>-24</v>
      </c>
      <c r="AO137" s="76">
        <v>1971</v>
      </c>
      <c r="AP137" s="76">
        <v>0</v>
      </c>
      <c r="AQ137" s="76">
        <v>0</v>
      </c>
      <c r="AR137" s="76">
        <v>10062</v>
      </c>
      <c r="AS137" s="76">
        <v>4366</v>
      </c>
      <c r="AT137" s="76">
        <v>440</v>
      </c>
      <c r="AU137" s="76">
        <v>159783</v>
      </c>
      <c r="AV137" s="76">
        <v>0</v>
      </c>
      <c r="AW137" s="76">
        <v>1618</v>
      </c>
      <c r="AX137" s="76">
        <v>0</v>
      </c>
      <c r="AY137" s="76">
        <v>0</v>
      </c>
      <c r="AZ137" s="76">
        <v>0</v>
      </c>
      <c r="BA137" s="76">
        <v>0</v>
      </c>
      <c r="BB137" s="76">
        <v>0</v>
      </c>
      <c r="BC137" s="76">
        <v>0</v>
      </c>
      <c r="BD137" s="76">
        <v>0</v>
      </c>
      <c r="BE137" s="76">
        <v>161401</v>
      </c>
      <c r="BF137" s="76">
        <v>0</v>
      </c>
      <c r="BG137" s="76">
        <v>2166</v>
      </c>
      <c r="BH137" s="76">
        <v>4169</v>
      </c>
      <c r="BI137" s="76">
        <v>0</v>
      </c>
      <c r="BJ137" s="76">
        <v>0</v>
      </c>
      <c r="BK137" s="76">
        <v>6335</v>
      </c>
      <c r="BL137" s="76">
        <v>2080</v>
      </c>
      <c r="BM137" s="76">
        <v>0</v>
      </c>
      <c r="BN137" s="76">
        <v>543</v>
      </c>
      <c r="BO137" s="76">
        <v>6665</v>
      </c>
      <c r="BP137" s="76">
        <v>9288</v>
      </c>
      <c r="BQ137" s="76">
        <v>-2953</v>
      </c>
      <c r="BR137" s="76">
        <v>158448</v>
      </c>
      <c r="BS137" s="76">
        <v>64417</v>
      </c>
      <c r="BT137" s="76">
        <v>0</v>
      </c>
      <c r="BU137" s="76">
        <v>0</v>
      </c>
      <c r="BV137" s="76">
        <v>81044</v>
      </c>
      <c r="BW137" s="76">
        <v>0</v>
      </c>
      <c r="BX137" s="76">
        <v>0</v>
      </c>
      <c r="BY137" s="76">
        <v>3407</v>
      </c>
      <c r="BZ137" s="76">
        <v>148868</v>
      </c>
      <c r="CA137" s="76">
        <v>0</v>
      </c>
      <c r="CB137" s="76">
        <v>0</v>
      </c>
      <c r="CC137" s="76">
        <v>9580</v>
      </c>
      <c r="CD137" s="76">
        <v>9580</v>
      </c>
      <c r="CE137" s="76">
        <v>0</v>
      </c>
      <c r="CF137" s="76">
        <v>0</v>
      </c>
      <c r="CG137" s="76">
        <v>0</v>
      </c>
      <c r="CH137" s="76">
        <v>0</v>
      </c>
      <c r="CI137" s="76">
        <v>9580</v>
      </c>
      <c r="CJ137" s="76">
        <v>0</v>
      </c>
      <c r="CK137" s="76">
        <v>0</v>
      </c>
      <c r="CL137" s="76">
        <v>0</v>
      </c>
      <c r="CM137" s="76">
        <v>0</v>
      </c>
      <c r="CN137" s="76">
        <v>0</v>
      </c>
      <c r="CO137" s="76">
        <v>0</v>
      </c>
      <c r="CP137" s="76">
        <v>0</v>
      </c>
      <c r="CQ137" s="76">
        <v>0</v>
      </c>
      <c r="CR137" s="76">
        <v>939</v>
      </c>
      <c r="CS137" s="76">
        <v>0</v>
      </c>
      <c r="CT137" s="76">
        <v>1174</v>
      </c>
      <c r="CU137" s="76">
        <v>-235</v>
      </c>
      <c r="CV137" s="76">
        <v>0</v>
      </c>
      <c r="CW137" s="76">
        <v>0</v>
      </c>
      <c r="CX137" s="76">
        <v>0</v>
      </c>
      <c r="CY137" s="76">
        <v>0</v>
      </c>
      <c r="CZ137" s="76">
        <v>1145</v>
      </c>
      <c r="DA137" s="76">
        <v>33</v>
      </c>
      <c r="DB137" s="76">
        <v>1004</v>
      </c>
      <c r="DC137" s="76">
        <v>108</v>
      </c>
      <c r="DD137" s="76">
        <v>2084</v>
      </c>
      <c r="DE137" s="76">
        <v>33</v>
      </c>
      <c r="DF137" s="76">
        <v>2178</v>
      </c>
      <c r="DG137" s="76">
        <v>-127</v>
      </c>
      <c r="DH137" s="76">
        <v>1087</v>
      </c>
      <c r="DI137" s="76">
        <v>1127</v>
      </c>
      <c r="DJ137" s="76">
        <v>0</v>
      </c>
      <c r="DK137" s="76">
        <v>-40</v>
      </c>
      <c r="DL137" s="76">
        <v>118</v>
      </c>
      <c r="DM137" s="76">
        <v>0</v>
      </c>
      <c r="DN137" s="76">
        <v>235</v>
      </c>
      <c r="DO137" s="76">
        <v>-117</v>
      </c>
      <c r="DP137" s="76">
        <v>0</v>
      </c>
      <c r="DQ137" s="76">
        <v>0</v>
      </c>
      <c r="DR137" s="76">
        <v>0</v>
      </c>
      <c r="DS137" s="76">
        <v>0</v>
      </c>
      <c r="DT137" s="76">
        <v>0</v>
      </c>
      <c r="DU137" s="76">
        <v>0</v>
      </c>
      <c r="DV137" s="76">
        <v>0</v>
      </c>
      <c r="DW137" s="76">
        <v>0</v>
      </c>
      <c r="DX137" s="76">
        <v>0</v>
      </c>
      <c r="DY137" s="76">
        <v>0</v>
      </c>
      <c r="DZ137" s="76">
        <v>0</v>
      </c>
      <c r="EA137" s="76">
        <v>0</v>
      </c>
      <c r="EB137" s="76">
        <v>0</v>
      </c>
      <c r="EC137" s="76">
        <v>0</v>
      </c>
      <c r="ED137" s="76">
        <v>0</v>
      </c>
      <c r="EE137" s="76">
        <v>0</v>
      </c>
      <c r="EF137" s="76">
        <v>1205</v>
      </c>
      <c r="EG137" s="76">
        <v>1127</v>
      </c>
      <c r="EH137" s="76">
        <v>235</v>
      </c>
      <c r="EI137" s="76">
        <v>-157</v>
      </c>
      <c r="EJ137" s="76">
        <v>3289</v>
      </c>
      <c r="EK137" s="76">
        <v>1160</v>
      </c>
      <c r="EL137" s="76">
        <v>2413</v>
      </c>
      <c r="EM137" s="76">
        <v>-284</v>
      </c>
      <c r="EN137" s="76">
        <v>688</v>
      </c>
      <c r="EO137" s="76">
        <v>511</v>
      </c>
      <c r="EP137" s="76">
        <v>14</v>
      </c>
      <c r="EQ137" s="76">
        <v>260</v>
      </c>
      <c r="ER137" s="76">
        <v>174591</v>
      </c>
      <c r="ES137" s="76">
        <v>0</v>
      </c>
      <c r="ET137" s="76">
        <v>174591</v>
      </c>
      <c r="EU137" s="76">
        <v>7625</v>
      </c>
      <c r="EV137" s="76">
        <v>-788</v>
      </c>
      <c r="EW137" s="76">
        <v>0</v>
      </c>
      <c r="EX137" s="76">
        <v>0</v>
      </c>
      <c r="EY137" s="76">
        <v>-489</v>
      </c>
      <c r="EZ137" s="76">
        <v>180939</v>
      </c>
      <c r="FA137" s="76">
        <v>19779</v>
      </c>
      <c r="FB137" s="76">
        <v>1979</v>
      </c>
      <c r="FC137" s="76">
        <v>0</v>
      </c>
      <c r="FD137" s="76">
        <v>0</v>
      </c>
      <c r="FE137" s="76">
        <v>-113</v>
      </c>
      <c r="FF137" s="76">
        <v>0</v>
      </c>
      <c r="FG137" s="76">
        <v>-489</v>
      </c>
      <c r="FH137" s="76">
        <v>21156</v>
      </c>
      <c r="FI137" s="76">
        <v>159783</v>
      </c>
      <c r="FJ137" s="76">
        <v>154812</v>
      </c>
      <c r="FK137" s="76">
        <v>0</v>
      </c>
      <c r="FL137" s="76">
        <v>0</v>
      </c>
      <c r="FM137" s="76">
        <v>0</v>
      </c>
      <c r="FN137" s="76">
        <v>83</v>
      </c>
      <c r="FO137" s="76">
        <v>66</v>
      </c>
      <c r="FP137" s="76">
        <v>17</v>
      </c>
      <c r="FQ137" s="76">
        <v>0</v>
      </c>
      <c r="FR137" s="76">
        <v>0</v>
      </c>
      <c r="FS137" s="76">
        <v>0</v>
      </c>
      <c r="FT137" s="76">
        <v>57</v>
      </c>
      <c r="FU137" s="76">
        <v>413</v>
      </c>
      <c r="FV137" s="76">
        <v>-356</v>
      </c>
      <c r="FW137" s="76">
        <v>0</v>
      </c>
      <c r="FX137" s="76">
        <v>0</v>
      </c>
      <c r="FY137" s="76">
        <v>0</v>
      </c>
      <c r="FZ137" s="76">
        <v>0</v>
      </c>
      <c r="GA137" s="76">
        <v>0</v>
      </c>
      <c r="GB137" s="76">
        <v>0</v>
      </c>
      <c r="GC137" s="76">
        <v>140</v>
      </c>
      <c r="GD137" s="76">
        <v>479</v>
      </c>
      <c r="GE137" s="76">
        <v>-339</v>
      </c>
      <c r="GF137" s="76">
        <v>0</v>
      </c>
      <c r="GG137" s="76">
        <v>0</v>
      </c>
      <c r="GH137" s="76">
        <v>0</v>
      </c>
      <c r="GI137" s="76">
        <v>0</v>
      </c>
      <c r="GJ137" s="76">
        <v>0</v>
      </c>
      <c r="GK137" s="76">
        <v>0</v>
      </c>
      <c r="GL137" s="76">
        <v>0</v>
      </c>
      <c r="GM137" s="76">
        <v>1126</v>
      </c>
      <c r="GN137" s="76">
        <v>130</v>
      </c>
      <c r="GO137" s="76">
        <v>0</v>
      </c>
      <c r="GP137" s="76">
        <v>650</v>
      </c>
      <c r="GQ137" s="76">
        <v>428</v>
      </c>
      <c r="GR137" s="76">
        <v>3427</v>
      </c>
      <c r="GS137" s="76">
        <v>0</v>
      </c>
      <c r="GT137" s="76">
        <v>0</v>
      </c>
      <c r="GU137" s="76">
        <v>520</v>
      </c>
      <c r="GV137" s="76">
        <v>0</v>
      </c>
      <c r="GW137" s="76">
        <v>384</v>
      </c>
      <c r="GX137" s="76">
        <v>6665</v>
      </c>
      <c r="GY137" s="76">
        <v>0</v>
      </c>
      <c r="GZ137" s="76">
        <v>0</v>
      </c>
      <c r="HA137" s="76">
        <v>3388</v>
      </c>
      <c r="HB137" s="76">
        <v>19</v>
      </c>
      <c r="HC137" s="76">
        <v>3407</v>
      </c>
      <c r="HD137" s="76">
        <v>0</v>
      </c>
      <c r="HE137" s="76">
        <v>0</v>
      </c>
      <c r="HF137" s="76">
        <v>0</v>
      </c>
      <c r="HG137" s="76">
        <v>2733</v>
      </c>
      <c r="HH137" s="76">
        <v>0</v>
      </c>
      <c r="HI137" s="76">
        <v>0</v>
      </c>
      <c r="HJ137" s="76">
        <v>0</v>
      </c>
      <c r="HK137" s="76">
        <v>0</v>
      </c>
      <c r="HL137" s="76">
        <v>0</v>
      </c>
      <c r="HM137" s="76">
        <v>2733</v>
      </c>
      <c r="HN137" s="76">
        <v>982</v>
      </c>
      <c r="HO137" s="76">
        <v>2163</v>
      </c>
      <c r="HP137" s="76">
        <v>0</v>
      </c>
      <c r="HQ137" s="76">
        <v>65</v>
      </c>
      <c r="HR137" s="76">
        <v>-6</v>
      </c>
      <c r="HS137" s="76">
        <v>0</v>
      </c>
      <c r="HT137" s="76">
        <v>2764</v>
      </c>
      <c r="HU137" s="76">
        <v>0</v>
      </c>
      <c r="HV137" s="76">
        <v>0</v>
      </c>
      <c r="HW137" s="76">
        <v>-201</v>
      </c>
      <c r="HX137" s="76">
        <v>8</v>
      </c>
    </row>
    <row r="138" spans="1:232" x14ac:dyDescent="0.2">
      <c r="A138" s="74" t="s">
        <v>455</v>
      </c>
      <c r="B138" s="74" t="s">
        <v>456</v>
      </c>
      <c r="C138" s="75" t="s">
        <v>200</v>
      </c>
      <c r="D138" s="75">
        <v>12</v>
      </c>
      <c r="E138" s="76">
        <v>15879</v>
      </c>
      <c r="F138" s="76">
        <v>0</v>
      </c>
      <c r="G138" s="76">
        <v>-14502</v>
      </c>
      <c r="H138" s="76">
        <v>1377</v>
      </c>
      <c r="I138" s="76">
        <v>0</v>
      </c>
      <c r="J138" s="76">
        <v>0</v>
      </c>
      <c r="K138" s="76">
        <v>0</v>
      </c>
      <c r="L138" s="76">
        <v>0</v>
      </c>
      <c r="M138" s="76">
        <v>6</v>
      </c>
      <c r="N138" s="76">
        <v>-29</v>
      </c>
      <c r="O138" s="76">
        <v>0</v>
      </c>
      <c r="P138" s="76">
        <v>0</v>
      </c>
      <c r="Q138" s="76">
        <v>0</v>
      </c>
      <c r="R138" s="76">
        <v>0</v>
      </c>
      <c r="S138" s="76">
        <v>1354</v>
      </c>
      <c r="T138" s="76">
        <v>-276</v>
      </c>
      <c r="U138" s="76">
        <v>1078</v>
      </c>
      <c r="V138" s="76">
        <v>0</v>
      </c>
      <c r="W138" s="76">
        <v>0</v>
      </c>
      <c r="X138" s="76">
        <v>0</v>
      </c>
      <c r="Y138" s="76">
        <v>0</v>
      </c>
      <c r="Z138" s="76">
        <v>1078</v>
      </c>
      <c r="AA138" s="76">
        <v>14040</v>
      </c>
      <c r="AB138" s="76">
        <v>1521</v>
      </c>
      <c r="AC138" s="76">
        <v>15561</v>
      </c>
      <c r="AD138" s="76">
        <v>0</v>
      </c>
      <c r="AE138" s="76">
        <v>0</v>
      </c>
      <c r="AF138" s="76">
        <v>318</v>
      </c>
      <c r="AG138" s="76">
        <v>0</v>
      </c>
      <c r="AH138" s="76">
        <v>15879</v>
      </c>
      <c r="AI138" s="76">
        <v>1750</v>
      </c>
      <c r="AJ138" s="76">
        <v>1402</v>
      </c>
      <c r="AK138" s="76">
        <v>808</v>
      </c>
      <c r="AL138" s="76">
        <v>576</v>
      </c>
      <c r="AM138" s="76">
        <v>0</v>
      </c>
      <c r="AN138" s="76">
        <v>42</v>
      </c>
      <c r="AO138" s="76">
        <v>55</v>
      </c>
      <c r="AP138" s="76">
        <v>0</v>
      </c>
      <c r="AQ138" s="76">
        <v>9868</v>
      </c>
      <c r="AR138" s="76">
        <v>14501</v>
      </c>
      <c r="AS138" s="76">
        <v>1378</v>
      </c>
      <c r="AT138" s="76">
        <v>1252</v>
      </c>
      <c r="AU138" s="76">
        <v>1035</v>
      </c>
      <c r="AV138" s="76">
        <v>0</v>
      </c>
      <c r="AW138" s="76">
        <v>43</v>
      </c>
      <c r="AX138" s="76">
        <v>0</v>
      </c>
      <c r="AY138" s="76">
        <v>0</v>
      </c>
      <c r="AZ138" s="76">
        <v>0</v>
      </c>
      <c r="BA138" s="76">
        <v>0</v>
      </c>
      <c r="BB138" s="76">
        <v>0</v>
      </c>
      <c r="BC138" s="76">
        <v>0</v>
      </c>
      <c r="BD138" s="76">
        <v>0</v>
      </c>
      <c r="BE138" s="76">
        <v>1078</v>
      </c>
      <c r="BF138" s="76">
        <v>0</v>
      </c>
      <c r="BG138" s="76">
        <v>2032</v>
      </c>
      <c r="BH138" s="76">
        <v>3213</v>
      </c>
      <c r="BI138" s="76">
        <v>0</v>
      </c>
      <c r="BJ138" s="76">
        <v>0</v>
      </c>
      <c r="BK138" s="76">
        <v>5245</v>
      </c>
      <c r="BL138" s="76">
        <v>37</v>
      </c>
      <c r="BM138" s="76">
        <v>0</v>
      </c>
      <c r="BN138" s="76">
        <v>0</v>
      </c>
      <c r="BO138" s="76">
        <v>2501</v>
      </c>
      <c r="BP138" s="76">
        <v>2538</v>
      </c>
      <c r="BQ138" s="76">
        <v>2707</v>
      </c>
      <c r="BR138" s="76">
        <v>3785</v>
      </c>
      <c r="BS138" s="76">
        <v>476</v>
      </c>
      <c r="BT138" s="76">
        <v>0</v>
      </c>
      <c r="BU138" s="76">
        <v>0</v>
      </c>
      <c r="BV138" s="76">
        <v>0</v>
      </c>
      <c r="BW138" s="76">
        <v>0</v>
      </c>
      <c r="BX138" s="76">
        <v>0</v>
      </c>
      <c r="BY138" s="76">
        <v>1807</v>
      </c>
      <c r="BZ138" s="76">
        <v>2283</v>
      </c>
      <c r="CA138" s="76">
        <v>0</v>
      </c>
      <c r="CB138" s="76">
        <v>15</v>
      </c>
      <c r="CC138" s="76">
        <v>1487</v>
      </c>
      <c r="CD138" s="76">
        <v>1487</v>
      </c>
      <c r="CE138" s="76">
        <v>0</v>
      </c>
      <c r="CF138" s="76">
        <v>0</v>
      </c>
      <c r="CG138" s="76">
        <v>0</v>
      </c>
      <c r="CH138" s="76">
        <v>0</v>
      </c>
      <c r="CI138" s="76">
        <v>1487</v>
      </c>
      <c r="CJ138" s="76">
        <v>0</v>
      </c>
      <c r="CK138" s="76">
        <v>0</v>
      </c>
      <c r="CL138" s="76">
        <v>0</v>
      </c>
      <c r="CM138" s="76">
        <v>0</v>
      </c>
      <c r="CN138" s="76">
        <v>0</v>
      </c>
      <c r="CO138" s="76">
        <v>0</v>
      </c>
      <c r="CP138" s="76">
        <v>0</v>
      </c>
      <c r="CQ138" s="76">
        <v>0</v>
      </c>
      <c r="CR138" s="76">
        <v>0</v>
      </c>
      <c r="CS138" s="76">
        <v>0</v>
      </c>
      <c r="CT138" s="76">
        <v>0</v>
      </c>
      <c r="CU138" s="76">
        <v>0</v>
      </c>
      <c r="CV138" s="76">
        <v>0</v>
      </c>
      <c r="CW138" s="76">
        <v>0</v>
      </c>
      <c r="CX138" s="76">
        <v>0</v>
      </c>
      <c r="CY138" s="76">
        <v>0</v>
      </c>
      <c r="CZ138" s="76">
        <v>0</v>
      </c>
      <c r="DA138" s="76">
        <v>0</v>
      </c>
      <c r="DB138" s="76">
        <v>0</v>
      </c>
      <c r="DC138" s="76">
        <v>0</v>
      </c>
      <c r="DD138" s="76">
        <v>0</v>
      </c>
      <c r="DE138" s="76">
        <v>0</v>
      </c>
      <c r="DF138" s="76">
        <v>0</v>
      </c>
      <c r="DG138" s="76">
        <v>0</v>
      </c>
      <c r="DH138" s="76">
        <v>0</v>
      </c>
      <c r="DI138" s="76">
        <v>0</v>
      </c>
      <c r="DJ138" s="76">
        <v>0</v>
      </c>
      <c r="DK138" s="76">
        <v>0</v>
      </c>
      <c r="DL138" s="76">
        <v>0</v>
      </c>
      <c r="DM138" s="76">
        <v>0</v>
      </c>
      <c r="DN138" s="76">
        <v>0</v>
      </c>
      <c r="DO138" s="76">
        <v>0</v>
      </c>
      <c r="DP138" s="76">
        <v>0</v>
      </c>
      <c r="DQ138" s="76">
        <v>0</v>
      </c>
      <c r="DR138" s="76">
        <v>0</v>
      </c>
      <c r="DS138" s="76">
        <v>0</v>
      </c>
      <c r="DT138" s="76">
        <v>0</v>
      </c>
      <c r="DU138" s="76">
        <v>0</v>
      </c>
      <c r="DV138" s="76">
        <v>0</v>
      </c>
      <c r="DW138" s="76">
        <v>0</v>
      </c>
      <c r="DX138" s="76">
        <v>0</v>
      </c>
      <c r="DY138" s="76">
        <v>0</v>
      </c>
      <c r="DZ138" s="76">
        <v>0</v>
      </c>
      <c r="EA138" s="76">
        <v>0</v>
      </c>
      <c r="EB138" s="76">
        <v>0</v>
      </c>
      <c r="EC138" s="76">
        <v>0</v>
      </c>
      <c r="ED138" s="76">
        <v>0</v>
      </c>
      <c r="EE138" s="76">
        <v>0</v>
      </c>
      <c r="EF138" s="76">
        <v>0</v>
      </c>
      <c r="EG138" s="76">
        <v>0</v>
      </c>
      <c r="EH138" s="76">
        <v>0</v>
      </c>
      <c r="EI138" s="76">
        <v>0</v>
      </c>
      <c r="EJ138" s="76">
        <v>0</v>
      </c>
      <c r="EK138" s="76">
        <v>0</v>
      </c>
      <c r="EL138" s="76">
        <v>0</v>
      </c>
      <c r="EM138" s="76">
        <v>0</v>
      </c>
      <c r="EN138" s="76">
        <v>852</v>
      </c>
      <c r="EO138" s="76">
        <v>36</v>
      </c>
      <c r="EP138" s="76">
        <v>27</v>
      </c>
      <c r="EQ138" s="76">
        <v>36</v>
      </c>
      <c r="ER138" s="76">
        <v>1260</v>
      </c>
      <c r="ES138" s="76">
        <v>0</v>
      </c>
      <c r="ET138" s="76">
        <v>1260</v>
      </c>
      <c r="EU138" s="76">
        <v>0</v>
      </c>
      <c r="EV138" s="76">
        <v>-44</v>
      </c>
      <c r="EW138" s="76">
        <v>0</v>
      </c>
      <c r="EX138" s="76">
        <v>0</v>
      </c>
      <c r="EY138" s="76">
        <v>0</v>
      </c>
      <c r="EZ138" s="76">
        <v>1216</v>
      </c>
      <c r="FA138" s="76">
        <v>170</v>
      </c>
      <c r="FB138" s="76">
        <v>37</v>
      </c>
      <c r="FC138" s="76">
        <v>0</v>
      </c>
      <c r="FD138" s="76">
        <v>0</v>
      </c>
      <c r="FE138" s="76">
        <v>-26</v>
      </c>
      <c r="FF138" s="76">
        <v>0</v>
      </c>
      <c r="FG138" s="76">
        <v>0</v>
      </c>
      <c r="FH138" s="76">
        <v>181</v>
      </c>
      <c r="FI138" s="76">
        <v>1035</v>
      </c>
      <c r="FJ138" s="76">
        <v>1090</v>
      </c>
      <c r="FK138" s="76">
        <v>0</v>
      </c>
      <c r="FL138" s="76">
        <v>0</v>
      </c>
      <c r="FM138" s="76">
        <v>0</v>
      </c>
      <c r="FN138" s="76">
        <v>0</v>
      </c>
      <c r="FO138" s="76">
        <v>0</v>
      </c>
      <c r="FP138" s="76">
        <v>0</v>
      </c>
      <c r="FQ138" s="76">
        <v>0</v>
      </c>
      <c r="FR138" s="76">
        <v>0</v>
      </c>
      <c r="FS138" s="76">
        <v>0</v>
      </c>
      <c r="FT138" s="76">
        <v>0</v>
      </c>
      <c r="FU138" s="76">
        <v>0</v>
      </c>
      <c r="FV138" s="76">
        <v>0</v>
      </c>
      <c r="FW138" s="76">
        <v>0</v>
      </c>
      <c r="FX138" s="76">
        <v>0</v>
      </c>
      <c r="FY138" s="76">
        <v>0</v>
      </c>
      <c r="FZ138" s="76">
        <v>0</v>
      </c>
      <c r="GA138" s="76">
        <v>0</v>
      </c>
      <c r="GB138" s="76">
        <v>0</v>
      </c>
      <c r="GC138" s="76">
        <v>0</v>
      </c>
      <c r="GD138" s="76">
        <v>0</v>
      </c>
      <c r="GE138" s="76">
        <v>0</v>
      </c>
      <c r="GF138" s="76">
        <v>0</v>
      </c>
      <c r="GG138" s="76">
        <v>0</v>
      </c>
      <c r="GH138" s="76">
        <v>0</v>
      </c>
      <c r="GI138" s="76">
        <v>0</v>
      </c>
      <c r="GJ138" s="76">
        <v>0</v>
      </c>
      <c r="GK138" s="76">
        <v>0</v>
      </c>
      <c r="GL138" s="76">
        <v>0</v>
      </c>
      <c r="GM138" s="76">
        <v>1088</v>
      </c>
      <c r="GN138" s="76">
        <v>45</v>
      </c>
      <c r="GO138" s="76">
        <v>0</v>
      </c>
      <c r="GP138" s="76">
        <v>0</v>
      </c>
      <c r="GQ138" s="76">
        <v>0</v>
      </c>
      <c r="GR138" s="76">
        <v>1014</v>
      </c>
      <c r="GS138" s="76">
        <v>0</v>
      </c>
      <c r="GT138" s="76">
        <v>0</v>
      </c>
      <c r="GU138" s="76">
        <v>0</v>
      </c>
      <c r="GV138" s="76">
        <v>0</v>
      </c>
      <c r="GW138" s="76">
        <v>354</v>
      </c>
      <c r="GX138" s="76">
        <v>2501</v>
      </c>
      <c r="GY138" s="76">
        <v>0</v>
      </c>
      <c r="GZ138" s="76">
        <v>0</v>
      </c>
      <c r="HA138" s="76">
        <v>0</v>
      </c>
      <c r="HB138" s="76">
        <v>1807</v>
      </c>
      <c r="HC138" s="76">
        <v>1807</v>
      </c>
      <c r="HD138" s="76">
        <v>0</v>
      </c>
      <c r="HE138" s="76">
        <v>15</v>
      </c>
      <c r="HF138" s="76">
        <v>15</v>
      </c>
      <c r="HG138" s="76">
        <v>29</v>
      </c>
      <c r="HH138" s="76">
        <v>0</v>
      </c>
      <c r="HI138" s="76">
        <v>0</v>
      </c>
      <c r="HJ138" s="76">
        <v>0</v>
      </c>
      <c r="HK138" s="76">
        <v>0</v>
      </c>
      <c r="HL138" s="76">
        <v>0</v>
      </c>
      <c r="HM138" s="76">
        <v>29</v>
      </c>
      <c r="HN138" s="76">
        <v>0</v>
      </c>
      <c r="HO138" s="76">
        <v>54</v>
      </c>
      <c r="HP138" s="76">
        <v>0</v>
      </c>
      <c r="HQ138" s="76">
        <v>393</v>
      </c>
      <c r="HR138" s="76">
        <v>-31</v>
      </c>
      <c r="HS138" s="76">
        <v>6</v>
      </c>
      <c r="HT138" s="76">
        <v>1285</v>
      </c>
      <c r="HU138" s="76">
        <v>0</v>
      </c>
      <c r="HV138" s="76">
        <v>0</v>
      </c>
      <c r="HW138" s="76">
        <v>0</v>
      </c>
      <c r="HX138" s="76">
        <v>0</v>
      </c>
    </row>
    <row r="139" spans="1:232" x14ac:dyDescent="0.2">
      <c r="A139" s="74" t="s">
        <v>99</v>
      </c>
      <c r="B139" s="74" t="s">
        <v>98</v>
      </c>
      <c r="C139" s="75" t="s">
        <v>200</v>
      </c>
      <c r="D139" s="75">
        <v>12</v>
      </c>
      <c r="E139" s="76">
        <v>91176</v>
      </c>
      <c r="F139" s="76">
        <v>0</v>
      </c>
      <c r="G139" s="76">
        <v>-80359</v>
      </c>
      <c r="H139" s="76">
        <v>10817</v>
      </c>
      <c r="I139" s="76">
        <v>1176</v>
      </c>
      <c r="J139" s="76">
        <v>37</v>
      </c>
      <c r="K139" s="76">
        <v>0</v>
      </c>
      <c r="L139" s="76">
        <v>0</v>
      </c>
      <c r="M139" s="76">
        <v>10</v>
      </c>
      <c r="N139" s="76">
        <v>-16190</v>
      </c>
      <c r="O139" s="76">
        <v>0</v>
      </c>
      <c r="P139" s="76">
        <v>0</v>
      </c>
      <c r="Q139" s="76">
        <v>0</v>
      </c>
      <c r="R139" s="76">
        <v>0</v>
      </c>
      <c r="S139" s="76">
        <v>-4150</v>
      </c>
      <c r="T139" s="76">
        <v>0</v>
      </c>
      <c r="U139" s="76">
        <v>-4150</v>
      </c>
      <c r="V139" s="76">
        <v>0</v>
      </c>
      <c r="W139" s="76">
        <v>0</v>
      </c>
      <c r="X139" s="76">
        <v>0</v>
      </c>
      <c r="Y139" s="76">
        <v>0</v>
      </c>
      <c r="Z139" s="76">
        <v>-4150</v>
      </c>
      <c r="AA139" s="76">
        <v>81776</v>
      </c>
      <c r="AB139" s="76">
        <v>7052</v>
      </c>
      <c r="AC139" s="76">
        <v>88828</v>
      </c>
      <c r="AD139" s="76">
        <v>360</v>
      </c>
      <c r="AE139" s="76">
        <v>0</v>
      </c>
      <c r="AF139" s="76">
        <v>0</v>
      </c>
      <c r="AG139" s="76">
        <v>0</v>
      </c>
      <c r="AH139" s="76">
        <v>89188</v>
      </c>
      <c r="AI139" s="76">
        <v>21913</v>
      </c>
      <c r="AJ139" s="76">
        <v>3146</v>
      </c>
      <c r="AK139" s="76">
        <v>19051</v>
      </c>
      <c r="AL139" s="76">
        <v>3791</v>
      </c>
      <c r="AM139" s="76">
        <v>2055</v>
      </c>
      <c r="AN139" s="76">
        <v>1429</v>
      </c>
      <c r="AO139" s="76">
        <v>16634</v>
      </c>
      <c r="AP139" s="76">
        <v>7100</v>
      </c>
      <c r="AQ139" s="76">
        <v>1045</v>
      </c>
      <c r="AR139" s="76">
        <v>76164</v>
      </c>
      <c r="AS139" s="76">
        <v>13024</v>
      </c>
      <c r="AT139" s="76">
        <v>3810</v>
      </c>
      <c r="AU139" s="76">
        <v>353786</v>
      </c>
      <c r="AV139" s="76">
        <v>0</v>
      </c>
      <c r="AW139" s="76">
        <v>5908</v>
      </c>
      <c r="AX139" s="76">
        <v>0</v>
      </c>
      <c r="AY139" s="76">
        <v>0</v>
      </c>
      <c r="AZ139" s="76">
        <v>0</v>
      </c>
      <c r="BA139" s="76">
        <v>0</v>
      </c>
      <c r="BB139" s="76">
        <v>0</v>
      </c>
      <c r="BC139" s="76">
        <v>0</v>
      </c>
      <c r="BD139" s="76">
        <v>0</v>
      </c>
      <c r="BE139" s="76">
        <v>359694</v>
      </c>
      <c r="BF139" s="76">
        <v>0</v>
      </c>
      <c r="BG139" s="76">
        <v>427</v>
      </c>
      <c r="BH139" s="76">
        <v>3386</v>
      </c>
      <c r="BI139" s="76">
        <v>0</v>
      </c>
      <c r="BJ139" s="76">
        <v>5255</v>
      </c>
      <c r="BK139" s="76">
        <v>9068</v>
      </c>
      <c r="BL139" s="76">
        <v>0</v>
      </c>
      <c r="BM139" s="76">
        <v>0</v>
      </c>
      <c r="BN139" s="76">
        <v>388</v>
      </c>
      <c r="BO139" s="76">
        <v>8434</v>
      </c>
      <c r="BP139" s="76">
        <v>8822</v>
      </c>
      <c r="BQ139" s="76">
        <v>246</v>
      </c>
      <c r="BR139" s="76">
        <v>359940</v>
      </c>
      <c r="BS139" s="76">
        <v>257753</v>
      </c>
      <c r="BT139" s="76">
        <v>0</v>
      </c>
      <c r="BU139" s="76">
        <v>0</v>
      </c>
      <c r="BV139" s="76">
        <v>36459</v>
      </c>
      <c r="BW139" s="76">
        <v>0</v>
      </c>
      <c r="BX139" s="76">
        <v>0</v>
      </c>
      <c r="BY139" s="76">
        <v>2325</v>
      </c>
      <c r="BZ139" s="76">
        <v>296537</v>
      </c>
      <c r="CA139" s="76">
        <v>0</v>
      </c>
      <c r="CB139" s="76">
        <v>0</v>
      </c>
      <c r="CC139" s="76">
        <v>63403</v>
      </c>
      <c r="CD139" s="76">
        <v>63403</v>
      </c>
      <c r="CE139" s="76">
        <v>0</v>
      </c>
      <c r="CF139" s="76">
        <v>0</v>
      </c>
      <c r="CG139" s="76">
        <v>0</v>
      </c>
      <c r="CH139" s="76">
        <v>0</v>
      </c>
      <c r="CI139" s="76">
        <v>63403</v>
      </c>
      <c r="CJ139" s="76">
        <v>0</v>
      </c>
      <c r="CK139" s="76">
        <v>0</v>
      </c>
      <c r="CL139" s="76">
        <v>0</v>
      </c>
      <c r="CM139" s="76">
        <v>0</v>
      </c>
      <c r="CN139" s="76">
        <v>746</v>
      </c>
      <c r="CO139" s="76">
        <v>0</v>
      </c>
      <c r="CP139" s="76">
        <v>1065</v>
      </c>
      <c r="CQ139" s="76">
        <v>-319</v>
      </c>
      <c r="CR139" s="76">
        <v>0</v>
      </c>
      <c r="CS139" s="76">
        <v>0</v>
      </c>
      <c r="CT139" s="76">
        <v>0</v>
      </c>
      <c r="CU139" s="76">
        <v>0</v>
      </c>
      <c r="CV139" s="76">
        <v>0</v>
      </c>
      <c r="CW139" s="76">
        <v>0</v>
      </c>
      <c r="CX139" s="76">
        <v>0</v>
      </c>
      <c r="CY139" s="76">
        <v>0</v>
      </c>
      <c r="CZ139" s="76">
        <v>6</v>
      </c>
      <c r="DA139" s="76">
        <v>0</v>
      </c>
      <c r="DB139" s="76">
        <v>770</v>
      </c>
      <c r="DC139" s="76">
        <v>-764</v>
      </c>
      <c r="DD139" s="76">
        <v>752</v>
      </c>
      <c r="DE139" s="76">
        <v>0</v>
      </c>
      <c r="DF139" s="76">
        <v>1835</v>
      </c>
      <c r="DG139" s="76">
        <v>-1083</v>
      </c>
      <c r="DH139" s="76">
        <v>0</v>
      </c>
      <c r="DI139" s="76">
        <v>0</v>
      </c>
      <c r="DJ139" s="76">
        <v>0</v>
      </c>
      <c r="DK139" s="76">
        <v>0</v>
      </c>
      <c r="DL139" s="76">
        <v>0</v>
      </c>
      <c r="DM139" s="76">
        <v>0</v>
      </c>
      <c r="DN139" s="76">
        <v>0</v>
      </c>
      <c r="DO139" s="76">
        <v>0</v>
      </c>
      <c r="DP139" s="76">
        <v>0</v>
      </c>
      <c r="DQ139" s="76">
        <v>0</v>
      </c>
      <c r="DR139" s="76">
        <v>0</v>
      </c>
      <c r="DS139" s="76">
        <v>0</v>
      </c>
      <c r="DT139" s="76">
        <v>0</v>
      </c>
      <c r="DU139" s="76">
        <v>0</v>
      </c>
      <c r="DV139" s="76">
        <v>0</v>
      </c>
      <c r="DW139" s="76">
        <v>0</v>
      </c>
      <c r="DX139" s="76">
        <v>0</v>
      </c>
      <c r="DY139" s="76">
        <v>0</v>
      </c>
      <c r="DZ139" s="76">
        <v>0</v>
      </c>
      <c r="EA139" s="76">
        <v>0</v>
      </c>
      <c r="EB139" s="76">
        <v>1236</v>
      </c>
      <c r="EC139" s="76">
        <v>0</v>
      </c>
      <c r="ED139" s="76">
        <v>2360</v>
      </c>
      <c r="EE139" s="76">
        <v>-1124</v>
      </c>
      <c r="EF139" s="76">
        <v>1236</v>
      </c>
      <c r="EG139" s="76">
        <v>0</v>
      </c>
      <c r="EH139" s="76">
        <v>2360</v>
      </c>
      <c r="EI139" s="76">
        <v>-1124</v>
      </c>
      <c r="EJ139" s="76">
        <v>1988</v>
      </c>
      <c r="EK139" s="76">
        <v>0</v>
      </c>
      <c r="EL139" s="76">
        <v>4195</v>
      </c>
      <c r="EM139" s="76">
        <v>-2207</v>
      </c>
      <c r="EN139" s="76">
        <v>6979</v>
      </c>
      <c r="EO139" s="76">
        <v>3820</v>
      </c>
      <c r="EP139" s="76">
        <v>4346</v>
      </c>
      <c r="EQ139" s="76">
        <v>3629</v>
      </c>
      <c r="ER139" s="76">
        <v>474591</v>
      </c>
      <c r="ES139" s="76">
        <v>0</v>
      </c>
      <c r="ET139" s="76">
        <v>474591</v>
      </c>
      <c r="EU139" s="76">
        <v>18393</v>
      </c>
      <c r="EV139" s="76">
        <v>-1112</v>
      </c>
      <c r="EW139" s="76">
        <v>0</v>
      </c>
      <c r="EX139" s="76">
        <v>0</v>
      </c>
      <c r="EY139" s="76">
        <v>-1592</v>
      </c>
      <c r="EZ139" s="76">
        <v>490280</v>
      </c>
      <c r="FA139" s="76">
        <v>113525</v>
      </c>
      <c r="FB139" s="76">
        <v>16634</v>
      </c>
      <c r="FC139" s="76">
        <v>7100</v>
      </c>
      <c r="FD139" s="76">
        <v>0</v>
      </c>
      <c r="FE139" s="76">
        <v>-218</v>
      </c>
      <c r="FF139" s="76">
        <v>0</v>
      </c>
      <c r="FG139" s="76">
        <v>-547</v>
      </c>
      <c r="FH139" s="76">
        <v>136494</v>
      </c>
      <c r="FI139" s="76">
        <v>353786</v>
      </c>
      <c r="FJ139" s="76">
        <v>361066</v>
      </c>
      <c r="FK139" s="76">
        <v>345</v>
      </c>
      <c r="FL139" s="76">
        <v>141</v>
      </c>
      <c r="FM139" s="76">
        <v>204</v>
      </c>
      <c r="FN139" s="76">
        <v>1161</v>
      </c>
      <c r="FO139" s="76">
        <v>310</v>
      </c>
      <c r="FP139" s="76">
        <v>851</v>
      </c>
      <c r="FQ139" s="76">
        <v>1517</v>
      </c>
      <c r="FR139" s="76">
        <v>1473</v>
      </c>
      <c r="FS139" s="76">
        <v>44</v>
      </c>
      <c r="FT139" s="76">
        <v>119</v>
      </c>
      <c r="FU139" s="76">
        <v>170</v>
      </c>
      <c r="FV139" s="76">
        <v>-51</v>
      </c>
      <c r="FW139" s="76">
        <v>0</v>
      </c>
      <c r="FX139" s="76">
        <v>0</v>
      </c>
      <c r="FY139" s="76">
        <v>0</v>
      </c>
      <c r="FZ139" s="76">
        <v>875</v>
      </c>
      <c r="GA139" s="76">
        <v>747</v>
      </c>
      <c r="GB139" s="76">
        <v>128</v>
      </c>
      <c r="GC139" s="76">
        <v>4017</v>
      </c>
      <c r="GD139" s="76">
        <v>2841</v>
      </c>
      <c r="GE139" s="76">
        <v>1176</v>
      </c>
      <c r="GF139" s="76">
        <v>2325</v>
      </c>
      <c r="GG139" s="76">
        <v>0</v>
      </c>
      <c r="GH139" s="76">
        <v>0</v>
      </c>
      <c r="GI139" s="76">
        <v>0</v>
      </c>
      <c r="GJ139" s="76">
        <v>0</v>
      </c>
      <c r="GK139" s="76">
        <v>2930</v>
      </c>
      <c r="GL139" s="76">
        <v>5255</v>
      </c>
      <c r="GM139" s="76">
        <v>0</v>
      </c>
      <c r="GN139" s="76">
        <v>2012</v>
      </c>
      <c r="GO139" s="76">
        <v>1033</v>
      </c>
      <c r="GP139" s="76">
        <v>0</v>
      </c>
      <c r="GQ139" s="76">
        <v>0</v>
      </c>
      <c r="GR139" s="76">
        <v>5198</v>
      </c>
      <c r="GS139" s="76">
        <v>0</v>
      </c>
      <c r="GT139" s="76">
        <v>0</v>
      </c>
      <c r="GU139" s="76">
        <v>0</v>
      </c>
      <c r="GV139" s="76">
        <v>0</v>
      </c>
      <c r="GW139" s="76">
        <v>191</v>
      </c>
      <c r="GX139" s="76">
        <v>8434</v>
      </c>
      <c r="GY139" s="76">
        <v>29</v>
      </c>
      <c r="GZ139" s="76">
        <v>2141</v>
      </c>
      <c r="HA139" s="76">
        <v>0</v>
      </c>
      <c r="HB139" s="76">
        <v>155</v>
      </c>
      <c r="HC139" s="76">
        <v>2325</v>
      </c>
      <c r="HD139" s="76">
        <v>0</v>
      </c>
      <c r="HE139" s="76">
        <v>0</v>
      </c>
      <c r="HF139" s="76">
        <v>0</v>
      </c>
      <c r="HG139" s="76">
        <v>15259</v>
      </c>
      <c r="HH139" s="76">
        <v>228</v>
      </c>
      <c r="HI139" s="76">
        <v>0</v>
      </c>
      <c r="HJ139" s="76">
        <v>14</v>
      </c>
      <c r="HK139" s="76">
        <v>689</v>
      </c>
      <c r="HL139" s="76">
        <v>0</v>
      </c>
      <c r="HM139" s="76">
        <v>16190</v>
      </c>
      <c r="HN139" s="76">
        <v>7549</v>
      </c>
      <c r="HO139" s="76">
        <v>17176</v>
      </c>
      <c r="HP139" s="76">
        <v>7100</v>
      </c>
      <c r="HQ139" s="76">
        <v>86</v>
      </c>
      <c r="HR139" s="76">
        <v>-76</v>
      </c>
      <c r="HS139" s="76">
        <v>-14</v>
      </c>
      <c r="HT139" s="76">
        <v>20466</v>
      </c>
      <c r="HU139" s="76">
        <v>0</v>
      </c>
      <c r="HV139" s="76">
        <v>0</v>
      </c>
      <c r="HW139" s="76">
        <v>0</v>
      </c>
      <c r="HX139" s="76">
        <v>0</v>
      </c>
    </row>
    <row r="140" spans="1:232" x14ac:dyDescent="0.2">
      <c r="A140" s="71" t="s">
        <v>457</v>
      </c>
      <c r="B140" s="71" t="s">
        <v>458</v>
      </c>
      <c r="C140" s="72" t="s">
        <v>200</v>
      </c>
      <c r="D140" s="72">
        <v>12</v>
      </c>
      <c r="E140" s="73">
        <v>9797</v>
      </c>
      <c r="F140" s="73">
        <v>-226</v>
      </c>
      <c r="G140" s="73">
        <v>-5306</v>
      </c>
      <c r="H140" s="73">
        <v>4265</v>
      </c>
      <c r="I140" s="73">
        <v>375</v>
      </c>
      <c r="J140" s="73">
        <v>0</v>
      </c>
      <c r="K140" s="73">
        <v>0</v>
      </c>
      <c r="L140" s="73">
        <v>0</v>
      </c>
      <c r="M140" s="73">
        <v>87</v>
      </c>
      <c r="N140" s="73">
        <v>-2030</v>
      </c>
      <c r="O140" s="73">
        <v>0</v>
      </c>
      <c r="P140" s="73">
        <v>52</v>
      </c>
      <c r="Q140" s="73">
        <v>0</v>
      </c>
      <c r="R140" s="73">
        <v>0</v>
      </c>
      <c r="S140" s="73">
        <v>2749</v>
      </c>
      <c r="T140" s="73">
        <v>0</v>
      </c>
      <c r="U140" s="73">
        <v>2749</v>
      </c>
      <c r="V140" s="73">
        <v>0</v>
      </c>
      <c r="W140" s="73">
        <v>0</v>
      </c>
      <c r="X140" s="73">
        <v>0</v>
      </c>
      <c r="Y140" s="73">
        <v>0</v>
      </c>
      <c r="Z140" s="73">
        <v>2749</v>
      </c>
      <c r="AA140" s="73">
        <v>8103</v>
      </c>
      <c r="AB140" s="73">
        <v>627</v>
      </c>
      <c r="AC140" s="73">
        <v>8730</v>
      </c>
      <c r="AD140" s="73">
        <v>771</v>
      </c>
      <c r="AE140" s="73">
        <v>0</v>
      </c>
      <c r="AF140" s="73">
        <v>0</v>
      </c>
      <c r="AG140" s="73">
        <v>22</v>
      </c>
      <c r="AH140" s="73">
        <v>9523</v>
      </c>
      <c r="AI140" s="73">
        <v>932</v>
      </c>
      <c r="AJ140" s="73">
        <v>643</v>
      </c>
      <c r="AK140" s="73">
        <v>1264</v>
      </c>
      <c r="AL140" s="73">
        <v>384</v>
      </c>
      <c r="AM140" s="73">
        <v>36</v>
      </c>
      <c r="AN140" s="73">
        <v>49</v>
      </c>
      <c r="AO140" s="73">
        <v>1789</v>
      </c>
      <c r="AP140" s="73">
        <v>0</v>
      </c>
      <c r="AQ140" s="73">
        <v>18</v>
      </c>
      <c r="AR140" s="73">
        <v>5115</v>
      </c>
      <c r="AS140" s="73">
        <v>4408</v>
      </c>
      <c r="AT140" s="73">
        <v>14</v>
      </c>
      <c r="AU140" s="73">
        <v>143803</v>
      </c>
      <c r="AV140" s="73">
        <v>0</v>
      </c>
      <c r="AW140" s="73">
        <v>2289</v>
      </c>
      <c r="AX140" s="73">
        <v>0</v>
      </c>
      <c r="AY140" s="73">
        <v>0</v>
      </c>
      <c r="AZ140" s="73">
        <v>0</v>
      </c>
      <c r="BA140" s="73">
        <v>0</v>
      </c>
      <c r="BB140" s="73">
        <v>0</v>
      </c>
      <c r="BC140" s="73">
        <v>0</v>
      </c>
      <c r="BD140" s="73">
        <v>0</v>
      </c>
      <c r="BE140" s="73">
        <v>146092</v>
      </c>
      <c r="BF140" s="73">
        <v>9887</v>
      </c>
      <c r="BG140" s="73">
        <v>280</v>
      </c>
      <c r="BH140" s="73">
        <v>5079</v>
      </c>
      <c r="BI140" s="73">
        <v>763</v>
      </c>
      <c r="BJ140" s="73">
        <v>198</v>
      </c>
      <c r="BK140" s="73">
        <v>16207</v>
      </c>
      <c r="BL140" s="73">
        <v>0</v>
      </c>
      <c r="BM140" s="73">
        <v>0</v>
      </c>
      <c r="BN140" s="73">
        <v>782</v>
      </c>
      <c r="BO140" s="73">
        <v>4877</v>
      </c>
      <c r="BP140" s="73">
        <v>5659</v>
      </c>
      <c r="BQ140" s="73">
        <v>10548</v>
      </c>
      <c r="BR140" s="73">
        <v>156640</v>
      </c>
      <c r="BS140" s="73">
        <v>58474</v>
      </c>
      <c r="BT140" s="73">
        <v>0</v>
      </c>
      <c r="BU140" s="73">
        <v>0</v>
      </c>
      <c r="BV140" s="73">
        <v>68893</v>
      </c>
      <c r="BW140" s="73">
        <v>0</v>
      </c>
      <c r="BX140" s="73">
        <v>0</v>
      </c>
      <c r="BY140" s="73">
        <v>2471</v>
      </c>
      <c r="BZ140" s="73">
        <v>129838</v>
      </c>
      <c r="CA140" s="73">
        <v>415</v>
      </c>
      <c r="CB140" s="73">
        <v>50</v>
      </c>
      <c r="CC140" s="73">
        <v>26337</v>
      </c>
      <c r="CD140" s="73">
        <v>26337</v>
      </c>
      <c r="CE140" s="73">
        <v>0</v>
      </c>
      <c r="CF140" s="73">
        <v>0</v>
      </c>
      <c r="CG140" s="73">
        <v>0</v>
      </c>
      <c r="CH140" s="73">
        <v>0</v>
      </c>
      <c r="CI140" s="73">
        <v>26337</v>
      </c>
      <c r="CJ140" s="73">
        <v>260</v>
      </c>
      <c r="CK140" s="73">
        <v>226</v>
      </c>
      <c r="CL140" s="73">
        <v>0</v>
      </c>
      <c r="CM140" s="73">
        <v>34</v>
      </c>
      <c r="CN140" s="73">
        <v>0</v>
      </c>
      <c r="CO140" s="73">
        <v>0</v>
      </c>
      <c r="CP140" s="73">
        <v>0</v>
      </c>
      <c r="CQ140" s="73">
        <v>0</v>
      </c>
      <c r="CR140" s="73">
        <v>0</v>
      </c>
      <c r="CS140" s="73">
        <v>0</v>
      </c>
      <c r="CT140" s="73">
        <v>0</v>
      </c>
      <c r="CU140" s="73">
        <v>0</v>
      </c>
      <c r="CV140" s="73">
        <v>0</v>
      </c>
      <c r="CW140" s="73">
        <v>0</v>
      </c>
      <c r="CX140" s="73">
        <v>0</v>
      </c>
      <c r="CY140" s="73">
        <v>0</v>
      </c>
      <c r="CZ140" s="73">
        <v>14</v>
      </c>
      <c r="DA140" s="73">
        <v>0</v>
      </c>
      <c r="DB140" s="73">
        <v>191</v>
      </c>
      <c r="DC140" s="73">
        <v>-177</v>
      </c>
      <c r="DD140" s="73">
        <v>274</v>
      </c>
      <c r="DE140" s="73">
        <v>226</v>
      </c>
      <c r="DF140" s="73">
        <v>191</v>
      </c>
      <c r="DG140" s="73">
        <v>-143</v>
      </c>
      <c r="DH140" s="73">
        <v>0</v>
      </c>
      <c r="DI140" s="73">
        <v>0</v>
      </c>
      <c r="DJ140" s="73">
        <v>0</v>
      </c>
      <c r="DK140" s="73">
        <v>0</v>
      </c>
      <c r="DL140" s="73">
        <v>0</v>
      </c>
      <c r="DM140" s="73">
        <v>0</v>
      </c>
      <c r="DN140" s="73">
        <v>0</v>
      </c>
      <c r="DO140" s="73">
        <v>0</v>
      </c>
      <c r="DP140" s="73">
        <v>0</v>
      </c>
      <c r="DQ140" s="73">
        <v>0</v>
      </c>
      <c r="DR140" s="73">
        <v>0</v>
      </c>
      <c r="DS140" s="73">
        <v>0</v>
      </c>
      <c r="DT140" s="73">
        <v>0</v>
      </c>
      <c r="DU140" s="73">
        <v>0</v>
      </c>
      <c r="DV140" s="73">
        <v>0</v>
      </c>
      <c r="DW140" s="73">
        <v>0</v>
      </c>
      <c r="DX140" s="73">
        <v>0</v>
      </c>
      <c r="DY140" s="73">
        <v>0</v>
      </c>
      <c r="DZ140" s="73">
        <v>0</v>
      </c>
      <c r="EA140" s="73">
        <v>0</v>
      </c>
      <c r="EB140" s="73">
        <v>0</v>
      </c>
      <c r="EC140" s="73">
        <v>0</v>
      </c>
      <c r="ED140" s="73">
        <v>0</v>
      </c>
      <c r="EE140" s="73">
        <v>0</v>
      </c>
      <c r="EF140" s="73">
        <v>0</v>
      </c>
      <c r="EG140" s="73">
        <v>0</v>
      </c>
      <c r="EH140" s="73">
        <v>0</v>
      </c>
      <c r="EI140" s="73">
        <v>0</v>
      </c>
      <c r="EJ140" s="73">
        <v>274</v>
      </c>
      <c r="EK140" s="73">
        <v>226</v>
      </c>
      <c r="EL140" s="73">
        <v>191</v>
      </c>
      <c r="EM140" s="73">
        <v>-143</v>
      </c>
      <c r="EN140" s="73">
        <v>442</v>
      </c>
      <c r="EO140" s="73">
        <v>25</v>
      </c>
      <c r="EP140" s="73">
        <v>162</v>
      </c>
      <c r="EQ140" s="73">
        <v>25</v>
      </c>
      <c r="ER140" s="73">
        <v>160959</v>
      </c>
      <c r="ES140" s="73">
        <v>0</v>
      </c>
      <c r="ET140" s="73">
        <v>160959</v>
      </c>
      <c r="EU140" s="73">
        <v>961</v>
      </c>
      <c r="EV140" s="73">
        <v>-989</v>
      </c>
      <c r="EW140" s="73">
        <v>0</v>
      </c>
      <c r="EX140" s="73">
        <v>0</v>
      </c>
      <c r="EY140" s="73">
        <v>0</v>
      </c>
      <c r="EZ140" s="73">
        <v>160931</v>
      </c>
      <c r="FA140" s="73">
        <v>15762</v>
      </c>
      <c r="FB140" s="73">
        <v>1652</v>
      </c>
      <c r="FC140" s="73">
        <v>0</v>
      </c>
      <c r="FD140" s="73">
        <v>0</v>
      </c>
      <c r="FE140" s="73">
        <v>-286</v>
      </c>
      <c r="FF140" s="73">
        <v>0</v>
      </c>
      <c r="FG140" s="73">
        <v>0</v>
      </c>
      <c r="FH140" s="73">
        <v>17128</v>
      </c>
      <c r="FI140" s="73">
        <v>143803</v>
      </c>
      <c r="FJ140" s="73">
        <v>145197</v>
      </c>
      <c r="FK140" s="73">
        <v>513</v>
      </c>
      <c r="FL140" s="73">
        <v>236</v>
      </c>
      <c r="FM140" s="73">
        <v>277</v>
      </c>
      <c r="FN140" s="73">
        <v>0</v>
      </c>
      <c r="FO140" s="73">
        <v>0</v>
      </c>
      <c r="FP140" s="73">
        <v>0</v>
      </c>
      <c r="FQ140" s="73">
        <v>0</v>
      </c>
      <c r="FR140" s="73">
        <v>0</v>
      </c>
      <c r="FS140" s="73">
        <v>0</v>
      </c>
      <c r="FT140" s="73">
        <v>207</v>
      </c>
      <c r="FU140" s="73">
        <v>109</v>
      </c>
      <c r="FV140" s="73">
        <v>98</v>
      </c>
      <c r="FW140" s="73">
        <v>0</v>
      </c>
      <c r="FX140" s="73">
        <v>0</v>
      </c>
      <c r="FY140" s="73">
        <v>0</v>
      </c>
      <c r="FZ140" s="73">
        <v>0</v>
      </c>
      <c r="GA140" s="73">
        <v>0</v>
      </c>
      <c r="GB140" s="73">
        <v>0</v>
      </c>
      <c r="GC140" s="73">
        <v>720</v>
      </c>
      <c r="GD140" s="73">
        <v>345</v>
      </c>
      <c r="GE140" s="73">
        <v>375</v>
      </c>
      <c r="GF140" s="73">
        <v>0</v>
      </c>
      <c r="GG140" s="73">
        <v>0</v>
      </c>
      <c r="GH140" s="73">
        <v>0</v>
      </c>
      <c r="GI140" s="73">
        <v>0</v>
      </c>
      <c r="GJ140" s="73">
        <v>0</v>
      </c>
      <c r="GK140" s="73">
        <v>198</v>
      </c>
      <c r="GL140" s="73">
        <v>198</v>
      </c>
      <c r="GM140" s="73">
        <v>1842</v>
      </c>
      <c r="GN140" s="73">
        <v>319</v>
      </c>
      <c r="GO140" s="73">
        <v>0</v>
      </c>
      <c r="GP140" s="73">
        <v>136</v>
      </c>
      <c r="GQ140" s="73">
        <v>150</v>
      </c>
      <c r="GR140" s="73">
        <v>38</v>
      </c>
      <c r="GS140" s="73">
        <v>0</v>
      </c>
      <c r="GT140" s="73">
        <v>0</v>
      </c>
      <c r="GU140" s="73">
        <v>0</v>
      </c>
      <c r="GV140" s="73">
        <v>0</v>
      </c>
      <c r="GW140" s="73">
        <v>2392</v>
      </c>
      <c r="GX140" s="73">
        <v>4877</v>
      </c>
      <c r="GY140" s="73">
        <v>516</v>
      </c>
      <c r="GZ140" s="73">
        <v>982</v>
      </c>
      <c r="HA140" s="73">
        <v>0</v>
      </c>
      <c r="HB140" s="73">
        <v>973</v>
      </c>
      <c r="HC140" s="73">
        <v>2471</v>
      </c>
      <c r="HD140" s="73">
        <v>0</v>
      </c>
      <c r="HE140" s="73">
        <v>50</v>
      </c>
      <c r="HF140" s="73">
        <v>50</v>
      </c>
      <c r="HG140" s="73">
        <v>2280</v>
      </c>
      <c r="HH140" s="73">
        <v>35</v>
      </c>
      <c r="HI140" s="73">
        <v>20</v>
      </c>
      <c r="HJ140" s="73">
        <v>0</v>
      </c>
      <c r="HK140" s="73">
        <v>0</v>
      </c>
      <c r="HL140" s="73">
        <v>-305</v>
      </c>
      <c r="HM140" s="73">
        <v>2030</v>
      </c>
      <c r="HN140" s="73">
        <v>961</v>
      </c>
      <c r="HO140" s="73">
        <v>1789</v>
      </c>
      <c r="HP140" s="73">
        <v>0</v>
      </c>
      <c r="HQ140" s="73">
        <v>0</v>
      </c>
      <c r="HR140" s="73">
        <v>-3</v>
      </c>
      <c r="HS140" s="73">
        <v>0</v>
      </c>
      <c r="HT140" s="73">
        <v>1253</v>
      </c>
      <c r="HU140" s="73">
        <v>0</v>
      </c>
      <c r="HV140" s="73">
        <v>0</v>
      </c>
      <c r="HW140" s="73">
        <v>0</v>
      </c>
      <c r="HX140" s="73">
        <v>0</v>
      </c>
    </row>
    <row r="141" spans="1:232" x14ac:dyDescent="0.2">
      <c r="A141" s="74" t="s">
        <v>461</v>
      </c>
      <c r="B141" s="74" t="s">
        <v>460</v>
      </c>
      <c r="C141" s="75" t="s">
        <v>200</v>
      </c>
      <c r="D141" s="75">
        <v>12</v>
      </c>
      <c r="E141" s="76">
        <v>36199</v>
      </c>
      <c r="F141" s="76">
        <v>0</v>
      </c>
      <c r="G141" s="76">
        <v>-24712</v>
      </c>
      <c r="H141" s="76">
        <v>11487</v>
      </c>
      <c r="I141" s="76">
        <v>825</v>
      </c>
      <c r="J141" s="76">
        <v>477</v>
      </c>
      <c r="K141" s="76">
        <v>0</v>
      </c>
      <c r="L141" s="76">
        <v>0</v>
      </c>
      <c r="M141" s="76">
        <v>25</v>
      </c>
      <c r="N141" s="76">
        <v>-5567</v>
      </c>
      <c r="O141" s="76">
        <v>27</v>
      </c>
      <c r="P141" s="76">
        <v>0</v>
      </c>
      <c r="Q141" s="76">
        <v>0</v>
      </c>
      <c r="R141" s="76">
        <v>0</v>
      </c>
      <c r="S141" s="76">
        <v>7274</v>
      </c>
      <c r="T141" s="76">
        <v>0</v>
      </c>
      <c r="U141" s="76">
        <v>7274</v>
      </c>
      <c r="V141" s="76">
        <v>0</v>
      </c>
      <c r="W141" s="76">
        <v>0</v>
      </c>
      <c r="X141" s="76">
        <v>0</v>
      </c>
      <c r="Y141" s="76">
        <v>0</v>
      </c>
      <c r="Z141" s="76">
        <v>7274</v>
      </c>
      <c r="AA141" s="76">
        <v>30752</v>
      </c>
      <c r="AB141" s="76">
        <v>2070</v>
      </c>
      <c r="AC141" s="76">
        <v>32822</v>
      </c>
      <c r="AD141" s="76">
        <v>1287</v>
      </c>
      <c r="AE141" s="76">
        <v>0</v>
      </c>
      <c r="AF141" s="76">
        <v>0</v>
      </c>
      <c r="AG141" s="76">
        <v>71</v>
      </c>
      <c r="AH141" s="76">
        <v>34180</v>
      </c>
      <c r="AI141" s="76">
        <v>5501</v>
      </c>
      <c r="AJ141" s="76">
        <v>2842</v>
      </c>
      <c r="AK141" s="76">
        <v>3419</v>
      </c>
      <c r="AL141" s="76">
        <v>5509</v>
      </c>
      <c r="AM141" s="76">
        <v>0</v>
      </c>
      <c r="AN141" s="76">
        <v>168</v>
      </c>
      <c r="AO141" s="76">
        <v>5204</v>
      </c>
      <c r="AP141" s="76">
        <v>0</v>
      </c>
      <c r="AQ141" s="76">
        <v>638</v>
      </c>
      <c r="AR141" s="76">
        <v>23281</v>
      </c>
      <c r="AS141" s="76">
        <v>10899</v>
      </c>
      <c r="AT141" s="76">
        <v>113</v>
      </c>
      <c r="AU141" s="76">
        <v>287471</v>
      </c>
      <c r="AV141" s="76">
        <v>0</v>
      </c>
      <c r="AW141" s="76">
        <v>1915</v>
      </c>
      <c r="AX141" s="76">
        <v>882</v>
      </c>
      <c r="AY141" s="76">
        <v>306</v>
      </c>
      <c r="AZ141" s="76">
        <v>13895</v>
      </c>
      <c r="BA141" s="76">
        <v>10</v>
      </c>
      <c r="BB141" s="76">
        <v>0</v>
      </c>
      <c r="BC141" s="76">
        <v>1300</v>
      </c>
      <c r="BD141" s="76">
        <v>11</v>
      </c>
      <c r="BE141" s="76">
        <v>305790</v>
      </c>
      <c r="BF141" s="76">
        <v>0</v>
      </c>
      <c r="BG141" s="76">
        <v>3146</v>
      </c>
      <c r="BH141" s="76">
        <v>3376</v>
      </c>
      <c r="BI141" s="76">
        <v>0</v>
      </c>
      <c r="BJ141" s="76">
        <v>1542</v>
      </c>
      <c r="BK141" s="76">
        <v>8064</v>
      </c>
      <c r="BL141" s="76">
        <v>4392</v>
      </c>
      <c r="BM141" s="76">
        <v>0</v>
      </c>
      <c r="BN141" s="76">
        <v>0</v>
      </c>
      <c r="BO141" s="76">
        <v>8521</v>
      </c>
      <c r="BP141" s="76">
        <v>12913</v>
      </c>
      <c r="BQ141" s="76">
        <v>-4849</v>
      </c>
      <c r="BR141" s="76">
        <v>300941</v>
      </c>
      <c r="BS141" s="76">
        <v>125017</v>
      </c>
      <c r="BT141" s="76">
        <v>0</v>
      </c>
      <c r="BU141" s="76">
        <v>0</v>
      </c>
      <c r="BV141" s="76">
        <v>106858</v>
      </c>
      <c r="BW141" s="76">
        <v>306</v>
      </c>
      <c r="BX141" s="76">
        <v>0</v>
      </c>
      <c r="BY141" s="76">
        <v>544</v>
      </c>
      <c r="BZ141" s="76">
        <v>232725</v>
      </c>
      <c r="CA141" s="76">
        <v>4140</v>
      </c>
      <c r="CB141" s="76">
        <v>1019</v>
      </c>
      <c r="CC141" s="76">
        <v>63057</v>
      </c>
      <c r="CD141" s="76">
        <v>62591</v>
      </c>
      <c r="CE141" s="76">
        <v>0</v>
      </c>
      <c r="CF141" s="76">
        <v>466</v>
      </c>
      <c r="CG141" s="76">
        <v>0</v>
      </c>
      <c r="CH141" s="76">
        <v>0</v>
      </c>
      <c r="CI141" s="76">
        <v>63057</v>
      </c>
      <c r="CJ141" s="76">
        <v>0</v>
      </c>
      <c r="CK141" s="76">
        <v>0</v>
      </c>
      <c r="CL141" s="76">
        <v>0</v>
      </c>
      <c r="CM141" s="76">
        <v>0</v>
      </c>
      <c r="CN141" s="76">
        <v>549</v>
      </c>
      <c r="CO141" s="76">
        <v>0</v>
      </c>
      <c r="CP141" s="76">
        <v>730</v>
      </c>
      <c r="CQ141" s="76">
        <v>-181</v>
      </c>
      <c r="CR141" s="76">
        <v>0</v>
      </c>
      <c r="CS141" s="76">
        <v>0</v>
      </c>
      <c r="CT141" s="76">
        <v>0</v>
      </c>
      <c r="CU141" s="76">
        <v>0</v>
      </c>
      <c r="CV141" s="76">
        <v>141</v>
      </c>
      <c r="CW141" s="76">
        <v>0</v>
      </c>
      <c r="CX141" s="76">
        <v>273</v>
      </c>
      <c r="CY141" s="76">
        <v>-132</v>
      </c>
      <c r="CZ141" s="76">
        <v>331</v>
      </c>
      <c r="DA141" s="76">
        <v>0</v>
      </c>
      <c r="DB141" s="76">
        <v>0</v>
      </c>
      <c r="DC141" s="76">
        <v>331</v>
      </c>
      <c r="DD141" s="76">
        <v>1021</v>
      </c>
      <c r="DE141" s="76">
        <v>0</v>
      </c>
      <c r="DF141" s="76">
        <v>1003</v>
      </c>
      <c r="DG141" s="76">
        <v>18</v>
      </c>
      <c r="DH141" s="76">
        <v>0</v>
      </c>
      <c r="DI141" s="76">
        <v>0</v>
      </c>
      <c r="DJ141" s="76">
        <v>0</v>
      </c>
      <c r="DK141" s="76">
        <v>0</v>
      </c>
      <c r="DL141" s="76">
        <v>0</v>
      </c>
      <c r="DM141" s="76">
        <v>0</v>
      </c>
      <c r="DN141" s="76">
        <v>0</v>
      </c>
      <c r="DO141" s="76">
        <v>0</v>
      </c>
      <c r="DP141" s="76">
        <v>0</v>
      </c>
      <c r="DQ141" s="76">
        <v>0</v>
      </c>
      <c r="DR141" s="76">
        <v>0</v>
      </c>
      <c r="DS141" s="76">
        <v>0</v>
      </c>
      <c r="DT141" s="76">
        <v>853</v>
      </c>
      <c r="DU141" s="76">
        <v>0</v>
      </c>
      <c r="DV141" s="76">
        <v>365</v>
      </c>
      <c r="DW141" s="76">
        <v>488</v>
      </c>
      <c r="DX141" s="76">
        <v>0</v>
      </c>
      <c r="DY141" s="76">
        <v>0</v>
      </c>
      <c r="DZ141" s="76">
        <v>0</v>
      </c>
      <c r="EA141" s="76">
        <v>0</v>
      </c>
      <c r="EB141" s="76">
        <v>145</v>
      </c>
      <c r="EC141" s="76">
        <v>0</v>
      </c>
      <c r="ED141" s="76">
        <v>63</v>
      </c>
      <c r="EE141" s="76">
        <v>82</v>
      </c>
      <c r="EF141" s="76">
        <v>998</v>
      </c>
      <c r="EG141" s="76">
        <v>0</v>
      </c>
      <c r="EH141" s="76">
        <v>428</v>
      </c>
      <c r="EI141" s="76">
        <v>570</v>
      </c>
      <c r="EJ141" s="76">
        <v>2019</v>
      </c>
      <c r="EK141" s="76">
        <v>0</v>
      </c>
      <c r="EL141" s="76">
        <v>1431</v>
      </c>
      <c r="EM141" s="76">
        <v>588</v>
      </c>
      <c r="EN141" s="76">
        <v>1371</v>
      </c>
      <c r="EO141" s="76">
        <v>234</v>
      </c>
      <c r="EP141" s="76">
        <v>65</v>
      </c>
      <c r="EQ141" s="76">
        <v>233</v>
      </c>
      <c r="ER141" s="76">
        <v>340528</v>
      </c>
      <c r="ES141" s="76">
        <v>0</v>
      </c>
      <c r="ET141" s="76">
        <v>340528</v>
      </c>
      <c r="EU141" s="76">
        <v>5180</v>
      </c>
      <c r="EV141" s="76">
        <v>-2922</v>
      </c>
      <c r="EW141" s="76">
        <v>0</v>
      </c>
      <c r="EX141" s="76">
        <v>0</v>
      </c>
      <c r="EY141" s="76">
        <v>0</v>
      </c>
      <c r="EZ141" s="76">
        <v>342786</v>
      </c>
      <c r="FA141" s="76">
        <v>51794</v>
      </c>
      <c r="FB141" s="76">
        <v>4681</v>
      </c>
      <c r="FC141" s="76">
        <v>0</v>
      </c>
      <c r="FD141" s="76">
        <v>0</v>
      </c>
      <c r="FE141" s="76">
        <v>-1160</v>
      </c>
      <c r="FF141" s="76">
        <v>0</v>
      </c>
      <c r="FG141" s="76">
        <v>0</v>
      </c>
      <c r="FH141" s="76">
        <v>55315</v>
      </c>
      <c r="FI141" s="76">
        <v>287471</v>
      </c>
      <c r="FJ141" s="76">
        <v>288734</v>
      </c>
      <c r="FK141" s="76">
        <v>1062</v>
      </c>
      <c r="FL141" s="76">
        <v>764</v>
      </c>
      <c r="FM141" s="76">
        <v>298</v>
      </c>
      <c r="FN141" s="76">
        <v>405</v>
      </c>
      <c r="FO141" s="76">
        <v>240</v>
      </c>
      <c r="FP141" s="76">
        <v>165</v>
      </c>
      <c r="FQ141" s="76">
        <v>629</v>
      </c>
      <c r="FR141" s="76">
        <v>268</v>
      </c>
      <c r="FS141" s="76">
        <v>361</v>
      </c>
      <c r="FT141" s="76">
        <v>0</v>
      </c>
      <c r="FU141" s="76">
        <v>0</v>
      </c>
      <c r="FV141" s="76">
        <v>0</v>
      </c>
      <c r="FW141" s="76">
        <v>0</v>
      </c>
      <c r="FX141" s="76">
        <v>0</v>
      </c>
      <c r="FY141" s="76">
        <v>0</v>
      </c>
      <c r="FZ141" s="76">
        <v>1</v>
      </c>
      <c r="GA141" s="76">
        <v>0</v>
      </c>
      <c r="GB141" s="76">
        <v>1</v>
      </c>
      <c r="GC141" s="76">
        <v>2097</v>
      </c>
      <c r="GD141" s="76">
        <v>1272</v>
      </c>
      <c r="GE141" s="76">
        <v>825</v>
      </c>
      <c r="GF141" s="76">
        <v>523</v>
      </c>
      <c r="GG141" s="76">
        <v>0</v>
      </c>
      <c r="GH141" s="76">
        <v>0</v>
      </c>
      <c r="GI141" s="76">
        <v>1019</v>
      </c>
      <c r="GJ141" s="76">
        <v>0</v>
      </c>
      <c r="GK141" s="76">
        <v>0</v>
      </c>
      <c r="GL141" s="76">
        <v>1542</v>
      </c>
      <c r="GM141" s="76">
        <v>369</v>
      </c>
      <c r="GN141" s="76">
        <v>723</v>
      </c>
      <c r="GO141" s="76">
        <v>758</v>
      </c>
      <c r="GP141" s="76">
        <v>0</v>
      </c>
      <c r="GQ141" s="76">
        <v>20</v>
      </c>
      <c r="GR141" s="76">
        <v>1528</v>
      </c>
      <c r="GS141" s="76">
        <v>0</v>
      </c>
      <c r="GT141" s="76">
        <v>0</v>
      </c>
      <c r="GU141" s="76">
        <v>606</v>
      </c>
      <c r="GV141" s="76">
        <v>0</v>
      </c>
      <c r="GW141" s="76">
        <v>4517</v>
      </c>
      <c r="GX141" s="76">
        <v>8521</v>
      </c>
      <c r="GY141" s="76">
        <v>463</v>
      </c>
      <c r="GZ141" s="76">
        <v>81</v>
      </c>
      <c r="HA141" s="76">
        <v>0</v>
      </c>
      <c r="HB141" s="76">
        <v>0</v>
      </c>
      <c r="HC141" s="76">
        <v>544</v>
      </c>
      <c r="HD141" s="76">
        <v>1019</v>
      </c>
      <c r="HE141" s="76">
        <v>0</v>
      </c>
      <c r="HF141" s="76">
        <v>1019</v>
      </c>
      <c r="HG141" s="76">
        <v>5458</v>
      </c>
      <c r="HH141" s="76">
        <v>109</v>
      </c>
      <c r="HI141" s="76">
        <v>0</v>
      </c>
      <c r="HJ141" s="76">
        <v>0</v>
      </c>
      <c r="HK141" s="76">
        <v>0</v>
      </c>
      <c r="HL141" s="76">
        <v>0</v>
      </c>
      <c r="HM141" s="76">
        <v>5567</v>
      </c>
      <c r="HN141" s="76">
        <v>5435</v>
      </c>
      <c r="HO141" s="76">
        <v>5816</v>
      </c>
      <c r="HP141" s="76">
        <v>0</v>
      </c>
      <c r="HQ141" s="76">
        <v>5</v>
      </c>
      <c r="HR141" s="76">
        <v>-36</v>
      </c>
      <c r="HS141" s="76">
        <v>10</v>
      </c>
      <c r="HT141" s="76">
        <v>7534</v>
      </c>
      <c r="HU141" s="76">
        <v>0</v>
      </c>
      <c r="HV141" s="76">
        <v>0</v>
      </c>
      <c r="HW141" s="76">
        <v>9</v>
      </c>
      <c r="HX141" s="76">
        <v>162</v>
      </c>
    </row>
    <row r="142" spans="1:232" x14ac:dyDescent="0.2">
      <c r="A142" s="74" t="s">
        <v>464</v>
      </c>
      <c r="B142" s="74" t="s">
        <v>463</v>
      </c>
      <c r="C142" s="75" t="s">
        <v>200</v>
      </c>
      <c r="D142" s="75">
        <v>12</v>
      </c>
      <c r="E142" s="76">
        <v>20009</v>
      </c>
      <c r="F142" s="76">
        <v>-949</v>
      </c>
      <c r="G142" s="76">
        <v>-12902</v>
      </c>
      <c r="H142" s="76">
        <v>6158</v>
      </c>
      <c r="I142" s="76">
        <v>2490</v>
      </c>
      <c r="J142" s="76">
        <v>0</v>
      </c>
      <c r="K142" s="76">
        <v>0</v>
      </c>
      <c r="L142" s="76">
        <v>0</v>
      </c>
      <c r="M142" s="76">
        <v>87</v>
      </c>
      <c r="N142" s="76">
        <v>-3777</v>
      </c>
      <c r="O142" s="76">
        <v>1911</v>
      </c>
      <c r="P142" s="76">
        <v>0</v>
      </c>
      <c r="Q142" s="76">
        <v>0</v>
      </c>
      <c r="R142" s="76">
        <v>0</v>
      </c>
      <c r="S142" s="76">
        <v>6869</v>
      </c>
      <c r="T142" s="76">
        <v>0</v>
      </c>
      <c r="U142" s="76">
        <v>6869</v>
      </c>
      <c r="V142" s="76">
        <v>0</v>
      </c>
      <c r="W142" s="76">
        <v>0</v>
      </c>
      <c r="X142" s="76">
        <v>0</v>
      </c>
      <c r="Y142" s="76">
        <v>0</v>
      </c>
      <c r="Z142" s="76">
        <v>6869</v>
      </c>
      <c r="AA142" s="76">
        <v>12600</v>
      </c>
      <c r="AB142" s="76">
        <v>1719</v>
      </c>
      <c r="AC142" s="76">
        <v>14319</v>
      </c>
      <c r="AD142" s="76">
        <v>1333</v>
      </c>
      <c r="AE142" s="76">
        <v>0</v>
      </c>
      <c r="AF142" s="76">
        <v>0</v>
      </c>
      <c r="AG142" s="76">
        <v>0</v>
      </c>
      <c r="AH142" s="76">
        <v>15652</v>
      </c>
      <c r="AI142" s="76">
        <v>1553</v>
      </c>
      <c r="AJ142" s="76">
        <v>2369</v>
      </c>
      <c r="AK142" s="76">
        <v>3801</v>
      </c>
      <c r="AL142" s="76">
        <v>578</v>
      </c>
      <c r="AM142" s="76">
        <v>20</v>
      </c>
      <c r="AN142" s="76">
        <v>-64</v>
      </c>
      <c r="AO142" s="76">
        <v>3164</v>
      </c>
      <c r="AP142" s="76">
        <v>0</v>
      </c>
      <c r="AQ142" s="76">
        <v>0</v>
      </c>
      <c r="AR142" s="76">
        <v>11421</v>
      </c>
      <c r="AS142" s="76">
        <v>4231</v>
      </c>
      <c r="AT142" s="76">
        <v>101</v>
      </c>
      <c r="AU142" s="76">
        <v>246287</v>
      </c>
      <c r="AV142" s="76">
        <v>0</v>
      </c>
      <c r="AW142" s="76">
        <v>994</v>
      </c>
      <c r="AX142" s="76">
        <v>235</v>
      </c>
      <c r="AY142" s="76">
        <v>0</v>
      </c>
      <c r="AZ142" s="76">
        <v>18244</v>
      </c>
      <c r="BA142" s="76">
        <v>0</v>
      </c>
      <c r="BB142" s="76">
        <v>0</v>
      </c>
      <c r="BC142" s="76">
        <v>0</v>
      </c>
      <c r="BD142" s="76">
        <v>0</v>
      </c>
      <c r="BE142" s="76">
        <v>265760</v>
      </c>
      <c r="BF142" s="76">
        <v>1177</v>
      </c>
      <c r="BG142" s="76">
        <v>1449</v>
      </c>
      <c r="BH142" s="76">
        <v>10923</v>
      </c>
      <c r="BI142" s="76">
        <v>0</v>
      </c>
      <c r="BJ142" s="76">
        <v>425</v>
      </c>
      <c r="BK142" s="76">
        <v>13974</v>
      </c>
      <c r="BL142" s="76">
        <v>2359</v>
      </c>
      <c r="BM142" s="76">
        <v>0</v>
      </c>
      <c r="BN142" s="76">
        <v>1328</v>
      </c>
      <c r="BO142" s="76">
        <v>7621</v>
      </c>
      <c r="BP142" s="76">
        <v>11308</v>
      </c>
      <c r="BQ142" s="76">
        <v>2666</v>
      </c>
      <c r="BR142" s="76">
        <v>268426</v>
      </c>
      <c r="BS142" s="76">
        <v>83568</v>
      </c>
      <c r="BT142" s="76">
        <v>0</v>
      </c>
      <c r="BU142" s="76">
        <v>0</v>
      </c>
      <c r="BV142" s="76">
        <v>118288</v>
      </c>
      <c r="BW142" s="76">
        <v>0</v>
      </c>
      <c r="BX142" s="76">
        <v>0</v>
      </c>
      <c r="BY142" s="76">
        <v>1372</v>
      </c>
      <c r="BZ142" s="76">
        <v>203228</v>
      </c>
      <c r="CA142" s="76">
        <v>1631</v>
      </c>
      <c r="CB142" s="76">
        <v>760</v>
      </c>
      <c r="CC142" s="76">
        <v>62807</v>
      </c>
      <c r="CD142" s="76">
        <v>62807</v>
      </c>
      <c r="CE142" s="76">
        <v>0</v>
      </c>
      <c r="CF142" s="76">
        <v>0</v>
      </c>
      <c r="CG142" s="76">
        <v>0</v>
      </c>
      <c r="CH142" s="76">
        <v>0</v>
      </c>
      <c r="CI142" s="76">
        <v>62807</v>
      </c>
      <c r="CJ142" s="76">
        <v>1602</v>
      </c>
      <c r="CK142" s="76">
        <v>949</v>
      </c>
      <c r="CL142" s="76">
        <v>0</v>
      </c>
      <c r="CM142" s="76">
        <v>653</v>
      </c>
      <c r="CN142" s="76">
        <v>0</v>
      </c>
      <c r="CO142" s="76">
        <v>0</v>
      </c>
      <c r="CP142" s="76">
        <v>0</v>
      </c>
      <c r="CQ142" s="76">
        <v>0</v>
      </c>
      <c r="CR142" s="76">
        <v>70</v>
      </c>
      <c r="CS142" s="76">
        <v>0</v>
      </c>
      <c r="CT142" s="76">
        <v>129</v>
      </c>
      <c r="CU142" s="76">
        <v>-59</v>
      </c>
      <c r="CV142" s="76">
        <v>0</v>
      </c>
      <c r="CW142" s="76">
        <v>0</v>
      </c>
      <c r="CX142" s="76">
        <v>0</v>
      </c>
      <c r="CY142" s="76">
        <v>0</v>
      </c>
      <c r="CZ142" s="76">
        <v>1511</v>
      </c>
      <c r="DA142" s="76">
        <v>0</v>
      </c>
      <c r="DB142" s="76">
        <v>712</v>
      </c>
      <c r="DC142" s="76">
        <v>799</v>
      </c>
      <c r="DD142" s="76">
        <v>3183</v>
      </c>
      <c r="DE142" s="76">
        <v>949</v>
      </c>
      <c r="DF142" s="76">
        <v>841</v>
      </c>
      <c r="DG142" s="76">
        <v>1393</v>
      </c>
      <c r="DH142" s="76">
        <v>0</v>
      </c>
      <c r="DI142" s="76">
        <v>0</v>
      </c>
      <c r="DJ142" s="76">
        <v>0</v>
      </c>
      <c r="DK142" s="76">
        <v>0</v>
      </c>
      <c r="DL142" s="76">
        <v>0</v>
      </c>
      <c r="DM142" s="76">
        <v>0</v>
      </c>
      <c r="DN142" s="76">
        <v>0</v>
      </c>
      <c r="DO142" s="76">
        <v>0</v>
      </c>
      <c r="DP142" s="76">
        <v>0</v>
      </c>
      <c r="DQ142" s="76">
        <v>0</v>
      </c>
      <c r="DR142" s="76">
        <v>0</v>
      </c>
      <c r="DS142" s="76">
        <v>0</v>
      </c>
      <c r="DT142" s="76">
        <v>352</v>
      </c>
      <c r="DU142" s="76">
        <v>0</v>
      </c>
      <c r="DV142" s="76">
        <v>146</v>
      </c>
      <c r="DW142" s="76">
        <v>206</v>
      </c>
      <c r="DX142" s="76">
        <v>0</v>
      </c>
      <c r="DY142" s="76">
        <v>0</v>
      </c>
      <c r="DZ142" s="76">
        <v>0</v>
      </c>
      <c r="EA142" s="76">
        <v>0</v>
      </c>
      <c r="EB142" s="76">
        <v>822</v>
      </c>
      <c r="EC142" s="76">
        <v>0</v>
      </c>
      <c r="ED142" s="76">
        <v>494</v>
      </c>
      <c r="EE142" s="76">
        <v>328</v>
      </c>
      <c r="EF142" s="76">
        <v>1174</v>
      </c>
      <c r="EG142" s="76">
        <v>0</v>
      </c>
      <c r="EH142" s="76">
        <v>640</v>
      </c>
      <c r="EI142" s="76">
        <v>534</v>
      </c>
      <c r="EJ142" s="76">
        <v>4357</v>
      </c>
      <c r="EK142" s="76">
        <v>949</v>
      </c>
      <c r="EL142" s="76">
        <v>1481</v>
      </c>
      <c r="EM142" s="76">
        <v>1927</v>
      </c>
      <c r="EN142" s="76">
        <v>497</v>
      </c>
      <c r="EO142" s="76">
        <v>105</v>
      </c>
      <c r="EP142" s="76">
        <v>310</v>
      </c>
      <c r="EQ142" s="76">
        <v>105</v>
      </c>
      <c r="ER142" s="76">
        <v>261823</v>
      </c>
      <c r="ES142" s="76">
        <v>0</v>
      </c>
      <c r="ET142" s="76">
        <v>261823</v>
      </c>
      <c r="EU142" s="76">
        <v>19059</v>
      </c>
      <c r="EV142" s="76">
        <v>-3826</v>
      </c>
      <c r="EW142" s="76">
        <v>0</v>
      </c>
      <c r="EX142" s="76">
        <v>0</v>
      </c>
      <c r="EY142" s="76">
        <v>0</v>
      </c>
      <c r="EZ142" s="76">
        <v>277056</v>
      </c>
      <c r="FA142" s="76">
        <v>27813</v>
      </c>
      <c r="FB142" s="76">
        <v>3164</v>
      </c>
      <c r="FC142" s="76">
        <v>0</v>
      </c>
      <c r="FD142" s="76">
        <v>0</v>
      </c>
      <c r="FE142" s="76">
        <v>-208</v>
      </c>
      <c r="FF142" s="76">
        <v>0</v>
      </c>
      <c r="FG142" s="76">
        <v>0</v>
      </c>
      <c r="FH142" s="76">
        <v>30769</v>
      </c>
      <c r="FI142" s="76">
        <v>246287</v>
      </c>
      <c r="FJ142" s="76">
        <v>234010</v>
      </c>
      <c r="FK142" s="76">
        <v>3466</v>
      </c>
      <c r="FL142" s="76">
        <v>1630</v>
      </c>
      <c r="FM142" s="76">
        <v>1836</v>
      </c>
      <c r="FN142" s="76">
        <v>0</v>
      </c>
      <c r="FO142" s="76">
        <v>0</v>
      </c>
      <c r="FP142" s="76">
        <v>0</v>
      </c>
      <c r="FQ142" s="76">
        <v>0</v>
      </c>
      <c r="FR142" s="76">
        <v>0</v>
      </c>
      <c r="FS142" s="76">
        <v>0</v>
      </c>
      <c r="FT142" s="76">
        <v>0</v>
      </c>
      <c r="FU142" s="76">
        <v>0</v>
      </c>
      <c r="FV142" s="76">
        <v>0</v>
      </c>
      <c r="FW142" s="76">
        <v>927</v>
      </c>
      <c r="FX142" s="76">
        <v>927</v>
      </c>
      <c r="FY142" s="76">
        <v>0</v>
      </c>
      <c r="FZ142" s="76">
        <v>700</v>
      </c>
      <c r="GA142" s="76">
        <v>46</v>
      </c>
      <c r="GB142" s="76">
        <v>654</v>
      </c>
      <c r="GC142" s="76">
        <v>5093</v>
      </c>
      <c r="GD142" s="76">
        <v>2603</v>
      </c>
      <c r="GE142" s="76">
        <v>2490</v>
      </c>
      <c r="GF142" s="76">
        <v>142</v>
      </c>
      <c r="GG142" s="76">
        <v>0</v>
      </c>
      <c r="GH142" s="76">
        <v>283</v>
      </c>
      <c r="GI142" s="76">
        <v>0</v>
      </c>
      <c r="GJ142" s="76">
        <v>0</v>
      </c>
      <c r="GK142" s="76">
        <v>0</v>
      </c>
      <c r="GL142" s="76">
        <v>425</v>
      </c>
      <c r="GM142" s="76">
        <v>856</v>
      </c>
      <c r="GN142" s="76">
        <v>243</v>
      </c>
      <c r="GO142" s="76">
        <v>841</v>
      </c>
      <c r="GP142" s="76">
        <v>982</v>
      </c>
      <c r="GQ142" s="76">
        <v>0</v>
      </c>
      <c r="GR142" s="76">
        <v>3157</v>
      </c>
      <c r="GS142" s="76">
        <v>1</v>
      </c>
      <c r="GT142" s="76">
        <v>0</v>
      </c>
      <c r="GU142" s="76">
        <v>0</v>
      </c>
      <c r="GV142" s="76">
        <v>0</v>
      </c>
      <c r="GW142" s="76">
        <v>1541</v>
      </c>
      <c r="GX142" s="76">
        <v>7621</v>
      </c>
      <c r="GY142" s="76">
        <v>1370</v>
      </c>
      <c r="GZ142" s="76">
        <v>0</v>
      </c>
      <c r="HA142" s="76">
        <v>0</v>
      </c>
      <c r="HB142" s="76">
        <v>2</v>
      </c>
      <c r="HC142" s="76">
        <v>1372</v>
      </c>
      <c r="HD142" s="76">
        <v>100</v>
      </c>
      <c r="HE142" s="76">
        <v>660</v>
      </c>
      <c r="HF142" s="76">
        <v>760</v>
      </c>
      <c r="HG142" s="76">
        <v>4045</v>
      </c>
      <c r="HH142" s="76">
        <v>0</v>
      </c>
      <c r="HI142" s="76">
        <v>34</v>
      </c>
      <c r="HJ142" s="76">
        <v>0</v>
      </c>
      <c r="HK142" s="76">
        <v>0</v>
      </c>
      <c r="HL142" s="76">
        <v>-302</v>
      </c>
      <c r="HM142" s="76">
        <v>3777</v>
      </c>
      <c r="HN142" s="76">
        <v>974</v>
      </c>
      <c r="HO142" s="76">
        <v>3164</v>
      </c>
      <c r="HP142" s="76">
        <v>0</v>
      </c>
      <c r="HQ142" s="76">
        <v>62</v>
      </c>
      <c r="HR142" s="76">
        <v>-19</v>
      </c>
      <c r="HS142" s="76">
        <v>36</v>
      </c>
      <c r="HT142" s="76">
        <v>2122</v>
      </c>
      <c r="HU142" s="76">
        <v>0</v>
      </c>
      <c r="HV142" s="76">
        <v>0</v>
      </c>
      <c r="HW142" s="76">
        <v>0</v>
      </c>
      <c r="HX142" s="76">
        <v>18</v>
      </c>
    </row>
    <row r="143" spans="1:232" x14ac:dyDescent="0.2">
      <c r="A143" s="74" t="s">
        <v>465</v>
      </c>
      <c r="B143" s="74" t="s">
        <v>466</v>
      </c>
      <c r="C143" s="75" t="s">
        <v>200</v>
      </c>
      <c r="D143" s="75">
        <v>12</v>
      </c>
      <c r="E143" s="76">
        <v>64653</v>
      </c>
      <c r="F143" s="76">
        <v>-5056</v>
      </c>
      <c r="G143" s="76">
        <v>-43245</v>
      </c>
      <c r="H143" s="76">
        <v>16352</v>
      </c>
      <c r="I143" s="76">
        <v>1477</v>
      </c>
      <c r="J143" s="76">
        <v>10</v>
      </c>
      <c r="K143" s="76">
        <v>-198</v>
      </c>
      <c r="L143" s="76">
        <v>0</v>
      </c>
      <c r="M143" s="76">
        <v>53</v>
      </c>
      <c r="N143" s="76">
        <v>-7042</v>
      </c>
      <c r="O143" s="76">
        <v>0</v>
      </c>
      <c r="P143" s="76">
        <v>0</v>
      </c>
      <c r="Q143" s="76">
        <v>0</v>
      </c>
      <c r="R143" s="76">
        <v>0</v>
      </c>
      <c r="S143" s="76">
        <v>10652</v>
      </c>
      <c r="T143" s="76">
        <v>0</v>
      </c>
      <c r="U143" s="76">
        <v>10652</v>
      </c>
      <c r="V143" s="76">
        <v>0</v>
      </c>
      <c r="W143" s="76">
        <v>480</v>
      </c>
      <c r="X143" s="76">
        <v>0</v>
      </c>
      <c r="Y143" s="76">
        <v>0</v>
      </c>
      <c r="Z143" s="76">
        <v>11132</v>
      </c>
      <c r="AA143" s="76">
        <v>48568</v>
      </c>
      <c r="AB143" s="76">
        <v>3652</v>
      </c>
      <c r="AC143" s="76">
        <v>52220</v>
      </c>
      <c r="AD143" s="76">
        <v>2630</v>
      </c>
      <c r="AE143" s="76">
        <v>0</v>
      </c>
      <c r="AF143" s="76">
        <v>0</v>
      </c>
      <c r="AG143" s="76">
        <v>148</v>
      </c>
      <c r="AH143" s="76">
        <v>54998</v>
      </c>
      <c r="AI143" s="76">
        <v>6657</v>
      </c>
      <c r="AJ143" s="76">
        <v>5074</v>
      </c>
      <c r="AK143" s="76">
        <v>11242</v>
      </c>
      <c r="AL143" s="76">
        <v>5861</v>
      </c>
      <c r="AM143" s="76">
        <v>0</v>
      </c>
      <c r="AN143" s="76">
        <v>303</v>
      </c>
      <c r="AO143" s="76">
        <v>9420</v>
      </c>
      <c r="AP143" s="76">
        <v>348</v>
      </c>
      <c r="AQ143" s="76">
        <v>0</v>
      </c>
      <c r="AR143" s="76">
        <v>38905</v>
      </c>
      <c r="AS143" s="76">
        <v>16093</v>
      </c>
      <c r="AT143" s="76">
        <v>537</v>
      </c>
      <c r="AU143" s="76">
        <v>416162</v>
      </c>
      <c r="AV143" s="76">
        <v>0</v>
      </c>
      <c r="AW143" s="76">
        <v>6216</v>
      </c>
      <c r="AX143" s="76">
        <v>0</v>
      </c>
      <c r="AY143" s="76">
        <v>291</v>
      </c>
      <c r="AZ143" s="76">
        <v>0</v>
      </c>
      <c r="BA143" s="76">
        <v>0</v>
      </c>
      <c r="BB143" s="76">
        <v>0</v>
      </c>
      <c r="BC143" s="76">
        <v>0</v>
      </c>
      <c r="BD143" s="76">
        <v>0</v>
      </c>
      <c r="BE143" s="76">
        <v>422669</v>
      </c>
      <c r="BF143" s="76">
        <v>1485</v>
      </c>
      <c r="BG143" s="76">
        <v>5685</v>
      </c>
      <c r="BH143" s="76">
        <v>2862</v>
      </c>
      <c r="BI143" s="76">
        <v>40689</v>
      </c>
      <c r="BJ143" s="76">
        <v>166</v>
      </c>
      <c r="BK143" s="76">
        <v>50887</v>
      </c>
      <c r="BL143" s="76">
        <v>1482</v>
      </c>
      <c r="BM143" s="76">
        <v>0</v>
      </c>
      <c r="BN143" s="76">
        <v>2629</v>
      </c>
      <c r="BO143" s="76">
        <v>12152</v>
      </c>
      <c r="BP143" s="76">
        <v>16263</v>
      </c>
      <c r="BQ143" s="76">
        <v>34624</v>
      </c>
      <c r="BR143" s="76">
        <v>457293</v>
      </c>
      <c r="BS143" s="76">
        <v>177597</v>
      </c>
      <c r="BT143" s="76">
        <v>0</v>
      </c>
      <c r="BU143" s="76">
        <v>0</v>
      </c>
      <c r="BV143" s="76">
        <v>186249</v>
      </c>
      <c r="BW143" s="76">
        <v>291</v>
      </c>
      <c r="BX143" s="76">
        <v>0</v>
      </c>
      <c r="BY143" s="76">
        <v>7126</v>
      </c>
      <c r="BZ143" s="76">
        <v>371263</v>
      </c>
      <c r="CA143" s="76">
        <v>1810</v>
      </c>
      <c r="CB143" s="76">
        <v>84</v>
      </c>
      <c r="CC143" s="76">
        <v>84136</v>
      </c>
      <c r="CD143" s="76">
        <v>84136</v>
      </c>
      <c r="CE143" s="76">
        <v>0</v>
      </c>
      <c r="CF143" s="76">
        <v>0</v>
      </c>
      <c r="CG143" s="76">
        <v>0</v>
      </c>
      <c r="CH143" s="76">
        <v>0</v>
      </c>
      <c r="CI143" s="76">
        <v>84136</v>
      </c>
      <c r="CJ143" s="76">
        <v>1877</v>
      </c>
      <c r="CK143" s="76">
        <v>1688</v>
      </c>
      <c r="CL143" s="76">
        <v>0</v>
      </c>
      <c r="CM143" s="76">
        <v>189</v>
      </c>
      <c r="CN143" s="76">
        <v>1363</v>
      </c>
      <c r="CO143" s="76">
        <v>0</v>
      </c>
      <c r="CP143" s="76">
        <v>1963</v>
      </c>
      <c r="CQ143" s="76">
        <v>-600</v>
      </c>
      <c r="CR143" s="76">
        <v>160</v>
      </c>
      <c r="CS143" s="76">
        <v>0</v>
      </c>
      <c r="CT143" s="76">
        <v>326</v>
      </c>
      <c r="CU143" s="76">
        <v>-166</v>
      </c>
      <c r="CV143" s="76">
        <v>0</v>
      </c>
      <c r="CW143" s="76">
        <v>0</v>
      </c>
      <c r="CX143" s="76">
        <v>298</v>
      </c>
      <c r="CY143" s="76">
        <v>-298</v>
      </c>
      <c r="CZ143" s="76">
        <v>2448</v>
      </c>
      <c r="DA143" s="76">
        <v>0</v>
      </c>
      <c r="DB143" s="76">
        <v>1171</v>
      </c>
      <c r="DC143" s="76">
        <v>1277</v>
      </c>
      <c r="DD143" s="76">
        <v>5848</v>
      </c>
      <c r="DE143" s="76">
        <v>1688</v>
      </c>
      <c r="DF143" s="76">
        <v>3758</v>
      </c>
      <c r="DG143" s="76">
        <v>402</v>
      </c>
      <c r="DH143" s="76">
        <v>0</v>
      </c>
      <c r="DI143" s="76">
        <v>0</v>
      </c>
      <c r="DJ143" s="76">
        <v>0</v>
      </c>
      <c r="DK143" s="76">
        <v>0</v>
      </c>
      <c r="DL143" s="76">
        <v>0</v>
      </c>
      <c r="DM143" s="76">
        <v>0</v>
      </c>
      <c r="DN143" s="76">
        <v>0</v>
      </c>
      <c r="DO143" s="76">
        <v>0</v>
      </c>
      <c r="DP143" s="76">
        <v>0</v>
      </c>
      <c r="DQ143" s="76">
        <v>0</v>
      </c>
      <c r="DR143" s="76">
        <v>0</v>
      </c>
      <c r="DS143" s="76">
        <v>0</v>
      </c>
      <c r="DT143" s="76">
        <v>0</v>
      </c>
      <c r="DU143" s="76">
        <v>0</v>
      </c>
      <c r="DV143" s="76">
        <v>0</v>
      </c>
      <c r="DW143" s="76">
        <v>0</v>
      </c>
      <c r="DX143" s="76">
        <v>0</v>
      </c>
      <c r="DY143" s="76">
        <v>0</v>
      </c>
      <c r="DZ143" s="76">
        <v>0</v>
      </c>
      <c r="EA143" s="76">
        <v>0</v>
      </c>
      <c r="EB143" s="76">
        <v>3807</v>
      </c>
      <c r="EC143" s="76">
        <v>3368</v>
      </c>
      <c r="ED143" s="76">
        <v>582</v>
      </c>
      <c r="EE143" s="76">
        <v>-143</v>
      </c>
      <c r="EF143" s="76">
        <v>3807</v>
      </c>
      <c r="EG143" s="76">
        <v>3368</v>
      </c>
      <c r="EH143" s="76">
        <v>582</v>
      </c>
      <c r="EI143" s="76">
        <v>-143</v>
      </c>
      <c r="EJ143" s="76">
        <v>9655</v>
      </c>
      <c r="EK143" s="76">
        <v>5056</v>
      </c>
      <c r="EL143" s="76">
        <v>4340</v>
      </c>
      <c r="EM143" s="76">
        <v>259</v>
      </c>
      <c r="EN143" s="76">
        <v>2258</v>
      </c>
      <c r="EO143" s="76">
        <v>438</v>
      </c>
      <c r="EP143" s="76">
        <v>638</v>
      </c>
      <c r="EQ143" s="76">
        <v>438</v>
      </c>
      <c r="ER143" s="76">
        <v>497198</v>
      </c>
      <c r="ES143" s="76">
        <v>0</v>
      </c>
      <c r="ET143" s="76">
        <v>497198</v>
      </c>
      <c r="EU143" s="76">
        <v>25730</v>
      </c>
      <c r="EV143" s="76">
        <v>-3480</v>
      </c>
      <c r="EW143" s="76">
        <v>0</v>
      </c>
      <c r="EX143" s="76">
        <v>0</v>
      </c>
      <c r="EY143" s="76">
        <v>-2468</v>
      </c>
      <c r="EZ143" s="76">
        <v>516980</v>
      </c>
      <c r="FA143" s="76">
        <v>94637</v>
      </c>
      <c r="FB143" s="76">
        <v>8958</v>
      </c>
      <c r="FC143" s="76">
        <v>348</v>
      </c>
      <c r="FD143" s="76">
        <v>0</v>
      </c>
      <c r="FE143" s="76">
        <v>-1390</v>
      </c>
      <c r="FF143" s="76">
        <v>0</v>
      </c>
      <c r="FG143" s="76">
        <v>-1735</v>
      </c>
      <c r="FH143" s="76">
        <v>100818</v>
      </c>
      <c r="FI143" s="76">
        <v>416162</v>
      </c>
      <c r="FJ143" s="76">
        <v>402561</v>
      </c>
      <c r="FK143" s="76">
        <v>557</v>
      </c>
      <c r="FL143" s="76">
        <v>487</v>
      </c>
      <c r="FM143" s="76">
        <v>70</v>
      </c>
      <c r="FN143" s="76">
        <v>640</v>
      </c>
      <c r="FO143" s="76">
        <v>427</v>
      </c>
      <c r="FP143" s="76">
        <v>213</v>
      </c>
      <c r="FQ143" s="76">
        <v>555</v>
      </c>
      <c r="FR143" s="76">
        <v>511</v>
      </c>
      <c r="FS143" s="76">
        <v>44</v>
      </c>
      <c r="FT143" s="76">
        <v>1496</v>
      </c>
      <c r="FU143" s="76">
        <v>725</v>
      </c>
      <c r="FV143" s="76">
        <v>771</v>
      </c>
      <c r="FW143" s="76">
        <v>630</v>
      </c>
      <c r="FX143" s="76">
        <v>239</v>
      </c>
      <c r="FY143" s="76">
        <v>391</v>
      </c>
      <c r="FZ143" s="76">
        <v>0</v>
      </c>
      <c r="GA143" s="76">
        <v>12</v>
      </c>
      <c r="GB143" s="76">
        <v>-12</v>
      </c>
      <c r="GC143" s="76">
        <v>3878</v>
      </c>
      <c r="GD143" s="76">
        <v>2401</v>
      </c>
      <c r="GE143" s="76">
        <v>1477</v>
      </c>
      <c r="GF143" s="76">
        <v>0</v>
      </c>
      <c r="GG143" s="76">
        <v>0</v>
      </c>
      <c r="GH143" s="76">
        <v>0</v>
      </c>
      <c r="GI143" s="76">
        <v>0</v>
      </c>
      <c r="GJ143" s="76">
        <v>0</v>
      </c>
      <c r="GK143" s="76">
        <v>166</v>
      </c>
      <c r="GL143" s="76">
        <v>166</v>
      </c>
      <c r="GM143" s="76">
        <v>1820</v>
      </c>
      <c r="GN143" s="76">
        <v>750</v>
      </c>
      <c r="GO143" s="76">
        <v>2117</v>
      </c>
      <c r="GP143" s="76">
        <v>468</v>
      </c>
      <c r="GQ143" s="76">
        <v>173</v>
      </c>
      <c r="GR143" s="76">
        <v>4020</v>
      </c>
      <c r="GS143" s="76">
        <v>0</v>
      </c>
      <c r="GT143" s="76">
        <v>0</v>
      </c>
      <c r="GU143" s="76">
        <v>766</v>
      </c>
      <c r="GV143" s="76">
        <v>0</v>
      </c>
      <c r="GW143" s="76">
        <v>2038</v>
      </c>
      <c r="GX143" s="76">
        <v>12152</v>
      </c>
      <c r="GY143" s="76">
        <v>1251</v>
      </c>
      <c r="GZ143" s="76">
        <v>545</v>
      </c>
      <c r="HA143" s="76">
        <v>5313</v>
      </c>
      <c r="HB143" s="76">
        <v>17</v>
      </c>
      <c r="HC143" s="76">
        <v>7126</v>
      </c>
      <c r="HD143" s="76">
        <v>0</v>
      </c>
      <c r="HE143" s="76">
        <v>84</v>
      </c>
      <c r="HF143" s="76">
        <v>84</v>
      </c>
      <c r="HG143" s="76">
        <v>7008</v>
      </c>
      <c r="HH143" s="76">
        <v>0</v>
      </c>
      <c r="HI143" s="76">
        <v>0</v>
      </c>
      <c r="HJ143" s="76">
        <v>6</v>
      </c>
      <c r="HK143" s="76">
        <v>28</v>
      </c>
      <c r="HL143" s="76">
        <v>0</v>
      </c>
      <c r="HM143" s="76">
        <v>7042</v>
      </c>
      <c r="HN143" s="76">
        <v>4819</v>
      </c>
      <c r="HO143" s="76">
        <v>10165</v>
      </c>
      <c r="HP143" s="76">
        <v>348</v>
      </c>
      <c r="HQ143" s="76">
        <v>204</v>
      </c>
      <c r="HR143" s="76">
        <v>-87</v>
      </c>
      <c r="HS143" s="76">
        <v>-3</v>
      </c>
      <c r="HT143" s="76">
        <v>12093</v>
      </c>
      <c r="HU143" s="76">
        <v>0</v>
      </c>
      <c r="HV143" s="76">
        <v>0</v>
      </c>
      <c r="HW143" s="76">
        <v>1</v>
      </c>
      <c r="HX143" s="76">
        <v>2</v>
      </c>
    </row>
    <row r="144" spans="1:232" x14ac:dyDescent="0.2">
      <c r="A144" s="74" t="s">
        <v>468</v>
      </c>
      <c r="B144" s="74" t="s">
        <v>469</v>
      </c>
      <c r="C144" s="75" t="s">
        <v>200</v>
      </c>
      <c r="D144" s="75">
        <v>12</v>
      </c>
      <c r="E144" s="76">
        <v>25317</v>
      </c>
      <c r="F144" s="76">
        <v>-292</v>
      </c>
      <c r="G144" s="76">
        <v>-19062</v>
      </c>
      <c r="H144" s="76">
        <v>5963</v>
      </c>
      <c r="I144" s="76">
        <v>96</v>
      </c>
      <c r="J144" s="76">
        <v>1</v>
      </c>
      <c r="K144" s="76">
        <v>0</v>
      </c>
      <c r="L144" s="76">
        <v>0</v>
      </c>
      <c r="M144" s="76">
        <v>42</v>
      </c>
      <c r="N144" s="76">
        <v>-3630</v>
      </c>
      <c r="O144" s="76">
        <v>0</v>
      </c>
      <c r="P144" s="76">
        <v>0</v>
      </c>
      <c r="Q144" s="76">
        <v>0</v>
      </c>
      <c r="R144" s="76">
        <v>0</v>
      </c>
      <c r="S144" s="76">
        <v>2472</v>
      </c>
      <c r="T144" s="76">
        <v>0</v>
      </c>
      <c r="U144" s="76">
        <v>2472</v>
      </c>
      <c r="V144" s="76">
        <v>0</v>
      </c>
      <c r="W144" s="76">
        <v>0</v>
      </c>
      <c r="X144" s="76">
        <v>0</v>
      </c>
      <c r="Y144" s="76">
        <v>0</v>
      </c>
      <c r="Z144" s="76">
        <v>2472</v>
      </c>
      <c r="AA144" s="76">
        <v>18053</v>
      </c>
      <c r="AB144" s="76">
        <v>5190</v>
      </c>
      <c r="AC144" s="76">
        <v>23243</v>
      </c>
      <c r="AD144" s="76">
        <v>26</v>
      </c>
      <c r="AE144" s="76">
        <v>0</v>
      </c>
      <c r="AF144" s="76">
        <v>0</v>
      </c>
      <c r="AG144" s="76">
        <v>0</v>
      </c>
      <c r="AH144" s="76">
        <v>23269</v>
      </c>
      <c r="AI144" s="76">
        <v>4884</v>
      </c>
      <c r="AJ144" s="76">
        <v>5152</v>
      </c>
      <c r="AK144" s="76">
        <v>1537</v>
      </c>
      <c r="AL144" s="76">
        <v>2851</v>
      </c>
      <c r="AM144" s="76">
        <v>0</v>
      </c>
      <c r="AN144" s="76">
        <v>43</v>
      </c>
      <c r="AO144" s="76">
        <v>2592</v>
      </c>
      <c r="AP144" s="76">
        <v>457</v>
      </c>
      <c r="AQ144" s="76">
        <v>0</v>
      </c>
      <c r="AR144" s="76">
        <v>17516</v>
      </c>
      <c r="AS144" s="76">
        <v>5753</v>
      </c>
      <c r="AT144" s="76">
        <v>408</v>
      </c>
      <c r="AU144" s="76">
        <v>119741</v>
      </c>
      <c r="AV144" s="76">
        <v>0</v>
      </c>
      <c r="AW144" s="76">
        <v>4380</v>
      </c>
      <c r="AX144" s="76">
        <v>0</v>
      </c>
      <c r="AY144" s="76">
        <v>0</v>
      </c>
      <c r="AZ144" s="76">
        <v>0</v>
      </c>
      <c r="BA144" s="76">
        <v>0</v>
      </c>
      <c r="BB144" s="76">
        <v>0</v>
      </c>
      <c r="BC144" s="76">
        <v>0</v>
      </c>
      <c r="BD144" s="76">
        <v>0</v>
      </c>
      <c r="BE144" s="76">
        <v>124121</v>
      </c>
      <c r="BF144" s="76">
        <v>407</v>
      </c>
      <c r="BG144" s="76">
        <v>861</v>
      </c>
      <c r="BH144" s="76">
        <v>11290</v>
      </c>
      <c r="BI144" s="76">
        <v>0</v>
      </c>
      <c r="BJ144" s="76">
        <v>172</v>
      </c>
      <c r="BK144" s="76">
        <v>12730</v>
      </c>
      <c r="BL144" s="76">
        <v>2757</v>
      </c>
      <c r="BM144" s="76">
        <v>0</v>
      </c>
      <c r="BN144" s="76">
        <v>0</v>
      </c>
      <c r="BO144" s="76">
        <v>7715</v>
      </c>
      <c r="BP144" s="76">
        <v>10472</v>
      </c>
      <c r="BQ144" s="76">
        <v>2258</v>
      </c>
      <c r="BR144" s="76">
        <v>126379</v>
      </c>
      <c r="BS144" s="76">
        <v>67558</v>
      </c>
      <c r="BT144" s="76">
        <v>0</v>
      </c>
      <c r="BU144" s="76">
        <v>0</v>
      </c>
      <c r="BV144" s="76">
        <v>2497</v>
      </c>
      <c r="BW144" s="76">
        <v>0</v>
      </c>
      <c r="BX144" s="76">
        <v>0</v>
      </c>
      <c r="BY144" s="76">
        <v>3916</v>
      </c>
      <c r="BZ144" s="76">
        <v>73971</v>
      </c>
      <c r="CA144" s="76">
        <v>0</v>
      </c>
      <c r="CB144" s="76">
        <v>0</v>
      </c>
      <c r="CC144" s="76">
        <v>52408</v>
      </c>
      <c r="CD144" s="76">
        <v>23136</v>
      </c>
      <c r="CE144" s="76">
        <v>28667</v>
      </c>
      <c r="CF144" s="76">
        <v>0</v>
      </c>
      <c r="CG144" s="76">
        <v>0</v>
      </c>
      <c r="CH144" s="76">
        <v>605</v>
      </c>
      <c r="CI144" s="76">
        <v>52408</v>
      </c>
      <c r="CJ144" s="76">
        <v>439</v>
      </c>
      <c r="CK144" s="76">
        <v>292</v>
      </c>
      <c r="CL144" s="76">
        <v>0</v>
      </c>
      <c r="CM144" s="76">
        <v>147</v>
      </c>
      <c r="CN144" s="76">
        <v>0</v>
      </c>
      <c r="CO144" s="76">
        <v>0</v>
      </c>
      <c r="CP144" s="76">
        <v>0</v>
      </c>
      <c r="CQ144" s="76">
        <v>0</v>
      </c>
      <c r="CR144" s="76">
        <v>0</v>
      </c>
      <c r="CS144" s="76">
        <v>0</v>
      </c>
      <c r="CT144" s="76">
        <v>67</v>
      </c>
      <c r="CU144" s="76">
        <v>-67</v>
      </c>
      <c r="CV144" s="76">
        <v>0</v>
      </c>
      <c r="CW144" s="76">
        <v>0</v>
      </c>
      <c r="CX144" s="76">
        <v>0</v>
      </c>
      <c r="CY144" s="76">
        <v>0</v>
      </c>
      <c r="CZ144" s="76">
        <v>144</v>
      </c>
      <c r="DA144" s="76">
        <v>0</v>
      </c>
      <c r="DB144" s="76">
        <v>41</v>
      </c>
      <c r="DC144" s="76">
        <v>103</v>
      </c>
      <c r="DD144" s="76">
        <v>583</v>
      </c>
      <c r="DE144" s="76">
        <v>292</v>
      </c>
      <c r="DF144" s="76">
        <v>108</v>
      </c>
      <c r="DG144" s="76">
        <v>183</v>
      </c>
      <c r="DH144" s="76">
        <v>0</v>
      </c>
      <c r="DI144" s="76">
        <v>0</v>
      </c>
      <c r="DJ144" s="76">
        <v>0</v>
      </c>
      <c r="DK144" s="76">
        <v>0</v>
      </c>
      <c r="DL144" s="76">
        <v>0</v>
      </c>
      <c r="DM144" s="76">
        <v>0</v>
      </c>
      <c r="DN144" s="76">
        <v>0</v>
      </c>
      <c r="DO144" s="76">
        <v>0</v>
      </c>
      <c r="DP144" s="76">
        <v>0</v>
      </c>
      <c r="DQ144" s="76">
        <v>0</v>
      </c>
      <c r="DR144" s="76">
        <v>0</v>
      </c>
      <c r="DS144" s="76">
        <v>0</v>
      </c>
      <c r="DT144" s="76">
        <v>0</v>
      </c>
      <c r="DU144" s="76">
        <v>0</v>
      </c>
      <c r="DV144" s="76">
        <v>0</v>
      </c>
      <c r="DW144" s="76">
        <v>0</v>
      </c>
      <c r="DX144" s="76">
        <v>0</v>
      </c>
      <c r="DY144" s="76">
        <v>0</v>
      </c>
      <c r="DZ144" s="76">
        <v>0</v>
      </c>
      <c r="EA144" s="76">
        <v>0</v>
      </c>
      <c r="EB144" s="76">
        <v>1465</v>
      </c>
      <c r="EC144" s="76">
        <v>0</v>
      </c>
      <c r="ED144" s="76">
        <v>1438</v>
      </c>
      <c r="EE144" s="76">
        <v>27</v>
      </c>
      <c r="EF144" s="76">
        <v>1465</v>
      </c>
      <c r="EG144" s="76">
        <v>0</v>
      </c>
      <c r="EH144" s="76">
        <v>1438</v>
      </c>
      <c r="EI144" s="76">
        <v>27</v>
      </c>
      <c r="EJ144" s="76">
        <v>2048</v>
      </c>
      <c r="EK144" s="76">
        <v>292</v>
      </c>
      <c r="EL144" s="76">
        <v>1546</v>
      </c>
      <c r="EM144" s="76">
        <v>210</v>
      </c>
      <c r="EN144" s="76">
        <v>378</v>
      </c>
      <c r="EO144" s="76">
        <v>582</v>
      </c>
      <c r="EP144" s="76">
        <v>87</v>
      </c>
      <c r="EQ144" s="76">
        <v>582</v>
      </c>
      <c r="ER144" s="76">
        <v>123939</v>
      </c>
      <c r="ES144" s="76">
        <v>0</v>
      </c>
      <c r="ET144" s="76">
        <v>123939</v>
      </c>
      <c r="EU144" s="76">
        <v>3910</v>
      </c>
      <c r="EV144" s="76">
        <v>-563</v>
      </c>
      <c r="EW144" s="76">
        <v>0</v>
      </c>
      <c r="EX144" s="76">
        <v>416</v>
      </c>
      <c r="EY144" s="76">
        <v>4</v>
      </c>
      <c r="EZ144" s="76">
        <v>127706</v>
      </c>
      <c r="FA144" s="76">
        <v>4941</v>
      </c>
      <c r="FB144" s="76">
        <v>2598</v>
      </c>
      <c r="FC144" s="76">
        <v>457</v>
      </c>
      <c r="FD144" s="76">
        <v>0</v>
      </c>
      <c r="FE144" s="76">
        <v>-31</v>
      </c>
      <c r="FF144" s="76">
        <v>0</v>
      </c>
      <c r="FG144" s="76">
        <v>0</v>
      </c>
      <c r="FH144" s="76">
        <v>7965</v>
      </c>
      <c r="FI144" s="76">
        <v>119741</v>
      </c>
      <c r="FJ144" s="76">
        <v>118998</v>
      </c>
      <c r="FK144" s="76">
        <v>651</v>
      </c>
      <c r="FL144" s="76">
        <v>555</v>
      </c>
      <c r="FM144" s="76">
        <v>96</v>
      </c>
      <c r="FN144" s="76">
        <v>0</v>
      </c>
      <c r="FO144" s="76">
        <v>0</v>
      </c>
      <c r="FP144" s="76">
        <v>0</v>
      </c>
      <c r="FQ144" s="76">
        <v>0</v>
      </c>
      <c r="FR144" s="76">
        <v>0</v>
      </c>
      <c r="FS144" s="76">
        <v>0</v>
      </c>
      <c r="FT144" s="76">
        <v>0</v>
      </c>
      <c r="FU144" s="76">
        <v>0</v>
      </c>
      <c r="FV144" s="76">
        <v>0</v>
      </c>
      <c r="FW144" s="76">
        <v>0</v>
      </c>
      <c r="FX144" s="76">
        <v>0</v>
      </c>
      <c r="FY144" s="76">
        <v>0</v>
      </c>
      <c r="FZ144" s="76">
        <v>0</v>
      </c>
      <c r="GA144" s="76">
        <v>0</v>
      </c>
      <c r="GB144" s="76">
        <v>0</v>
      </c>
      <c r="GC144" s="76">
        <v>651</v>
      </c>
      <c r="GD144" s="76">
        <v>555</v>
      </c>
      <c r="GE144" s="76">
        <v>96</v>
      </c>
      <c r="GF144" s="76">
        <v>0</v>
      </c>
      <c r="GG144" s="76">
        <v>0</v>
      </c>
      <c r="GH144" s="76">
        <v>0</v>
      </c>
      <c r="GI144" s="76">
        <v>0</v>
      </c>
      <c r="GJ144" s="76">
        <v>0</v>
      </c>
      <c r="GK144" s="76">
        <v>172</v>
      </c>
      <c r="GL144" s="76">
        <v>172</v>
      </c>
      <c r="GM144" s="76">
        <v>395</v>
      </c>
      <c r="GN144" s="76">
        <v>519</v>
      </c>
      <c r="GO144" s="76">
        <v>38</v>
      </c>
      <c r="GP144" s="76">
        <v>66</v>
      </c>
      <c r="GQ144" s="76">
        <v>0</v>
      </c>
      <c r="GR144" s="76">
        <v>3605</v>
      </c>
      <c r="GS144" s="76">
        <v>0</v>
      </c>
      <c r="GT144" s="76">
        <v>0</v>
      </c>
      <c r="GU144" s="76">
        <v>574</v>
      </c>
      <c r="GV144" s="76">
        <v>0</v>
      </c>
      <c r="GW144" s="76">
        <v>2518</v>
      </c>
      <c r="GX144" s="76">
        <v>7715</v>
      </c>
      <c r="GY144" s="76">
        <v>0</v>
      </c>
      <c r="GZ144" s="76">
        <v>59</v>
      </c>
      <c r="HA144" s="76">
        <v>3857</v>
      </c>
      <c r="HB144" s="76">
        <v>0</v>
      </c>
      <c r="HC144" s="76">
        <v>3916</v>
      </c>
      <c r="HD144" s="76">
        <v>0</v>
      </c>
      <c r="HE144" s="76">
        <v>0</v>
      </c>
      <c r="HF144" s="76">
        <v>0</v>
      </c>
      <c r="HG144" s="76">
        <v>3537</v>
      </c>
      <c r="HH144" s="76">
        <v>0</v>
      </c>
      <c r="HI144" s="76">
        <v>93</v>
      </c>
      <c r="HJ144" s="76">
        <v>0</v>
      </c>
      <c r="HK144" s="76">
        <v>0</v>
      </c>
      <c r="HL144" s="76">
        <v>0</v>
      </c>
      <c r="HM144" s="76">
        <v>3630</v>
      </c>
      <c r="HN144" s="76">
        <v>2733</v>
      </c>
      <c r="HO144" s="76">
        <v>3304</v>
      </c>
      <c r="HP144" s="76">
        <v>457</v>
      </c>
      <c r="HQ144" s="76">
        <v>20</v>
      </c>
      <c r="HR144" s="76">
        <v>-27</v>
      </c>
      <c r="HS144" s="76">
        <v>89</v>
      </c>
      <c r="HT144" s="76">
        <v>5031</v>
      </c>
      <c r="HU144" s="76">
        <v>0</v>
      </c>
      <c r="HV144" s="76">
        <v>0</v>
      </c>
      <c r="HW144" s="76">
        <v>0</v>
      </c>
      <c r="HX144" s="76">
        <v>0</v>
      </c>
    </row>
    <row r="145" spans="1:232" x14ac:dyDescent="0.2">
      <c r="A145" s="74" t="s">
        <v>471</v>
      </c>
      <c r="B145" s="74" t="s">
        <v>472</v>
      </c>
      <c r="C145" s="75" t="s">
        <v>200</v>
      </c>
      <c r="D145" s="75">
        <v>12</v>
      </c>
      <c r="E145" s="76">
        <v>74154</v>
      </c>
      <c r="F145" s="76">
        <v>-6466</v>
      </c>
      <c r="G145" s="76">
        <v>-47056</v>
      </c>
      <c r="H145" s="76">
        <v>20632</v>
      </c>
      <c r="I145" s="76">
        <v>4394</v>
      </c>
      <c r="J145" s="76">
        <v>612</v>
      </c>
      <c r="K145" s="76">
        <v>0</v>
      </c>
      <c r="L145" s="76">
        <v>0</v>
      </c>
      <c r="M145" s="76">
        <v>320</v>
      </c>
      <c r="N145" s="76">
        <v>-9376</v>
      </c>
      <c r="O145" s="76">
        <v>602</v>
      </c>
      <c r="P145" s="76">
        <v>-1360</v>
      </c>
      <c r="Q145" s="76">
        <v>0</v>
      </c>
      <c r="R145" s="76">
        <v>0</v>
      </c>
      <c r="S145" s="76">
        <v>15824</v>
      </c>
      <c r="T145" s="76">
        <v>0</v>
      </c>
      <c r="U145" s="76">
        <v>15824</v>
      </c>
      <c r="V145" s="76">
        <v>0</v>
      </c>
      <c r="W145" s="76">
        <v>0</v>
      </c>
      <c r="X145" s="76">
        <v>-294</v>
      </c>
      <c r="Y145" s="76">
        <v>0</v>
      </c>
      <c r="Z145" s="76">
        <v>15530</v>
      </c>
      <c r="AA145" s="76">
        <v>52960</v>
      </c>
      <c r="AB145" s="76">
        <v>4456</v>
      </c>
      <c r="AC145" s="76">
        <v>57416</v>
      </c>
      <c r="AD145" s="76">
        <v>3577</v>
      </c>
      <c r="AE145" s="76">
        <v>2317</v>
      </c>
      <c r="AF145" s="76">
        <v>0</v>
      </c>
      <c r="AG145" s="76">
        <v>1122</v>
      </c>
      <c r="AH145" s="76">
        <v>64432</v>
      </c>
      <c r="AI145" s="76">
        <v>2293</v>
      </c>
      <c r="AJ145" s="76">
        <v>3644</v>
      </c>
      <c r="AK145" s="76">
        <v>10809</v>
      </c>
      <c r="AL145" s="76">
        <v>0</v>
      </c>
      <c r="AM145" s="76">
        <v>1643</v>
      </c>
      <c r="AN145" s="76">
        <v>187</v>
      </c>
      <c r="AO145" s="76">
        <v>11495</v>
      </c>
      <c r="AP145" s="76">
        <v>222</v>
      </c>
      <c r="AQ145" s="76">
        <v>13538</v>
      </c>
      <c r="AR145" s="76">
        <v>43831</v>
      </c>
      <c r="AS145" s="76">
        <v>20601</v>
      </c>
      <c r="AT145" s="76">
        <v>708</v>
      </c>
      <c r="AU145" s="76">
        <v>644198</v>
      </c>
      <c r="AV145" s="76">
        <v>0</v>
      </c>
      <c r="AW145" s="76">
        <v>7446</v>
      </c>
      <c r="AX145" s="76">
        <v>895</v>
      </c>
      <c r="AY145" s="76">
        <v>5302</v>
      </c>
      <c r="AZ145" s="76">
        <v>5861</v>
      </c>
      <c r="BA145" s="76">
        <v>0</v>
      </c>
      <c r="BB145" s="76">
        <v>0</v>
      </c>
      <c r="BC145" s="76">
        <v>0</v>
      </c>
      <c r="BD145" s="76">
        <v>5897</v>
      </c>
      <c r="BE145" s="76">
        <v>669599</v>
      </c>
      <c r="BF145" s="76">
        <v>2944</v>
      </c>
      <c r="BG145" s="76">
        <v>0</v>
      </c>
      <c r="BH145" s="76">
        <v>16324</v>
      </c>
      <c r="BI145" s="76">
        <v>0</v>
      </c>
      <c r="BJ145" s="76">
        <v>14238</v>
      </c>
      <c r="BK145" s="76">
        <v>33506</v>
      </c>
      <c r="BL145" s="76">
        <v>24648</v>
      </c>
      <c r="BM145" s="76">
        <v>0</v>
      </c>
      <c r="BN145" s="76">
        <v>3579</v>
      </c>
      <c r="BO145" s="76">
        <v>24145</v>
      </c>
      <c r="BP145" s="76">
        <v>52372</v>
      </c>
      <c r="BQ145" s="76">
        <v>-18866</v>
      </c>
      <c r="BR145" s="76">
        <v>650733</v>
      </c>
      <c r="BS145" s="76">
        <v>247216</v>
      </c>
      <c r="BT145" s="76">
        <v>0</v>
      </c>
      <c r="BU145" s="76">
        <v>441</v>
      </c>
      <c r="BV145" s="76">
        <v>222467</v>
      </c>
      <c r="BW145" s="76">
        <v>4973</v>
      </c>
      <c r="BX145" s="76">
        <v>42855</v>
      </c>
      <c r="BY145" s="76">
        <v>4495</v>
      </c>
      <c r="BZ145" s="76">
        <v>522447</v>
      </c>
      <c r="CA145" s="76">
        <v>7696</v>
      </c>
      <c r="CB145" s="76">
        <v>107</v>
      </c>
      <c r="CC145" s="76">
        <v>120483</v>
      </c>
      <c r="CD145" s="76">
        <v>100174</v>
      </c>
      <c r="CE145" s="76">
        <v>0</v>
      </c>
      <c r="CF145" s="76">
        <v>184</v>
      </c>
      <c r="CG145" s="76">
        <v>20125</v>
      </c>
      <c r="CH145" s="76">
        <v>0</v>
      </c>
      <c r="CI145" s="76">
        <v>120483</v>
      </c>
      <c r="CJ145" s="76">
        <v>8922</v>
      </c>
      <c r="CK145" s="76">
        <v>6466</v>
      </c>
      <c r="CL145" s="76">
        <v>35</v>
      </c>
      <c r="CM145" s="76">
        <v>2421</v>
      </c>
      <c r="CN145" s="76">
        <v>0</v>
      </c>
      <c r="CO145" s="76">
        <v>0</v>
      </c>
      <c r="CP145" s="76">
        <v>0</v>
      </c>
      <c r="CQ145" s="76">
        <v>0</v>
      </c>
      <c r="CR145" s="76">
        <v>193</v>
      </c>
      <c r="CS145" s="76">
        <v>0</v>
      </c>
      <c r="CT145" s="76">
        <v>393</v>
      </c>
      <c r="CU145" s="76">
        <v>-200</v>
      </c>
      <c r="CV145" s="76">
        <v>1</v>
      </c>
      <c r="CW145" s="76">
        <v>0</v>
      </c>
      <c r="CX145" s="76">
        <v>2316</v>
      </c>
      <c r="CY145" s="76">
        <v>-2315</v>
      </c>
      <c r="CZ145" s="76">
        <v>0</v>
      </c>
      <c r="DA145" s="76">
        <v>0</v>
      </c>
      <c r="DB145" s="76">
        <v>0</v>
      </c>
      <c r="DC145" s="76">
        <v>0</v>
      </c>
      <c r="DD145" s="76">
        <v>9116</v>
      </c>
      <c r="DE145" s="76">
        <v>6466</v>
      </c>
      <c r="DF145" s="76">
        <v>2744</v>
      </c>
      <c r="DG145" s="76">
        <v>-94</v>
      </c>
      <c r="DH145" s="76">
        <v>0</v>
      </c>
      <c r="DI145" s="76">
        <v>0</v>
      </c>
      <c r="DJ145" s="76">
        <v>0</v>
      </c>
      <c r="DK145" s="76">
        <v>0</v>
      </c>
      <c r="DL145" s="76">
        <v>0</v>
      </c>
      <c r="DM145" s="76">
        <v>0</v>
      </c>
      <c r="DN145" s="76">
        <v>0</v>
      </c>
      <c r="DO145" s="76">
        <v>0</v>
      </c>
      <c r="DP145" s="76">
        <v>0</v>
      </c>
      <c r="DQ145" s="76">
        <v>0</v>
      </c>
      <c r="DR145" s="76">
        <v>0</v>
      </c>
      <c r="DS145" s="76">
        <v>0</v>
      </c>
      <c r="DT145" s="76">
        <v>130</v>
      </c>
      <c r="DU145" s="76">
        <v>0</v>
      </c>
      <c r="DV145" s="76">
        <v>50</v>
      </c>
      <c r="DW145" s="76">
        <v>80</v>
      </c>
      <c r="DX145" s="76">
        <v>206</v>
      </c>
      <c r="DY145" s="76">
        <v>0</v>
      </c>
      <c r="DZ145" s="76">
        <v>161</v>
      </c>
      <c r="EA145" s="76">
        <v>45</v>
      </c>
      <c r="EB145" s="76">
        <v>270</v>
      </c>
      <c r="EC145" s="76">
        <v>0</v>
      </c>
      <c r="ED145" s="76">
        <v>270</v>
      </c>
      <c r="EE145" s="76">
        <v>0</v>
      </c>
      <c r="EF145" s="76">
        <v>606</v>
      </c>
      <c r="EG145" s="76">
        <v>0</v>
      </c>
      <c r="EH145" s="76">
        <v>481</v>
      </c>
      <c r="EI145" s="76">
        <v>125</v>
      </c>
      <c r="EJ145" s="76">
        <v>9722</v>
      </c>
      <c r="EK145" s="76">
        <v>6466</v>
      </c>
      <c r="EL145" s="76">
        <v>3225</v>
      </c>
      <c r="EM145" s="76">
        <v>31</v>
      </c>
      <c r="EN145" s="76">
        <v>1390</v>
      </c>
      <c r="EO145" s="76">
        <v>292</v>
      </c>
      <c r="EP145" s="76">
        <v>548</v>
      </c>
      <c r="EQ145" s="76">
        <v>292</v>
      </c>
      <c r="ER145" s="76">
        <v>740236</v>
      </c>
      <c r="ES145" s="76">
        <v>0</v>
      </c>
      <c r="ET145" s="76">
        <v>740236</v>
      </c>
      <c r="EU145" s="76">
        <v>24973</v>
      </c>
      <c r="EV145" s="76">
        <v>-9392</v>
      </c>
      <c r="EW145" s="76">
        <v>0</v>
      </c>
      <c r="EX145" s="76">
        <v>0</v>
      </c>
      <c r="EY145" s="76">
        <v>-421</v>
      </c>
      <c r="EZ145" s="76">
        <v>755396</v>
      </c>
      <c r="FA145" s="76">
        <v>105093</v>
      </c>
      <c r="FB145" s="76">
        <v>10203</v>
      </c>
      <c r="FC145" s="76">
        <v>222</v>
      </c>
      <c r="FD145" s="76">
        <v>0</v>
      </c>
      <c r="FE145" s="76">
        <v>-4320</v>
      </c>
      <c r="FF145" s="76">
        <v>0</v>
      </c>
      <c r="FG145" s="76">
        <v>0</v>
      </c>
      <c r="FH145" s="76">
        <v>111198</v>
      </c>
      <c r="FI145" s="76">
        <v>644198</v>
      </c>
      <c r="FJ145" s="76">
        <v>635143</v>
      </c>
      <c r="FK145" s="76">
        <v>3652</v>
      </c>
      <c r="FL145" s="76">
        <v>1759</v>
      </c>
      <c r="FM145" s="76">
        <v>1893</v>
      </c>
      <c r="FN145" s="76">
        <v>197</v>
      </c>
      <c r="FO145" s="76">
        <v>18</v>
      </c>
      <c r="FP145" s="76">
        <v>179</v>
      </c>
      <c r="FQ145" s="76">
        <v>0</v>
      </c>
      <c r="FR145" s="76">
        <v>86</v>
      </c>
      <c r="FS145" s="76">
        <v>-86</v>
      </c>
      <c r="FT145" s="76">
        <v>4121</v>
      </c>
      <c r="FU145" s="76">
        <v>2292</v>
      </c>
      <c r="FV145" s="76">
        <v>1829</v>
      </c>
      <c r="FW145" s="76">
        <v>437</v>
      </c>
      <c r="FX145" s="76">
        <v>461</v>
      </c>
      <c r="FY145" s="76">
        <v>-24</v>
      </c>
      <c r="FZ145" s="76">
        <v>873</v>
      </c>
      <c r="GA145" s="76">
        <v>270</v>
      </c>
      <c r="GB145" s="76">
        <v>603</v>
      </c>
      <c r="GC145" s="76">
        <v>9280</v>
      </c>
      <c r="GD145" s="76">
        <v>4886</v>
      </c>
      <c r="GE145" s="76">
        <v>4394</v>
      </c>
      <c r="GF145" s="76">
        <v>8566</v>
      </c>
      <c r="GG145" s="76">
        <v>0</v>
      </c>
      <c r="GH145" s="76">
        <v>0</v>
      </c>
      <c r="GI145" s="76">
        <v>0</v>
      </c>
      <c r="GJ145" s="76">
        <v>0</v>
      </c>
      <c r="GK145" s="76">
        <v>5672</v>
      </c>
      <c r="GL145" s="76">
        <v>14238</v>
      </c>
      <c r="GM145" s="76">
        <v>1474</v>
      </c>
      <c r="GN145" s="76">
        <v>1834</v>
      </c>
      <c r="GO145" s="76">
        <v>4919</v>
      </c>
      <c r="GP145" s="76">
        <v>3713</v>
      </c>
      <c r="GQ145" s="76">
        <v>0</v>
      </c>
      <c r="GR145" s="76">
        <v>4107</v>
      </c>
      <c r="GS145" s="76">
        <v>0</v>
      </c>
      <c r="GT145" s="76">
        <v>0</v>
      </c>
      <c r="GU145" s="76">
        <v>1163</v>
      </c>
      <c r="GV145" s="76">
        <v>880</v>
      </c>
      <c r="GW145" s="76">
        <v>6055</v>
      </c>
      <c r="GX145" s="76">
        <v>24145</v>
      </c>
      <c r="GY145" s="76">
        <v>3468</v>
      </c>
      <c r="GZ145" s="76">
        <v>1027</v>
      </c>
      <c r="HA145" s="76">
        <v>0</v>
      </c>
      <c r="HB145" s="76">
        <v>0</v>
      </c>
      <c r="HC145" s="76">
        <v>4495</v>
      </c>
      <c r="HD145" s="76">
        <v>0</v>
      </c>
      <c r="HE145" s="76">
        <v>107</v>
      </c>
      <c r="HF145" s="76">
        <v>107</v>
      </c>
      <c r="HG145" s="76">
        <v>9618</v>
      </c>
      <c r="HH145" s="76">
        <v>366</v>
      </c>
      <c r="HI145" s="76">
        <v>184</v>
      </c>
      <c r="HJ145" s="76">
        <v>0</v>
      </c>
      <c r="HK145" s="76">
        <v>-200</v>
      </c>
      <c r="HL145" s="76">
        <v>-592</v>
      </c>
      <c r="HM145" s="76">
        <v>9376</v>
      </c>
      <c r="HN145" s="76">
        <v>8565</v>
      </c>
      <c r="HO145" s="76">
        <v>11495</v>
      </c>
      <c r="HP145" s="76">
        <v>222</v>
      </c>
      <c r="HQ145" s="76">
        <v>209</v>
      </c>
      <c r="HR145" s="76">
        <v>-81</v>
      </c>
      <c r="HS145" s="76">
        <v>42</v>
      </c>
      <c r="HT145" s="76">
        <v>11265</v>
      </c>
      <c r="HU145" s="76">
        <v>12</v>
      </c>
      <c r="HV145" s="76">
        <v>0</v>
      </c>
      <c r="HW145" s="76">
        <v>0</v>
      </c>
      <c r="HX145" s="76">
        <v>18</v>
      </c>
    </row>
    <row r="146" spans="1:232" x14ac:dyDescent="0.2">
      <c r="A146" s="71" t="s">
        <v>477</v>
      </c>
      <c r="B146" s="71" t="s">
        <v>476</v>
      </c>
      <c r="C146" s="72" t="s">
        <v>200</v>
      </c>
      <c r="D146" s="72">
        <v>12</v>
      </c>
      <c r="E146" s="73">
        <v>62098</v>
      </c>
      <c r="F146" s="73">
        <v>-348</v>
      </c>
      <c r="G146" s="73">
        <v>-41809</v>
      </c>
      <c r="H146" s="73">
        <v>19941</v>
      </c>
      <c r="I146" s="73">
        <v>3493</v>
      </c>
      <c r="J146" s="73">
        <v>0</v>
      </c>
      <c r="K146" s="73">
        <v>0</v>
      </c>
      <c r="L146" s="73">
        <v>-58</v>
      </c>
      <c r="M146" s="73">
        <v>29</v>
      </c>
      <c r="N146" s="73">
        <v>-8379</v>
      </c>
      <c r="O146" s="73">
        <v>0</v>
      </c>
      <c r="P146" s="73">
        <v>-5918</v>
      </c>
      <c r="Q146" s="73">
        <v>0</v>
      </c>
      <c r="R146" s="73">
        <v>0</v>
      </c>
      <c r="S146" s="73">
        <v>9108</v>
      </c>
      <c r="T146" s="73">
        <v>0</v>
      </c>
      <c r="U146" s="73">
        <v>9108</v>
      </c>
      <c r="V146" s="73">
        <v>0</v>
      </c>
      <c r="W146" s="73">
        <v>-365</v>
      </c>
      <c r="X146" s="73">
        <v>0</v>
      </c>
      <c r="Y146" s="73">
        <v>0</v>
      </c>
      <c r="Z146" s="73">
        <v>8743</v>
      </c>
      <c r="AA146" s="73">
        <v>57974</v>
      </c>
      <c r="AB146" s="73">
        <v>2113</v>
      </c>
      <c r="AC146" s="73">
        <v>60087</v>
      </c>
      <c r="AD146" s="73">
        <v>316</v>
      </c>
      <c r="AE146" s="73">
        <v>0</v>
      </c>
      <c r="AF146" s="73">
        <v>0</v>
      </c>
      <c r="AG146" s="73">
        <v>668</v>
      </c>
      <c r="AH146" s="73">
        <v>61071</v>
      </c>
      <c r="AI146" s="73">
        <v>11833</v>
      </c>
      <c r="AJ146" s="73">
        <v>2028</v>
      </c>
      <c r="AK146" s="73">
        <v>11402</v>
      </c>
      <c r="AL146" s="73">
        <v>0</v>
      </c>
      <c r="AM146" s="73">
        <v>3373</v>
      </c>
      <c r="AN146" s="73">
        <v>1411</v>
      </c>
      <c r="AO146" s="73">
        <v>7643</v>
      </c>
      <c r="AP146" s="73">
        <v>662</v>
      </c>
      <c r="AQ146" s="73">
        <v>2416</v>
      </c>
      <c r="AR146" s="73">
        <v>40768</v>
      </c>
      <c r="AS146" s="73">
        <v>20303</v>
      </c>
      <c r="AT146" s="73">
        <v>2086</v>
      </c>
      <c r="AU146" s="73">
        <v>224281</v>
      </c>
      <c r="AV146" s="73">
        <v>0</v>
      </c>
      <c r="AW146" s="73">
        <v>5004</v>
      </c>
      <c r="AX146" s="73">
        <v>0</v>
      </c>
      <c r="AY146" s="73">
        <v>0</v>
      </c>
      <c r="AZ146" s="73">
        <v>0</v>
      </c>
      <c r="BA146" s="73">
        <v>0</v>
      </c>
      <c r="BB146" s="73">
        <v>0</v>
      </c>
      <c r="BC146" s="73">
        <v>0</v>
      </c>
      <c r="BD146" s="73">
        <v>0</v>
      </c>
      <c r="BE146" s="73">
        <v>229285</v>
      </c>
      <c r="BF146" s="73">
        <v>924</v>
      </c>
      <c r="BG146" s="73">
        <v>2415</v>
      </c>
      <c r="BH146" s="73">
        <v>11450</v>
      </c>
      <c r="BI146" s="73">
        <v>0</v>
      </c>
      <c r="BJ146" s="73">
        <v>487</v>
      </c>
      <c r="BK146" s="73">
        <v>15276</v>
      </c>
      <c r="BL146" s="73">
        <v>1000</v>
      </c>
      <c r="BM146" s="73">
        <v>0</v>
      </c>
      <c r="BN146" s="73">
        <v>319</v>
      </c>
      <c r="BO146" s="73">
        <v>7154</v>
      </c>
      <c r="BP146" s="73">
        <v>8473</v>
      </c>
      <c r="BQ146" s="73">
        <v>6803</v>
      </c>
      <c r="BR146" s="73">
        <v>236088</v>
      </c>
      <c r="BS146" s="73">
        <v>184350</v>
      </c>
      <c r="BT146" s="73">
        <v>0</v>
      </c>
      <c r="BU146" s="73">
        <v>0</v>
      </c>
      <c r="BV146" s="73">
        <v>28041</v>
      </c>
      <c r="BW146" s="73">
        <v>0</v>
      </c>
      <c r="BX146" s="73">
        <v>0</v>
      </c>
      <c r="BY146" s="73">
        <v>1371</v>
      </c>
      <c r="BZ146" s="73">
        <v>213762</v>
      </c>
      <c r="CA146" s="73">
        <v>2407</v>
      </c>
      <c r="CB146" s="73">
        <v>0</v>
      </c>
      <c r="CC146" s="73">
        <v>19919</v>
      </c>
      <c r="CD146" s="73">
        <v>19919</v>
      </c>
      <c r="CE146" s="73">
        <v>0</v>
      </c>
      <c r="CF146" s="73">
        <v>0</v>
      </c>
      <c r="CG146" s="73">
        <v>0</v>
      </c>
      <c r="CH146" s="73">
        <v>0</v>
      </c>
      <c r="CI146" s="73">
        <v>19919</v>
      </c>
      <c r="CJ146" s="73">
        <v>511</v>
      </c>
      <c r="CK146" s="73">
        <v>348</v>
      </c>
      <c r="CL146" s="73">
        <v>0</v>
      </c>
      <c r="CM146" s="73">
        <v>163</v>
      </c>
      <c r="CN146" s="73">
        <v>232</v>
      </c>
      <c r="CO146" s="73">
        <v>0</v>
      </c>
      <c r="CP146" s="73">
        <v>257</v>
      </c>
      <c r="CQ146" s="73">
        <v>-25</v>
      </c>
      <c r="CR146" s="73">
        <v>0</v>
      </c>
      <c r="CS146" s="73">
        <v>0</v>
      </c>
      <c r="CT146" s="73">
        <v>0</v>
      </c>
      <c r="CU146" s="73">
        <v>0</v>
      </c>
      <c r="CV146" s="73">
        <v>0</v>
      </c>
      <c r="CW146" s="73">
        <v>0</v>
      </c>
      <c r="CX146" s="73">
        <v>0</v>
      </c>
      <c r="CY146" s="73">
        <v>0</v>
      </c>
      <c r="CZ146" s="73">
        <v>0</v>
      </c>
      <c r="DA146" s="73">
        <v>0</v>
      </c>
      <c r="DB146" s="73">
        <v>500</v>
      </c>
      <c r="DC146" s="73">
        <v>-500</v>
      </c>
      <c r="DD146" s="73">
        <v>743</v>
      </c>
      <c r="DE146" s="73">
        <v>348</v>
      </c>
      <c r="DF146" s="73">
        <v>757</v>
      </c>
      <c r="DG146" s="73">
        <v>-362</v>
      </c>
      <c r="DH146" s="73">
        <v>0</v>
      </c>
      <c r="DI146" s="73">
        <v>0</v>
      </c>
      <c r="DJ146" s="73">
        <v>0</v>
      </c>
      <c r="DK146" s="73">
        <v>0</v>
      </c>
      <c r="DL146" s="73">
        <v>0</v>
      </c>
      <c r="DM146" s="73">
        <v>0</v>
      </c>
      <c r="DN146" s="73">
        <v>0</v>
      </c>
      <c r="DO146" s="73">
        <v>0</v>
      </c>
      <c r="DP146" s="73">
        <v>0</v>
      </c>
      <c r="DQ146" s="73">
        <v>0</v>
      </c>
      <c r="DR146" s="73">
        <v>0</v>
      </c>
      <c r="DS146" s="73">
        <v>0</v>
      </c>
      <c r="DT146" s="73">
        <v>0</v>
      </c>
      <c r="DU146" s="73">
        <v>0</v>
      </c>
      <c r="DV146" s="73">
        <v>0</v>
      </c>
      <c r="DW146" s="73">
        <v>0</v>
      </c>
      <c r="DX146" s="73">
        <v>0</v>
      </c>
      <c r="DY146" s="73">
        <v>0</v>
      </c>
      <c r="DZ146" s="73">
        <v>0</v>
      </c>
      <c r="EA146" s="73">
        <v>0</v>
      </c>
      <c r="EB146" s="73">
        <v>284</v>
      </c>
      <c r="EC146" s="73">
        <v>0</v>
      </c>
      <c r="ED146" s="73">
        <v>284</v>
      </c>
      <c r="EE146" s="73">
        <v>0</v>
      </c>
      <c r="EF146" s="73">
        <v>284</v>
      </c>
      <c r="EG146" s="73">
        <v>0</v>
      </c>
      <c r="EH146" s="73">
        <v>284</v>
      </c>
      <c r="EI146" s="73">
        <v>0</v>
      </c>
      <c r="EJ146" s="73">
        <v>1027</v>
      </c>
      <c r="EK146" s="73">
        <v>348</v>
      </c>
      <c r="EL146" s="73">
        <v>1041</v>
      </c>
      <c r="EM146" s="73">
        <v>-362</v>
      </c>
      <c r="EN146" s="73">
        <v>3405</v>
      </c>
      <c r="EO146" s="73">
        <v>737</v>
      </c>
      <c r="EP146" s="73">
        <v>3209</v>
      </c>
      <c r="EQ146" s="73">
        <v>737</v>
      </c>
      <c r="ER146" s="73">
        <v>294834</v>
      </c>
      <c r="ES146" s="73">
        <v>0</v>
      </c>
      <c r="ET146" s="73">
        <v>294834</v>
      </c>
      <c r="EU146" s="73">
        <v>14394</v>
      </c>
      <c r="EV146" s="73">
        <v>-4438</v>
      </c>
      <c r="EW146" s="73">
        <v>0</v>
      </c>
      <c r="EX146" s="73">
        <v>0</v>
      </c>
      <c r="EY146" s="73">
        <v>1203</v>
      </c>
      <c r="EZ146" s="73">
        <v>305993</v>
      </c>
      <c r="FA146" s="73">
        <v>75234</v>
      </c>
      <c r="FB146" s="73">
        <v>7643</v>
      </c>
      <c r="FC146" s="73">
        <v>181</v>
      </c>
      <c r="FD146" s="73">
        <v>0</v>
      </c>
      <c r="FE146" s="73">
        <v>-1346</v>
      </c>
      <c r="FF146" s="73">
        <v>0</v>
      </c>
      <c r="FG146" s="73">
        <v>0</v>
      </c>
      <c r="FH146" s="73">
        <v>81712</v>
      </c>
      <c r="FI146" s="73">
        <v>224281</v>
      </c>
      <c r="FJ146" s="73">
        <v>219600</v>
      </c>
      <c r="FK146" s="73">
        <v>105</v>
      </c>
      <c r="FL146" s="73">
        <v>49</v>
      </c>
      <c r="FM146" s="73">
        <v>56</v>
      </c>
      <c r="FN146" s="73">
        <v>3294</v>
      </c>
      <c r="FO146" s="73">
        <v>986</v>
      </c>
      <c r="FP146" s="73">
        <v>2308</v>
      </c>
      <c r="FQ146" s="73">
        <v>647</v>
      </c>
      <c r="FR146" s="73">
        <v>647</v>
      </c>
      <c r="FS146" s="73">
        <v>0</v>
      </c>
      <c r="FT146" s="73">
        <v>1670</v>
      </c>
      <c r="FU146" s="73">
        <v>541</v>
      </c>
      <c r="FV146" s="73">
        <v>1129</v>
      </c>
      <c r="FW146" s="73">
        <v>0</v>
      </c>
      <c r="FX146" s="73">
        <v>0</v>
      </c>
      <c r="FY146" s="73">
        <v>0</v>
      </c>
      <c r="FZ146" s="73">
        <v>0</v>
      </c>
      <c r="GA146" s="73">
        <v>0</v>
      </c>
      <c r="GB146" s="73">
        <v>0</v>
      </c>
      <c r="GC146" s="73">
        <v>5716</v>
      </c>
      <c r="GD146" s="73">
        <v>2223</v>
      </c>
      <c r="GE146" s="73">
        <v>3493</v>
      </c>
      <c r="GF146" s="73">
        <v>487</v>
      </c>
      <c r="GG146" s="73">
        <v>0</v>
      </c>
      <c r="GH146" s="73">
        <v>0</v>
      </c>
      <c r="GI146" s="73">
        <v>0</v>
      </c>
      <c r="GJ146" s="73">
        <v>0</v>
      </c>
      <c r="GK146" s="73">
        <v>0</v>
      </c>
      <c r="GL146" s="73">
        <v>487</v>
      </c>
      <c r="GM146" s="73">
        <v>683</v>
      </c>
      <c r="GN146" s="73">
        <v>1140</v>
      </c>
      <c r="GO146" s="73">
        <v>15</v>
      </c>
      <c r="GP146" s="73">
        <v>0</v>
      </c>
      <c r="GQ146" s="73">
        <v>0</v>
      </c>
      <c r="GR146" s="73">
        <v>5057</v>
      </c>
      <c r="GS146" s="73">
        <v>0</v>
      </c>
      <c r="GT146" s="73">
        <v>0</v>
      </c>
      <c r="GU146" s="73">
        <v>0</v>
      </c>
      <c r="GV146" s="73">
        <v>0</v>
      </c>
      <c r="GW146" s="73">
        <v>259</v>
      </c>
      <c r="GX146" s="73">
        <v>7154</v>
      </c>
      <c r="GY146" s="73">
        <v>234</v>
      </c>
      <c r="GZ146" s="73">
        <v>1137</v>
      </c>
      <c r="HA146" s="73">
        <v>0</v>
      </c>
      <c r="HB146" s="73">
        <v>0</v>
      </c>
      <c r="HC146" s="73">
        <v>1371</v>
      </c>
      <c r="HD146" s="73">
        <v>0</v>
      </c>
      <c r="HE146" s="73">
        <v>0</v>
      </c>
      <c r="HF146" s="73">
        <v>0</v>
      </c>
      <c r="HG146" s="73">
        <v>8281</v>
      </c>
      <c r="HH146" s="73">
        <v>0</v>
      </c>
      <c r="HI146" s="73">
        <v>98</v>
      </c>
      <c r="HJ146" s="73">
        <v>0</v>
      </c>
      <c r="HK146" s="73">
        <v>0</v>
      </c>
      <c r="HL146" s="73">
        <v>0</v>
      </c>
      <c r="HM146" s="73">
        <v>8379</v>
      </c>
      <c r="HN146" s="73">
        <v>4769</v>
      </c>
      <c r="HO146" s="73">
        <v>7916</v>
      </c>
      <c r="HP146" s="73">
        <v>662</v>
      </c>
      <c r="HQ146" s="73">
        <v>10</v>
      </c>
      <c r="HR146" s="73">
        <v>-236</v>
      </c>
      <c r="HS146" s="73">
        <v>13</v>
      </c>
      <c r="HT146" s="73">
        <v>13282</v>
      </c>
      <c r="HU146" s="73">
        <v>0</v>
      </c>
      <c r="HV146" s="73">
        <v>0</v>
      </c>
      <c r="HW146" s="73">
        <v>0</v>
      </c>
      <c r="HX146" s="73">
        <v>0</v>
      </c>
    </row>
    <row r="147" spans="1:232" x14ac:dyDescent="0.2">
      <c r="A147" s="74" t="s">
        <v>478</v>
      </c>
      <c r="B147" s="74" t="s">
        <v>479</v>
      </c>
      <c r="C147" s="75" t="s">
        <v>200</v>
      </c>
      <c r="D147" s="75">
        <v>12</v>
      </c>
      <c r="E147" s="76">
        <v>4624</v>
      </c>
      <c r="F147" s="76">
        <v>0</v>
      </c>
      <c r="G147" s="76">
        <v>-3607</v>
      </c>
      <c r="H147" s="76">
        <v>1017</v>
      </c>
      <c r="I147" s="76">
        <v>125</v>
      </c>
      <c r="J147" s="76">
        <v>0</v>
      </c>
      <c r="K147" s="76">
        <v>0</v>
      </c>
      <c r="L147" s="76">
        <v>0</v>
      </c>
      <c r="M147" s="76">
        <v>75</v>
      </c>
      <c r="N147" s="76">
        <v>0</v>
      </c>
      <c r="O147" s="76">
        <v>0</v>
      </c>
      <c r="P147" s="76">
        <v>0</v>
      </c>
      <c r="Q147" s="76">
        <v>0</v>
      </c>
      <c r="R147" s="76">
        <v>0</v>
      </c>
      <c r="S147" s="76">
        <v>1217</v>
      </c>
      <c r="T147" s="76">
        <v>0</v>
      </c>
      <c r="U147" s="76">
        <v>1217</v>
      </c>
      <c r="V147" s="76">
        <v>0</v>
      </c>
      <c r="W147" s="76">
        <v>0</v>
      </c>
      <c r="X147" s="76">
        <v>0</v>
      </c>
      <c r="Y147" s="76">
        <v>0</v>
      </c>
      <c r="Z147" s="76">
        <v>1217</v>
      </c>
      <c r="AA147" s="76">
        <v>4381</v>
      </c>
      <c r="AB147" s="76">
        <v>134</v>
      </c>
      <c r="AC147" s="76">
        <v>4515</v>
      </c>
      <c r="AD147" s="76">
        <v>42</v>
      </c>
      <c r="AE147" s="76">
        <v>0</v>
      </c>
      <c r="AF147" s="76">
        <v>0</v>
      </c>
      <c r="AG147" s="76">
        <v>0</v>
      </c>
      <c r="AH147" s="76">
        <v>4557</v>
      </c>
      <c r="AI147" s="76">
        <v>1630</v>
      </c>
      <c r="AJ147" s="76">
        <v>146</v>
      </c>
      <c r="AK147" s="76">
        <v>529</v>
      </c>
      <c r="AL147" s="76">
        <v>464</v>
      </c>
      <c r="AM147" s="76">
        <v>25</v>
      </c>
      <c r="AN147" s="76">
        <v>3</v>
      </c>
      <c r="AO147" s="76">
        <v>405</v>
      </c>
      <c r="AP147" s="76">
        <v>0</v>
      </c>
      <c r="AQ147" s="76">
        <v>0</v>
      </c>
      <c r="AR147" s="76">
        <v>3202</v>
      </c>
      <c r="AS147" s="76">
        <v>1355</v>
      </c>
      <c r="AT147" s="76">
        <v>10</v>
      </c>
      <c r="AU147" s="76">
        <v>22115</v>
      </c>
      <c r="AV147" s="76">
        <v>0</v>
      </c>
      <c r="AW147" s="76">
        <v>646</v>
      </c>
      <c r="AX147" s="76">
        <v>0</v>
      </c>
      <c r="AY147" s="76">
        <v>0</v>
      </c>
      <c r="AZ147" s="76">
        <v>0</v>
      </c>
      <c r="BA147" s="76">
        <v>0</v>
      </c>
      <c r="BB147" s="76">
        <v>0</v>
      </c>
      <c r="BC147" s="76">
        <v>0</v>
      </c>
      <c r="BD147" s="76">
        <v>0</v>
      </c>
      <c r="BE147" s="76">
        <v>22761</v>
      </c>
      <c r="BF147" s="76">
        <v>0</v>
      </c>
      <c r="BG147" s="76">
        <v>193</v>
      </c>
      <c r="BH147" s="76">
        <v>8480</v>
      </c>
      <c r="BI147" s="76">
        <v>0</v>
      </c>
      <c r="BJ147" s="76">
        <v>116</v>
      </c>
      <c r="BK147" s="76">
        <v>8789</v>
      </c>
      <c r="BL147" s="76">
        <v>0</v>
      </c>
      <c r="BM147" s="76">
        <v>0</v>
      </c>
      <c r="BN147" s="76">
        <v>42</v>
      </c>
      <c r="BO147" s="76">
        <v>644</v>
      </c>
      <c r="BP147" s="76">
        <v>686</v>
      </c>
      <c r="BQ147" s="76">
        <v>8103</v>
      </c>
      <c r="BR147" s="76">
        <v>30864</v>
      </c>
      <c r="BS147" s="76">
        <v>0</v>
      </c>
      <c r="BT147" s="76">
        <v>0</v>
      </c>
      <c r="BU147" s="76">
        <v>0</v>
      </c>
      <c r="BV147" s="76">
        <v>3353</v>
      </c>
      <c r="BW147" s="76">
        <v>0</v>
      </c>
      <c r="BX147" s="76">
        <v>0</v>
      </c>
      <c r="BY147" s="76">
        <v>168</v>
      </c>
      <c r="BZ147" s="76">
        <v>3521</v>
      </c>
      <c r="CA147" s="76">
        <v>0</v>
      </c>
      <c r="CB147" s="76">
        <v>1</v>
      </c>
      <c r="CC147" s="76">
        <v>27342</v>
      </c>
      <c r="CD147" s="76">
        <v>27342</v>
      </c>
      <c r="CE147" s="76">
        <v>0</v>
      </c>
      <c r="CF147" s="76">
        <v>0</v>
      </c>
      <c r="CG147" s="76">
        <v>0</v>
      </c>
      <c r="CH147" s="76">
        <v>0</v>
      </c>
      <c r="CI147" s="76">
        <v>27342</v>
      </c>
      <c r="CJ147" s="76">
        <v>0</v>
      </c>
      <c r="CK147" s="76">
        <v>0</v>
      </c>
      <c r="CL147" s="76">
        <v>0</v>
      </c>
      <c r="CM147" s="76">
        <v>0</v>
      </c>
      <c r="CN147" s="76">
        <v>0</v>
      </c>
      <c r="CO147" s="76">
        <v>0</v>
      </c>
      <c r="CP147" s="76">
        <v>0</v>
      </c>
      <c r="CQ147" s="76">
        <v>0</v>
      </c>
      <c r="CR147" s="76">
        <v>0</v>
      </c>
      <c r="CS147" s="76">
        <v>0</v>
      </c>
      <c r="CT147" s="76">
        <v>0</v>
      </c>
      <c r="CU147" s="76">
        <v>0</v>
      </c>
      <c r="CV147" s="76">
        <v>0</v>
      </c>
      <c r="CW147" s="76">
        <v>0</v>
      </c>
      <c r="CX147" s="76">
        <v>0</v>
      </c>
      <c r="CY147" s="76">
        <v>0</v>
      </c>
      <c r="CZ147" s="76">
        <v>0</v>
      </c>
      <c r="DA147" s="76">
        <v>0</v>
      </c>
      <c r="DB147" s="76">
        <v>368</v>
      </c>
      <c r="DC147" s="76">
        <v>-368</v>
      </c>
      <c r="DD147" s="76">
        <v>0</v>
      </c>
      <c r="DE147" s="76">
        <v>0</v>
      </c>
      <c r="DF147" s="76">
        <v>368</v>
      </c>
      <c r="DG147" s="76">
        <v>-368</v>
      </c>
      <c r="DH147" s="76">
        <v>0</v>
      </c>
      <c r="DI147" s="76">
        <v>0</v>
      </c>
      <c r="DJ147" s="76">
        <v>0</v>
      </c>
      <c r="DK147" s="76">
        <v>0</v>
      </c>
      <c r="DL147" s="76">
        <v>0</v>
      </c>
      <c r="DM147" s="76">
        <v>0</v>
      </c>
      <c r="DN147" s="76">
        <v>0</v>
      </c>
      <c r="DO147" s="76">
        <v>0</v>
      </c>
      <c r="DP147" s="76">
        <v>0</v>
      </c>
      <c r="DQ147" s="76">
        <v>0</v>
      </c>
      <c r="DR147" s="76">
        <v>0</v>
      </c>
      <c r="DS147" s="76">
        <v>0</v>
      </c>
      <c r="DT147" s="76">
        <v>0</v>
      </c>
      <c r="DU147" s="76">
        <v>0</v>
      </c>
      <c r="DV147" s="76">
        <v>0</v>
      </c>
      <c r="DW147" s="76">
        <v>0</v>
      </c>
      <c r="DX147" s="76">
        <v>0</v>
      </c>
      <c r="DY147" s="76">
        <v>0</v>
      </c>
      <c r="DZ147" s="76">
        <v>0</v>
      </c>
      <c r="EA147" s="76">
        <v>0</v>
      </c>
      <c r="EB147" s="76">
        <v>67</v>
      </c>
      <c r="EC147" s="76">
        <v>0</v>
      </c>
      <c r="ED147" s="76">
        <v>37</v>
      </c>
      <c r="EE147" s="76">
        <v>30</v>
      </c>
      <c r="EF147" s="76">
        <v>67</v>
      </c>
      <c r="EG147" s="76">
        <v>0</v>
      </c>
      <c r="EH147" s="76">
        <v>37</v>
      </c>
      <c r="EI147" s="76">
        <v>30</v>
      </c>
      <c r="EJ147" s="76">
        <v>67</v>
      </c>
      <c r="EK147" s="76">
        <v>0</v>
      </c>
      <c r="EL147" s="76">
        <v>405</v>
      </c>
      <c r="EM147" s="76">
        <v>-338</v>
      </c>
      <c r="EN147" s="76">
        <v>210</v>
      </c>
      <c r="EO147" s="76">
        <v>103</v>
      </c>
      <c r="EP147" s="76">
        <v>17</v>
      </c>
      <c r="EQ147" s="76">
        <v>103</v>
      </c>
      <c r="ER147" s="76">
        <v>27250</v>
      </c>
      <c r="ES147" s="76">
        <v>0</v>
      </c>
      <c r="ET147" s="76">
        <v>27250</v>
      </c>
      <c r="EU147" s="76">
        <v>583</v>
      </c>
      <c r="EV147" s="76">
        <v>-456</v>
      </c>
      <c r="EW147" s="76">
        <v>0</v>
      </c>
      <c r="EX147" s="76">
        <v>0</v>
      </c>
      <c r="EY147" s="76">
        <v>0</v>
      </c>
      <c r="EZ147" s="76">
        <v>27377</v>
      </c>
      <c r="FA147" s="76">
        <v>5043</v>
      </c>
      <c r="FB147" s="76">
        <v>377</v>
      </c>
      <c r="FC147" s="76">
        <v>0</v>
      </c>
      <c r="FD147" s="76">
        <v>0</v>
      </c>
      <c r="FE147" s="76">
        <v>-158</v>
      </c>
      <c r="FF147" s="76">
        <v>0</v>
      </c>
      <c r="FG147" s="76">
        <v>0</v>
      </c>
      <c r="FH147" s="76">
        <v>5262</v>
      </c>
      <c r="FI147" s="76">
        <v>22115</v>
      </c>
      <c r="FJ147" s="76">
        <v>22207</v>
      </c>
      <c r="FK147" s="76">
        <v>0</v>
      </c>
      <c r="FL147" s="76">
        <v>0</v>
      </c>
      <c r="FM147" s="76">
        <v>0</v>
      </c>
      <c r="FN147" s="76">
        <v>315</v>
      </c>
      <c r="FO147" s="76">
        <v>210</v>
      </c>
      <c r="FP147" s="76">
        <v>105</v>
      </c>
      <c r="FQ147" s="76">
        <v>195</v>
      </c>
      <c r="FR147" s="76">
        <v>175</v>
      </c>
      <c r="FS147" s="76">
        <v>20</v>
      </c>
      <c r="FT147" s="76">
        <v>0</v>
      </c>
      <c r="FU147" s="76">
        <v>0</v>
      </c>
      <c r="FV147" s="76">
        <v>0</v>
      </c>
      <c r="FW147" s="76">
        <v>0</v>
      </c>
      <c r="FX147" s="76">
        <v>0</v>
      </c>
      <c r="FY147" s="76">
        <v>0</v>
      </c>
      <c r="FZ147" s="76">
        <v>0</v>
      </c>
      <c r="GA147" s="76">
        <v>0</v>
      </c>
      <c r="GB147" s="76">
        <v>0</v>
      </c>
      <c r="GC147" s="76">
        <v>510</v>
      </c>
      <c r="GD147" s="76">
        <v>385</v>
      </c>
      <c r="GE147" s="76">
        <v>125</v>
      </c>
      <c r="GF147" s="76">
        <v>1</v>
      </c>
      <c r="GG147" s="76">
        <v>0</v>
      </c>
      <c r="GH147" s="76">
        <v>0</v>
      </c>
      <c r="GI147" s="76">
        <v>0</v>
      </c>
      <c r="GJ147" s="76">
        <v>0</v>
      </c>
      <c r="GK147" s="76">
        <v>115</v>
      </c>
      <c r="GL147" s="76">
        <v>116</v>
      </c>
      <c r="GM147" s="76">
        <v>53</v>
      </c>
      <c r="GN147" s="76">
        <v>108</v>
      </c>
      <c r="GO147" s="76">
        <v>174</v>
      </c>
      <c r="GP147" s="76">
        <v>64</v>
      </c>
      <c r="GQ147" s="76">
        <v>42</v>
      </c>
      <c r="GR147" s="76">
        <v>203</v>
      </c>
      <c r="GS147" s="76">
        <v>0</v>
      </c>
      <c r="GT147" s="76">
        <v>0</v>
      </c>
      <c r="GU147" s="76">
        <v>0</v>
      </c>
      <c r="GV147" s="76">
        <v>0</v>
      </c>
      <c r="GW147" s="76">
        <v>0</v>
      </c>
      <c r="GX147" s="76">
        <v>644</v>
      </c>
      <c r="GY147" s="76">
        <v>46</v>
      </c>
      <c r="GZ147" s="76">
        <v>122</v>
      </c>
      <c r="HA147" s="76">
        <v>0</v>
      </c>
      <c r="HB147" s="76">
        <v>0</v>
      </c>
      <c r="HC147" s="76">
        <v>168</v>
      </c>
      <c r="HD147" s="76">
        <v>0</v>
      </c>
      <c r="HE147" s="76">
        <v>1</v>
      </c>
      <c r="HF147" s="76">
        <v>1</v>
      </c>
      <c r="HG147" s="76">
        <v>0</v>
      </c>
      <c r="HH147" s="76">
        <v>0</v>
      </c>
      <c r="HI147" s="76">
        <v>0</v>
      </c>
      <c r="HJ147" s="76">
        <v>0</v>
      </c>
      <c r="HK147" s="76">
        <v>0</v>
      </c>
      <c r="HL147" s="76">
        <v>0</v>
      </c>
      <c r="HM147" s="76">
        <v>0</v>
      </c>
      <c r="HN147" s="76">
        <v>583</v>
      </c>
      <c r="HO147" s="76">
        <v>429</v>
      </c>
      <c r="HP147" s="76">
        <v>0</v>
      </c>
      <c r="HQ147" s="76">
        <v>0</v>
      </c>
      <c r="HR147" s="76">
        <v>-10</v>
      </c>
      <c r="HS147" s="76">
        <v>0</v>
      </c>
      <c r="HT147" s="76">
        <v>950</v>
      </c>
      <c r="HU147" s="76">
        <v>0</v>
      </c>
      <c r="HV147" s="76">
        <v>0</v>
      </c>
      <c r="HW147" s="76">
        <v>0</v>
      </c>
      <c r="HX147" s="76">
        <v>0</v>
      </c>
    </row>
    <row r="148" spans="1:232" x14ac:dyDescent="0.2">
      <c r="A148" s="71" t="s">
        <v>480</v>
      </c>
      <c r="B148" s="71" t="s">
        <v>481</v>
      </c>
      <c r="C148" s="72" t="s">
        <v>200</v>
      </c>
      <c r="D148" s="72">
        <v>15</v>
      </c>
      <c r="E148" s="73">
        <v>8837</v>
      </c>
      <c r="F148" s="73">
        <v>-495</v>
      </c>
      <c r="G148" s="73">
        <v>-5285</v>
      </c>
      <c r="H148" s="73">
        <v>3057</v>
      </c>
      <c r="I148" s="73">
        <v>0</v>
      </c>
      <c r="J148" s="73">
        <v>0</v>
      </c>
      <c r="K148" s="73">
        <v>0</v>
      </c>
      <c r="L148" s="73">
        <v>0</v>
      </c>
      <c r="M148" s="73">
        <v>3</v>
      </c>
      <c r="N148" s="73">
        <v>-485</v>
      </c>
      <c r="O148" s="73">
        <v>0</v>
      </c>
      <c r="P148" s="73">
        <v>0</v>
      </c>
      <c r="Q148" s="73">
        <v>0</v>
      </c>
      <c r="R148" s="73">
        <v>0</v>
      </c>
      <c r="S148" s="73">
        <v>2575</v>
      </c>
      <c r="T148" s="73">
        <v>0</v>
      </c>
      <c r="U148" s="73">
        <v>2575</v>
      </c>
      <c r="V148" s="73">
        <v>0</v>
      </c>
      <c r="W148" s="73">
        <v>0</v>
      </c>
      <c r="X148" s="73">
        <v>0</v>
      </c>
      <c r="Y148" s="73">
        <v>0</v>
      </c>
      <c r="Z148" s="73">
        <v>2575</v>
      </c>
      <c r="AA148" s="73">
        <v>6955</v>
      </c>
      <c r="AB148" s="73">
        <v>448</v>
      </c>
      <c r="AC148" s="73">
        <v>7403</v>
      </c>
      <c r="AD148" s="73">
        <v>74</v>
      </c>
      <c r="AE148" s="73">
        <v>0</v>
      </c>
      <c r="AF148" s="73">
        <v>0</v>
      </c>
      <c r="AG148" s="73">
        <v>0</v>
      </c>
      <c r="AH148" s="73">
        <v>7477</v>
      </c>
      <c r="AI148" s="73">
        <v>2518</v>
      </c>
      <c r="AJ148" s="73">
        <v>383</v>
      </c>
      <c r="AK148" s="73">
        <v>489</v>
      </c>
      <c r="AL148" s="73">
        <v>561</v>
      </c>
      <c r="AM148" s="73">
        <v>85</v>
      </c>
      <c r="AN148" s="73">
        <v>105</v>
      </c>
      <c r="AO148" s="73">
        <v>1003</v>
      </c>
      <c r="AP148" s="73">
        <v>0</v>
      </c>
      <c r="AQ148" s="73">
        <v>15</v>
      </c>
      <c r="AR148" s="73">
        <v>5159</v>
      </c>
      <c r="AS148" s="73">
        <v>2318</v>
      </c>
      <c r="AT148" s="73">
        <v>88</v>
      </c>
      <c r="AU148" s="73">
        <v>46057</v>
      </c>
      <c r="AV148" s="73">
        <v>0</v>
      </c>
      <c r="AW148" s="73">
        <v>630</v>
      </c>
      <c r="AX148" s="73">
        <v>0</v>
      </c>
      <c r="AY148" s="73">
        <v>0</v>
      </c>
      <c r="AZ148" s="73">
        <v>0</v>
      </c>
      <c r="BA148" s="73">
        <v>0</v>
      </c>
      <c r="BB148" s="73">
        <v>0</v>
      </c>
      <c r="BC148" s="73">
        <v>0</v>
      </c>
      <c r="BD148" s="73">
        <v>10</v>
      </c>
      <c r="BE148" s="73">
        <v>46697</v>
      </c>
      <c r="BF148" s="73">
        <v>233</v>
      </c>
      <c r="BG148" s="73">
        <v>316</v>
      </c>
      <c r="BH148" s="73">
        <v>917</v>
      </c>
      <c r="BI148" s="73">
        <v>0</v>
      </c>
      <c r="BJ148" s="73">
        <v>0</v>
      </c>
      <c r="BK148" s="73">
        <v>1466</v>
      </c>
      <c r="BL148" s="73">
        <v>606</v>
      </c>
      <c r="BM148" s="73">
        <v>0</v>
      </c>
      <c r="BN148" s="73">
        <v>83</v>
      </c>
      <c r="BO148" s="73">
        <v>1010</v>
      </c>
      <c r="BP148" s="73">
        <v>1699</v>
      </c>
      <c r="BQ148" s="73">
        <v>-233</v>
      </c>
      <c r="BR148" s="73">
        <v>46464</v>
      </c>
      <c r="BS148" s="73">
        <v>15194</v>
      </c>
      <c r="BT148" s="73">
        <v>0</v>
      </c>
      <c r="BU148" s="73">
        <v>0</v>
      </c>
      <c r="BV148" s="73">
        <v>6223</v>
      </c>
      <c r="BW148" s="73">
        <v>0</v>
      </c>
      <c r="BX148" s="73">
        <v>0</v>
      </c>
      <c r="BY148" s="73">
        <v>1046</v>
      </c>
      <c r="BZ148" s="73">
        <v>22463</v>
      </c>
      <c r="CA148" s="73">
        <v>0</v>
      </c>
      <c r="CB148" s="73">
        <v>0</v>
      </c>
      <c r="CC148" s="73">
        <v>24001</v>
      </c>
      <c r="CD148" s="73">
        <v>24001</v>
      </c>
      <c r="CE148" s="73">
        <v>0</v>
      </c>
      <c r="CF148" s="73">
        <v>0</v>
      </c>
      <c r="CG148" s="73">
        <v>0</v>
      </c>
      <c r="CH148" s="73">
        <v>0</v>
      </c>
      <c r="CI148" s="73">
        <v>24001</v>
      </c>
      <c r="CJ148" s="73">
        <v>1120</v>
      </c>
      <c r="CK148" s="73">
        <v>495</v>
      </c>
      <c r="CL148" s="73">
        <v>0</v>
      </c>
      <c r="CM148" s="73">
        <v>625</v>
      </c>
      <c r="CN148" s="73">
        <v>7</v>
      </c>
      <c r="CO148" s="73">
        <v>0</v>
      </c>
      <c r="CP148" s="73">
        <v>11</v>
      </c>
      <c r="CQ148" s="73">
        <v>-4</v>
      </c>
      <c r="CR148" s="73">
        <v>0</v>
      </c>
      <c r="CS148" s="73">
        <v>0</v>
      </c>
      <c r="CT148" s="73">
        <v>0</v>
      </c>
      <c r="CU148" s="73">
        <v>0</v>
      </c>
      <c r="CV148" s="73">
        <v>0</v>
      </c>
      <c r="CW148" s="73">
        <v>0</v>
      </c>
      <c r="CX148" s="73">
        <v>0</v>
      </c>
      <c r="CY148" s="73">
        <v>0</v>
      </c>
      <c r="CZ148" s="73">
        <v>135</v>
      </c>
      <c r="DA148" s="73">
        <v>0</v>
      </c>
      <c r="DB148" s="73">
        <v>87</v>
      </c>
      <c r="DC148" s="73">
        <v>48</v>
      </c>
      <c r="DD148" s="73">
        <v>1262</v>
      </c>
      <c r="DE148" s="73">
        <v>495</v>
      </c>
      <c r="DF148" s="73">
        <v>98</v>
      </c>
      <c r="DG148" s="73">
        <v>669</v>
      </c>
      <c r="DH148" s="73">
        <v>0</v>
      </c>
      <c r="DI148" s="73">
        <v>0</v>
      </c>
      <c r="DJ148" s="73">
        <v>0</v>
      </c>
      <c r="DK148" s="73">
        <v>0</v>
      </c>
      <c r="DL148" s="73">
        <v>0</v>
      </c>
      <c r="DM148" s="73">
        <v>0</v>
      </c>
      <c r="DN148" s="73">
        <v>0</v>
      </c>
      <c r="DO148" s="73">
        <v>0</v>
      </c>
      <c r="DP148" s="73">
        <v>0</v>
      </c>
      <c r="DQ148" s="73">
        <v>0</v>
      </c>
      <c r="DR148" s="73">
        <v>0</v>
      </c>
      <c r="DS148" s="73">
        <v>0</v>
      </c>
      <c r="DT148" s="73">
        <v>98</v>
      </c>
      <c r="DU148" s="73">
        <v>0</v>
      </c>
      <c r="DV148" s="73">
        <v>28</v>
      </c>
      <c r="DW148" s="73">
        <v>70</v>
      </c>
      <c r="DX148" s="73">
        <v>0</v>
      </c>
      <c r="DY148" s="73">
        <v>0</v>
      </c>
      <c r="DZ148" s="73">
        <v>0</v>
      </c>
      <c r="EA148" s="73">
        <v>0</v>
      </c>
      <c r="EB148" s="73">
        <v>0</v>
      </c>
      <c r="EC148" s="73">
        <v>0</v>
      </c>
      <c r="ED148" s="73">
        <v>0</v>
      </c>
      <c r="EE148" s="73">
        <v>0</v>
      </c>
      <c r="EF148" s="73">
        <v>98</v>
      </c>
      <c r="EG148" s="73">
        <v>0</v>
      </c>
      <c r="EH148" s="73">
        <v>28</v>
      </c>
      <c r="EI148" s="73">
        <v>70</v>
      </c>
      <c r="EJ148" s="73">
        <v>1360</v>
      </c>
      <c r="EK148" s="73">
        <v>495</v>
      </c>
      <c r="EL148" s="73">
        <v>126</v>
      </c>
      <c r="EM148" s="73">
        <v>739</v>
      </c>
      <c r="EN148" s="73">
        <v>290</v>
      </c>
      <c r="EO148" s="73">
        <v>93</v>
      </c>
      <c r="EP148" s="73">
        <v>115</v>
      </c>
      <c r="EQ148" s="73">
        <v>93</v>
      </c>
      <c r="ER148" s="73">
        <v>43756</v>
      </c>
      <c r="ES148" s="73">
        <v>0</v>
      </c>
      <c r="ET148" s="73">
        <v>43756</v>
      </c>
      <c r="EU148" s="73">
        <v>12625</v>
      </c>
      <c r="EV148" s="73">
        <v>-200</v>
      </c>
      <c r="EW148" s="73">
        <v>0</v>
      </c>
      <c r="EX148" s="73">
        <v>0</v>
      </c>
      <c r="EY148" s="73">
        <v>0</v>
      </c>
      <c r="EZ148" s="73">
        <v>56181</v>
      </c>
      <c r="FA148" s="73">
        <v>9216</v>
      </c>
      <c r="FB148" s="73">
        <v>1027</v>
      </c>
      <c r="FC148" s="73">
        <v>0</v>
      </c>
      <c r="FD148" s="73">
        <v>0</v>
      </c>
      <c r="FE148" s="73">
        <v>-119</v>
      </c>
      <c r="FF148" s="73">
        <v>0</v>
      </c>
      <c r="FG148" s="73">
        <v>0</v>
      </c>
      <c r="FH148" s="73">
        <v>10124</v>
      </c>
      <c r="FI148" s="73">
        <v>46057</v>
      </c>
      <c r="FJ148" s="73">
        <v>34540</v>
      </c>
      <c r="FK148" s="73">
        <v>0</v>
      </c>
      <c r="FL148" s="73">
        <v>0</v>
      </c>
      <c r="FM148" s="73">
        <v>0</v>
      </c>
      <c r="FN148" s="73">
        <v>0</v>
      </c>
      <c r="FO148" s="73">
        <v>0</v>
      </c>
      <c r="FP148" s="73">
        <v>0</v>
      </c>
      <c r="FQ148" s="73">
        <v>0</v>
      </c>
      <c r="FR148" s="73">
        <v>0</v>
      </c>
      <c r="FS148" s="73">
        <v>0</v>
      </c>
      <c r="FT148" s="73">
        <v>0</v>
      </c>
      <c r="FU148" s="73">
        <v>0</v>
      </c>
      <c r="FV148" s="73">
        <v>0</v>
      </c>
      <c r="FW148" s="73">
        <v>0</v>
      </c>
      <c r="FX148" s="73">
        <v>0</v>
      </c>
      <c r="FY148" s="73">
        <v>0</v>
      </c>
      <c r="FZ148" s="73">
        <v>0</v>
      </c>
      <c r="GA148" s="73">
        <v>0</v>
      </c>
      <c r="GB148" s="73">
        <v>0</v>
      </c>
      <c r="GC148" s="73">
        <v>0</v>
      </c>
      <c r="GD148" s="73">
        <v>0</v>
      </c>
      <c r="GE148" s="73">
        <v>0</v>
      </c>
      <c r="GF148" s="73">
        <v>0</v>
      </c>
      <c r="GG148" s="73">
        <v>0</v>
      </c>
      <c r="GH148" s="73">
        <v>0</v>
      </c>
      <c r="GI148" s="73">
        <v>0</v>
      </c>
      <c r="GJ148" s="73">
        <v>0</v>
      </c>
      <c r="GK148" s="73">
        <v>0</v>
      </c>
      <c r="GL148" s="73">
        <v>0</v>
      </c>
      <c r="GM148" s="73">
        <v>126</v>
      </c>
      <c r="GN148" s="73">
        <v>141</v>
      </c>
      <c r="GO148" s="73">
        <v>0</v>
      </c>
      <c r="GP148" s="73">
        <v>0</v>
      </c>
      <c r="GQ148" s="73">
        <v>0</v>
      </c>
      <c r="GR148" s="73">
        <v>479</v>
      </c>
      <c r="GS148" s="73">
        <v>0</v>
      </c>
      <c r="GT148" s="73">
        <v>0</v>
      </c>
      <c r="GU148" s="73">
        <v>153</v>
      </c>
      <c r="GV148" s="73">
        <v>0</v>
      </c>
      <c r="GW148" s="73">
        <v>111</v>
      </c>
      <c r="GX148" s="73">
        <v>1010</v>
      </c>
      <c r="GY148" s="73">
        <v>0</v>
      </c>
      <c r="GZ148" s="73">
        <v>0</v>
      </c>
      <c r="HA148" s="73">
        <v>1046</v>
      </c>
      <c r="HB148" s="73">
        <v>0</v>
      </c>
      <c r="HC148" s="73">
        <v>1046</v>
      </c>
      <c r="HD148" s="73">
        <v>0</v>
      </c>
      <c r="HE148" s="73">
        <v>0</v>
      </c>
      <c r="HF148" s="73">
        <v>0</v>
      </c>
      <c r="HG148" s="73">
        <v>651</v>
      </c>
      <c r="HH148" s="73">
        <v>35</v>
      </c>
      <c r="HI148" s="73">
        <v>33</v>
      </c>
      <c r="HJ148" s="73">
        <v>0</v>
      </c>
      <c r="HK148" s="73">
        <v>0</v>
      </c>
      <c r="HL148" s="73">
        <v>-234</v>
      </c>
      <c r="HM148" s="73">
        <v>485</v>
      </c>
      <c r="HN148" s="73">
        <v>614</v>
      </c>
      <c r="HO148" s="73">
        <v>1027</v>
      </c>
      <c r="HP148" s="73">
        <v>0</v>
      </c>
      <c r="HQ148" s="73">
        <v>120</v>
      </c>
      <c r="HR148" s="73">
        <v>0</v>
      </c>
      <c r="HS148" s="73">
        <v>0</v>
      </c>
      <c r="HT148" s="73">
        <v>1446</v>
      </c>
      <c r="HU148" s="73">
        <v>0</v>
      </c>
      <c r="HV148" s="73">
        <v>0</v>
      </c>
      <c r="HW148" s="73">
        <v>0</v>
      </c>
      <c r="HX148" s="73">
        <v>13</v>
      </c>
    </row>
    <row r="149" spans="1:232" x14ac:dyDescent="0.2">
      <c r="A149" s="71" t="s">
        <v>482</v>
      </c>
      <c r="B149" s="71" t="s">
        <v>100</v>
      </c>
      <c r="C149" s="72" t="s">
        <v>200</v>
      </c>
      <c r="D149" s="72">
        <v>12</v>
      </c>
      <c r="E149" s="73">
        <v>21983</v>
      </c>
      <c r="F149" s="73">
        <v>0</v>
      </c>
      <c r="G149" s="73">
        <v>-14316</v>
      </c>
      <c r="H149" s="73">
        <v>7667</v>
      </c>
      <c r="I149" s="73">
        <v>167</v>
      </c>
      <c r="J149" s="73">
        <v>51</v>
      </c>
      <c r="K149" s="73">
        <v>0</v>
      </c>
      <c r="L149" s="73">
        <v>0</v>
      </c>
      <c r="M149" s="73">
        <v>63</v>
      </c>
      <c r="N149" s="73">
        <v>-2574</v>
      </c>
      <c r="O149" s="73">
        <v>0</v>
      </c>
      <c r="P149" s="73">
        <v>56</v>
      </c>
      <c r="Q149" s="73">
        <v>0</v>
      </c>
      <c r="R149" s="73">
        <v>0</v>
      </c>
      <c r="S149" s="73">
        <v>5430</v>
      </c>
      <c r="T149" s="73">
        <v>0</v>
      </c>
      <c r="U149" s="73">
        <v>5430</v>
      </c>
      <c r="V149" s="73">
        <v>0</v>
      </c>
      <c r="W149" s="73">
        <v>0</v>
      </c>
      <c r="X149" s="73">
        <v>0</v>
      </c>
      <c r="Y149" s="73">
        <v>0</v>
      </c>
      <c r="Z149" s="73">
        <v>5430</v>
      </c>
      <c r="AA149" s="73">
        <v>16109</v>
      </c>
      <c r="AB149" s="73">
        <v>1031</v>
      </c>
      <c r="AC149" s="73">
        <v>17140</v>
      </c>
      <c r="AD149" s="73">
        <v>1856</v>
      </c>
      <c r="AE149" s="73">
        <v>0</v>
      </c>
      <c r="AF149" s="73">
        <v>0</v>
      </c>
      <c r="AG149" s="73">
        <v>521</v>
      </c>
      <c r="AH149" s="73">
        <v>19517</v>
      </c>
      <c r="AI149" s="73">
        <v>3449</v>
      </c>
      <c r="AJ149" s="73">
        <v>854</v>
      </c>
      <c r="AK149" s="73">
        <v>2669</v>
      </c>
      <c r="AL149" s="73">
        <v>713</v>
      </c>
      <c r="AM149" s="73">
        <v>890</v>
      </c>
      <c r="AN149" s="73">
        <v>206</v>
      </c>
      <c r="AO149" s="73">
        <v>3736</v>
      </c>
      <c r="AP149" s="73">
        <v>0</v>
      </c>
      <c r="AQ149" s="73">
        <v>434</v>
      </c>
      <c r="AR149" s="73">
        <v>12951</v>
      </c>
      <c r="AS149" s="73">
        <v>6566</v>
      </c>
      <c r="AT149" s="73">
        <v>138</v>
      </c>
      <c r="AU149" s="73">
        <v>176647</v>
      </c>
      <c r="AV149" s="73">
        <v>0</v>
      </c>
      <c r="AW149" s="73">
        <v>1445</v>
      </c>
      <c r="AX149" s="73">
        <v>0</v>
      </c>
      <c r="AY149" s="73">
        <v>0</v>
      </c>
      <c r="AZ149" s="73">
        <v>5537</v>
      </c>
      <c r="BA149" s="73">
        <v>0</v>
      </c>
      <c r="BB149" s="73">
        <v>0</v>
      </c>
      <c r="BC149" s="73">
        <v>0</v>
      </c>
      <c r="BD149" s="73">
        <v>1498</v>
      </c>
      <c r="BE149" s="73">
        <v>185127</v>
      </c>
      <c r="BF149" s="73">
        <v>0</v>
      </c>
      <c r="BG149" s="73">
        <v>591</v>
      </c>
      <c r="BH149" s="73">
        <v>1009</v>
      </c>
      <c r="BI149" s="73">
        <v>0</v>
      </c>
      <c r="BJ149" s="73">
        <v>11718</v>
      </c>
      <c r="BK149" s="73">
        <v>13318</v>
      </c>
      <c r="BL149" s="73">
        <v>2329</v>
      </c>
      <c r="BM149" s="73">
        <v>0</v>
      </c>
      <c r="BN149" s="73">
        <v>0</v>
      </c>
      <c r="BO149" s="73">
        <v>4180</v>
      </c>
      <c r="BP149" s="73">
        <v>6509</v>
      </c>
      <c r="BQ149" s="73">
        <v>6809</v>
      </c>
      <c r="BR149" s="73">
        <v>191936</v>
      </c>
      <c r="BS149" s="73">
        <v>43955</v>
      </c>
      <c r="BT149" s="73">
        <v>0</v>
      </c>
      <c r="BU149" s="73">
        <v>0</v>
      </c>
      <c r="BV149" s="73">
        <v>92090</v>
      </c>
      <c r="BW149" s="73">
        <v>0</v>
      </c>
      <c r="BX149" s="73">
        <v>0</v>
      </c>
      <c r="BY149" s="73">
        <v>14813</v>
      </c>
      <c r="BZ149" s="73">
        <v>150858</v>
      </c>
      <c r="CA149" s="73">
        <v>3750</v>
      </c>
      <c r="CB149" s="73">
        <v>0</v>
      </c>
      <c r="CC149" s="73">
        <v>37328</v>
      </c>
      <c r="CD149" s="73">
        <v>34706</v>
      </c>
      <c r="CE149" s="73">
        <v>2622</v>
      </c>
      <c r="CF149" s="73">
        <v>0</v>
      </c>
      <c r="CG149" s="73">
        <v>0</v>
      </c>
      <c r="CH149" s="73">
        <v>0</v>
      </c>
      <c r="CI149" s="73">
        <v>37328</v>
      </c>
      <c r="CJ149" s="73">
        <v>833</v>
      </c>
      <c r="CK149" s="73">
        <v>0</v>
      </c>
      <c r="CL149" s="73">
        <v>383</v>
      </c>
      <c r="CM149" s="73">
        <v>450</v>
      </c>
      <c r="CN149" s="73">
        <v>0</v>
      </c>
      <c r="CO149" s="73">
        <v>0</v>
      </c>
      <c r="CP149" s="73">
        <v>0</v>
      </c>
      <c r="CQ149" s="73">
        <v>0</v>
      </c>
      <c r="CR149" s="73">
        <v>10</v>
      </c>
      <c r="CS149" s="73">
        <v>0</v>
      </c>
      <c r="CT149" s="73">
        <v>147</v>
      </c>
      <c r="CU149" s="73">
        <v>-137</v>
      </c>
      <c r="CV149" s="73">
        <v>0</v>
      </c>
      <c r="CW149" s="73">
        <v>0</v>
      </c>
      <c r="CX149" s="73">
        <v>2</v>
      </c>
      <c r="CY149" s="73">
        <v>-2</v>
      </c>
      <c r="CZ149" s="73">
        <v>788</v>
      </c>
      <c r="DA149" s="73">
        <v>0</v>
      </c>
      <c r="DB149" s="73">
        <v>432</v>
      </c>
      <c r="DC149" s="73">
        <v>356</v>
      </c>
      <c r="DD149" s="73">
        <v>1631</v>
      </c>
      <c r="DE149" s="73">
        <v>0</v>
      </c>
      <c r="DF149" s="73">
        <v>964</v>
      </c>
      <c r="DG149" s="73">
        <v>667</v>
      </c>
      <c r="DH149" s="73">
        <v>0</v>
      </c>
      <c r="DI149" s="73">
        <v>0</v>
      </c>
      <c r="DJ149" s="73">
        <v>0</v>
      </c>
      <c r="DK149" s="73">
        <v>0</v>
      </c>
      <c r="DL149" s="73">
        <v>516</v>
      </c>
      <c r="DM149" s="73">
        <v>0</v>
      </c>
      <c r="DN149" s="73">
        <v>257</v>
      </c>
      <c r="DO149" s="73">
        <v>259</v>
      </c>
      <c r="DP149" s="73">
        <v>0</v>
      </c>
      <c r="DQ149" s="73">
        <v>0</v>
      </c>
      <c r="DR149" s="73">
        <v>0</v>
      </c>
      <c r="DS149" s="73">
        <v>0</v>
      </c>
      <c r="DT149" s="73">
        <v>236</v>
      </c>
      <c r="DU149" s="73">
        <v>0</v>
      </c>
      <c r="DV149" s="73">
        <v>85</v>
      </c>
      <c r="DW149" s="73">
        <v>151</v>
      </c>
      <c r="DX149" s="73">
        <v>0</v>
      </c>
      <c r="DY149" s="73">
        <v>0</v>
      </c>
      <c r="DZ149" s="73">
        <v>0</v>
      </c>
      <c r="EA149" s="73">
        <v>0</v>
      </c>
      <c r="EB149" s="73">
        <v>83</v>
      </c>
      <c r="EC149" s="73">
        <v>0</v>
      </c>
      <c r="ED149" s="73">
        <v>59</v>
      </c>
      <c r="EE149" s="73">
        <v>24</v>
      </c>
      <c r="EF149" s="73">
        <v>835</v>
      </c>
      <c r="EG149" s="73">
        <v>0</v>
      </c>
      <c r="EH149" s="73">
        <v>401</v>
      </c>
      <c r="EI149" s="73">
        <v>434</v>
      </c>
      <c r="EJ149" s="73">
        <v>2466</v>
      </c>
      <c r="EK149" s="73">
        <v>0</v>
      </c>
      <c r="EL149" s="73">
        <v>1365</v>
      </c>
      <c r="EM149" s="73">
        <v>1101</v>
      </c>
      <c r="EN149" s="73">
        <v>786</v>
      </c>
      <c r="EO149" s="73">
        <v>566</v>
      </c>
      <c r="EP149" s="73">
        <v>290</v>
      </c>
      <c r="EQ149" s="73">
        <v>566</v>
      </c>
      <c r="ER149" s="73">
        <v>203999</v>
      </c>
      <c r="ES149" s="73">
        <v>0</v>
      </c>
      <c r="ET149" s="73">
        <v>203999</v>
      </c>
      <c r="EU149" s="73">
        <v>6547</v>
      </c>
      <c r="EV149" s="73">
        <v>-490</v>
      </c>
      <c r="EW149" s="73">
        <v>0</v>
      </c>
      <c r="EX149" s="73">
        <v>0</v>
      </c>
      <c r="EY149" s="73">
        <v>0</v>
      </c>
      <c r="EZ149" s="73">
        <v>210056</v>
      </c>
      <c r="FA149" s="73">
        <v>29819</v>
      </c>
      <c r="FB149" s="73">
        <v>3799</v>
      </c>
      <c r="FC149" s="73">
        <v>0</v>
      </c>
      <c r="FD149" s="73">
        <v>0</v>
      </c>
      <c r="FE149" s="73">
        <v>-209</v>
      </c>
      <c r="FF149" s="73">
        <v>0</v>
      </c>
      <c r="FG149" s="73">
        <v>0</v>
      </c>
      <c r="FH149" s="73">
        <v>33409</v>
      </c>
      <c r="FI149" s="73">
        <v>176647</v>
      </c>
      <c r="FJ149" s="73">
        <v>174180</v>
      </c>
      <c r="FK149" s="73">
        <v>278</v>
      </c>
      <c r="FL149" s="73">
        <v>122</v>
      </c>
      <c r="FM149" s="73">
        <v>156</v>
      </c>
      <c r="FN149" s="73">
        <v>0</v>
      </c>
      <c r="FO149" s="73">
        <v>0</v>
      </c>
      <c r="FP149" s="73">
        <v>0</v>
      </c>
      <c r="FQ149" s="73">
        <v>90</v>
      </c>
      <c r="FR149" s="73">
        <v>81</v>
      </c>
      <c r="FS149" s="73">
        <v>9</v>
      </c>
      <c r="FT149" s="73">
        <v>3</v>
      </c>
      <c r="FU149" s="73">
        <v>1</v>
      </c>
      <c r="FV149" s="73">
        <v>2</v>
      </c>
      <c r="FW149" s="73">
        <v>0</v>
      </c>
      <c r="FX149" s="73">
        <v>0</v>
      </c>
      <c r="FY149" s="73">
        <v>0</v>
      </c>
      <c r="FZ149" s="73">
        <v>0</v>
      </c>
      <c r="GA149" s="73">
        <v>0</v>
      </c>
      <c r="GB149" s="73">
        <v>0</v>
      </c>
      <c r="GC149" s="73">
        <v>371</v>
      </c>
      <c r="GD149" s="73">
        <v>204</v>
      </c>
      <c r="GE149" s="73">
        <v>167</v>
      </c>
      <c r="GF149" s="73">
        <v>53</v>
      </c>
      <c r="GG149" s="73">
        <v>0</v>
      </c>
      <c r="GH149" s="73">
        <v>0</v>
      </c>
      <c r="GI149" s="73">
        <v>0</v>
      </c>
      <c r="GJ149" s="73">
        <v>0</v>
      </c>
      <c r="GK149" s="73">
        <v>11665</v>
      </c>
      <c r="GL149" s="73">
        <v>11718</v>
      </c>
      <c r="GM149" s="73">
        <v>595</v>
      </c>
      <c r="GN149" s="73">
        <v>444</v>
      </c>
      <c r="GO149" s="73">
        <v>208</v>
      </c>
      <c r="GP149" s="73">
        <v>0</v>
      </c>
      <c r="GQ149" s="73">
        <v>0</v>
      </c>
      <c r="GR149" s="73">
        <v>1237</v>
      </c>
      <c r="GS149" s="73">
        <v>0</v>
      </c>
      <c r="GT149" s="73">
        <v>0</v>
      </c>
      <c r="GU149" s="73">
        <v>0</v>
      </c>
      <c r="GV149" s="73">
        <v>0</v>
      </c>
      <c r="GW149" s="73">
        <v>1696</v>
      </c>
      <c r="GX149" s="73">
        <v>4180</v>
      </c>
      <c r="GY149" s="73">
        <v>173</v>
      </c>
      <c r="GZ149" s="73">
        <v>117</v>
      </c>
      <c r="HA149" s="73">
        <v>0</v>
      </c>
      <c r="HB149" s="73">
        <v>14523</v>
      </c>
      <c r="HC149" s="73">
        <v>14813</v>
      </c>
      <c r="HD149" s="73">
        <v>0</v>
      </c>
      <c r="HE149" s="73">
        <v>0</v>
      </c>
      <c r="HF149" s="73">
        <v>0</v>
      </c>
      <c r="HG149" s="73">
        <v>2268</v>
      </c>
      <c r="HH149" s="73">
        <v>72</v>
      </c>
      <c r="HI149" s="73">
        <v>234</v>
      </c>
      <c r="HJ149" s="73">
        <v>0</v>
      </c>
      <c r="HK149" s="73">
        <v>0</v>
      </c>
      <c r="HL149" s="73">
        <v>0</v>
      </c>
      <c r="HM149" s="73">
        <v>2574</v>
      </c>
      <c r="HN149" s="73">
        <v>2079</v>
      </c>
      <c r="HO149" s="73">
        <v>4167</v>
      </c>
      <c r="HP149" s="73">
        <v>0</v>
      </c>
      <c r="HQ149" s="73">
        <v>30</v>
      </c>
      <c r="HR149" s="73">
        <v>-5</v>
      </c>
      <c r="HS149" s="73">
        <v>-8</v>
      </c>
      <c r="HT149" s="73">
        <v>3663</v>
      </c>
      <c r="HU149" s="73">
        <v>0</v>
      </c>
      <c r="HV149" s="73">
        <v>0</v>
      </c>
      <c r="HW149" s="73">
        <v>0</v>
      </c>
      <c r="HX149" s="73">
        <v>85</v>
      </c>
    </row>
    <row r="150" spans="1:232" x14ac:dyDescent="0.2">
      <c r="A150" s="74" t="s">
        <v>483</v>
      </c>
      <c r="B150" s="74" t="s">
        <v>484</v>
      </c>
      <c r="C150" s="75" t="s">
        <v>200</v>
      </c>
      <c r="D150" s="75">
        <v>12</v>
      </c>
      <c r="E150" s="76">
        <v>42183</v>
      </c>
      <c r="F150" s="76">
        <v>-235</v>
      </c>
      <c r="G150" s="76">
        <v>-30321</v>
      </c>
      <c r="H150" s="76">
        <v>11627</v>
      </c>
      <c r="I150" s="76">
        <v>691</v>
      </c>
      <c r="J150" s="76">
        <v>0</v>
      </c>
      <c r="K150" s="76">
        <v>0</v>
      </c>
      <c r="L150" s="76">
        <v>0</v>
      </c>
      <c r="M150" s="76">
        <v>50</v>
      </c>
      <c r="N150" s="76">
        <v>-10174</v>
      </c>
      <c r="O150" s="76">
        <v>748</v>
      </c>
      <c r="P150" s="76">
        <v>5</v>
      </c>
      <c r="Q150" s="76">
        <v>0</v>
      </c>
      <c r="R150" s="76">
        <v>0</v>
      </c>
      <c r="S150" s="76">
        <v>2947</v>
      </c>
      <c r="T150" s="76">
        <v>-49</v>
      </c>
      <c r="U150" s="76">
        <v>2898</v>
      </c>
      <c r="V150" s="76">
        <v>0</v>
      </c>
      <c r="W150" s="76">
        <v>0</v>
      </c>
      <c r="X150" s="76">
        <v>3321</v>
      </c>
      <c r="Y150" s="76">
        <v>0</v>
      </c>
      <c r="Z150" s="76">
        <v>6219</v>
      </c>
      <c r="AA150" s="76">
        <v>32574</v>
      </c>
      <c r="AB150" s="76">
        <v>3198</v>
      </c>
      <c r="AC150" s="76">
        <v>35772</v>
      </c>
      <c r="AD150" s="76">
        <v>2020</v>
      </c>
      <c r="AE150" s="76">
        <v>0</v>
      </c>
      <c r="AF150" s="76">
        <v>0</v>
      </c>
      <c r="AG150" s="76">
        <v>0</v>
      </c>
      <c r="AH150" s="76">
        <v>37792</v>
      </c>
      <c r="AI150" s="76">
        <v>8171</v>
      </c>
      <c r="AJ150" s="76">
        <v>3313</v>
      </c>
      <c r="AK150" s="76">
        <v>4823</v>
      </c>
      <c r="AL150" s="76">
        <v>1462</v>
      </c>
      <c r="AM150" s="76">
        <v>218</v>
      </c>
      <c r="AN150" s="76">
        <v>616</v>
      </c>
      <c r="AO150" s="76">
        <v>9483</v>
      </c>
      <c r="AP150" s="76">
        <v>0</v>
      </c>
      <c r="AQ150" s="76">
        <v>0</v>
      </c>
      <c r="AR150" s="76">
        <v>28086</v>
      </c>
      <c r="AS150" s="76">
        <v>9706</v>
      </c>
      <c r="AT150" s="76">
        <v>530</v>
      </c>
      <c r="AU150" s="76">
        <v>383834</v>
      </c>
      <c r="AV150" s="76">
        <v>0</v>
      </c>
      <c r="AW150" s="76">
        <v>4359</v>
      </c>
      <c r="AX150" s="76">
        <v>0</v>
      </c>
      <c r="AY150" s="76">
        <v>0</v>
      </c>
      <c r="AZ150" s="76">
        <v>7774</v>
      </c>
      <c r="BA150" s="76">
        <v>0</v>
      </c>
      <c r="BB150" s="76">
        <v>0</v>
      </c>
      <c r="BC150" s="76">
        <v>0</v>
      </c>
      <c r="BD150" s="76">
        <v>558</v>
      </c>
      <c r="BE150" s="76">
        <v>396525</v>
      </c>
      <c r="BF150" s="76">
        <v>11239</v>
      </c>
      <c r="BG150" s="76">
        <v>1035</v>
      </c>
      <c r="BH150" s="76">
        <v>17114</v>
      </c>
      <c r="BI150" s="76">
        <v>2195</v>
      </c>
      <c r="BJ150" s="76">
        <v>339</v>
      </c>
      <c r="BK150" s="76">
        <v>31922</v>
      </c>
      <c r="BL150" s="76">
        <v>3226</v>
      </c>
      <c r="BM150" s="76">
        <v>0</v>
      </c>
      <c r="BN150" s="76">
        <v>2023</v>
      </c>
      <c r="BO150" s="76">
        <v>9922</v>
      </c>
      <c r="BP150" s="76">
        <v>15171</v>
      </c>
      <c r="BQ150" s="76">
        <v>16751</v>
      </c>
      <c r="BR150" s="76">
        <v>413276</v>
      </c>
      <c r="BS150" s="76">
        <v>198591</v>
      </c>
      <c r="BT150" s="76">
        <v>0</v>
      </c>
      <c r="BU150" s="76">
        <v>0</v>
      </c>
      <c r="BV150" s="76">
        <v>168867</v>
      </c>
      <c r="BW150" s="76">
        <v>0</v>
      </c>
      <c r="BX150" s="76">
        <v>41225</v>
      </c>
      <c r="BY150" s="76">
        <v>8269</v>
      </c>
      <c r="BZ150" s="76">
        <v>416952</v>
      </c>
      <c r="CA150" s="76">
        <v>0</v>
      </c>
      <c r="CB150" s="76">
        <v>0</v>
      </c>
      <c r="CC150" s="76">
        <v>-3676</v>
      </c>
      <c r="CD150" s="76">
        <v>9723</v>
      </c>
      <c r="CE150" s="76">
        <v>0</v>
      </c>
      <c r="CF150" s="76">
        <v>0</v>
      </c>
      <c r="CG150" s="76">
        <v>-13399</v>
      </c>
      <c r="CH150" s="76">
        <v>0</v>
      </c>
      <c r="CI150" s="76">
        <v>-3676</v>
      </c>
      <c r="CJ150" s="76">
        <v>278</v>
      </c>
      <c r="CK150" s="76">
        <v>235</v>
      </c>
      <c r="CL150" s="76">
        <v>0</v>
      </c>
      <c r="CM150" s="76">
        <v>43</v>
      </c>
      <c r="CN150" s="76">
        <v>0</v>
      </c>
      <c r="CO150" s="76">
        <v>0</v>
      </c>
      <c r="CP150" s="76">
        <v>0</v>
      </c>
      <c r="CQ150" s="76">
        <v>0</v>
      </c>
      <c r="CR150" s="76">
        <v>0</v>
      </c>
      <c r="CS150" s="76">
        <v>0</v>
      </c>
      <c r="CT150" s="76">
        <v>17</v>
      </c>
      <c r="CU150" s="76">
        <v>-17</v>
      </c>
      <c r="CV150" s="76">
        <v>0</v>
      </c>
      <c r="CW150" s="76">
        <v>0</v>
      </c>
      <c r="CX150" s="76">
        <v>0</v>
      </c>
      <c r="CY150" s="76">
        <v>0</v>
      </c>
      <c r="CZ150" s="76">
        <v>1535</v>
      </c>
      <c r="DA150" s="76">
        <v>0</v>
      </c>
      <c r="DB150" s="76">
        <v>1028</v>
      </c>
      <c r="DC150" s="76">
        <v>507</v>
      </c>
      <c r="DD150" s="76">
        <v>1813</v>
      </c>
      <c r="DE150" s="76">
        <v>235</v>
      </c>
      <c r="DF150" s="76">
        <v>1045</v>
      </c>
      <c r="DG150" s="76">
        <v>533</v>
      </c>
      <c r="DH150" s="76">
        <v>0</v>
      </c>
      <c r="DI150" s="76">
        <v>0</v>
      </c>
      <c r="DJ150" s="76">
        <v>0</v>
      </c>
      <c r="DK150" s="76">
        <v>0</v>
      </c>
      <c r="DL150" s="76">
        <v>0</v>
      </c>
      <c r="DM150" s="76">
        <v>0</v>
      </c>
      <c r="DN150" s="76">
        <v>0</v>
      </c>
      <c r="DO150" s="76">
        <v>0</v>
      </c>
      <c r="DP150" s="76">
        <v>0</v>
      </c>
      <c r="DQ150" s="76">
        <v>0</v>
      </c>
      <c r="DR150" s="76">
        <v>0</v>
      </c>
      <c r="DS150" s="76">
        <v>0</v>
      </c>
      <c r="DT150" s="76">
        <v>1223</v>
      </c>
      <c r="DU150" s="76">
        <v>0</v>
      </c>
      <c r="DV150" s="76">
        <v>590</v>
      </c>
      <c r="DW150" s="76">
        <v>633</v>
      </c>
      <c r="DX150" s="76">
        <v>0</v>
      </c>
      <c r="DY150" s="76">
        <v>0</v>
      </c>
      <c r="DZ150" s="76">
        <v>0</v>
      </c>
      <c r="EA150" s="76">
        <v>0</v>
      </c>
      <c r="EB150" s="76">
        <v>1355</v>
      </c>
      <c r="EC150" s="76">
        <v>0</v>
      </c>
      <c r="ED150" s="76">
        <v>600</v>
      </c>
      <c r="EE150" s="76">
        <v>755</v>
      </c>
      <c r="EF150" s="76">
        <v>2578</v>
      </c>
      <c r="EG150" s="76">
        <v>0</v>
      </c>
      <c r="EH150" s="76">
        <v>1190</v>
      </c>
      <c r="EI150" s="76">
        <v>1388</v>
      </c>
      <c r="EJ150" s="76">
        <v>4391</v>
      </c>
      <c r="EK150" s="76">
        <v>235</v>
      </c>
      <c r="EL150" s="76">
        <v>2235</v>
      </c>
      <c r="EM150" s="76">
        <v>1921</v>
      </c>
      <c r="EN150" s="76">
        <v>1171</v>
      </c>
      <c r="EO150" s="76">
        <v>1040</v>
      </c>
      <c r="EP150" s="76">
        <v>136</v>
      </c>
      <c r="EQ150" s="76">
        <v>1040</v>
      </c>
      <c r="ER150" s="76">
        <v>432811</v>
      </c>
      <c r="ES150" s="76">
        <v>0</v>
      </c>
      <c r="ET150" s="76">
        <v>432811</v>
      </c>
      <c r="EU150" s="76">
        <v>5249</v>
      </c>
      <c r="EV150" s="76">
        <v>-2030</v>
      </c>
      <c r="EW150" s="76">
        <v>0</v>
      </c>
      <c r="EX150" s="76">
        <v>0</v>
      </c>
      <c r="EY150" s="76">
        <v>-13868</v>
      </c>
      <c r="EZ150" s="76">
        <v>422162</v>
      </c>
      <c r="FA150" s="76">
        <v>31749</v>
      </c>
      <c r="FB150" s="76">
        <v>8339</v>
      </c>
      <c r="FC150" s="76">
        <v>0</v>
      </c>
      <c r="FD150" s="76">
        <v>0</v>
      </c>
      <c r="FE150" s="76">
        <v>-308</v>
      </c>
      <c r="FF150" s="76">
        <v>0</v>
      </c>
      <c r="FG150" s="76">
        <v>-1452</v>
      </c>
      <c r="FH150" s="76">
        <v>38328</v>
      </c>
      <c r="FI150" s="76">
        <v>383834</v>
      </c>
      <c r="FJ150" s="76">
        <v>401062</v>
      </c>
      <c r="FK150" s="76">
        <v>429</v>
      </c>
      <c r="FL150" s="76">
        <v>422</v>
      </c>
      <c r="FM150" s="76">
        <v>7</v>
      </c>
      <c r="FN150" s="76">
        <v>0</v>
      </c>
      <c r="FO150" s="76">
        <v>0</v>
      </c>
      <c r="FP150" s="76">
        <v>0</v>
      </c>
      <c r="FQ150" s="76">
        <v>0</v>
      </c>
      <c r="FR150" s="76">
        <v>0</v>
      </c>
      <c r="FS150" s="76">
        <v>0</v>
      </c>
      <c r="FT150" s="76">
        <v>2172</v>
      </c>
      <c r="FU150" s="76">
        <v>1488</v>
      </c>
      <c r="FV150" s="76">
        <v>684</v>
      </c>
      <c r="FW150" s="76">
        <v>0</v>
      </c>
      <c r="FX150" s="76">
        <v>0</v>
      </c>
      <c r="FY150" s="76">
        <v>0</v>
      </c>
      <c r="FZ150" s="76">
        <v>0</v>
      </c>
      <c r="GA150" s="76">
        <v>0</v>
      </c>
      <c r="GB150" s="76">
        <v>0</v>
      </c>
      <c r="GC150" s="76">
        <v>2601</v>
      </c>
      <c r="GD150" s="76">
        <v>1910</v>
      </c>
      <c r="GE150" s="76">
        <v>691</v>
      </c>
      <c r="GF150" s="76">
        <v>40</v>
      </c>
      <c r="GG150" s="76">
        <v>0</v>
      </c>
      <c r="GH150" s="76">
        <v>0</v>
      </c>
      <c r="GI150" s="76">
        <v>0</v>
      </c>
      <c r="GJ150" s="76">
        <v>0</v>
      </c>
      <c r="GK150" s="76">
        <v>299</v>
      </c>
      <c r="GL150" s="76">
        <v>339</v>
      </c>
      <c r="GM150" s="76">
        <v>1581</v>
      </c>
      <c r="GN150" s="76">
        <v>0</v>
      </c>
      <c r="GO150" s="76">
        <v>162</v>
      </c>
      <c r="GP150" s="76">
        <v>106</v>
      </c>
      <c r="GQ150" s="76">
        <v>0</v>
      </c>
      <c r="GR150" s="76">
        <v>6789</v>
      </c>
      <c r="GS150" s="76">
        <v>0</v>
      </c>
      <c r="GT150" s="76">
        <v>0</v>
      </c>
      <c r="GU150" s="76">
        <v>976</v>
      </c>
      <c r="GV150" s="76">
        <v>0</v>
      </c>
      <c r="GW150" s="76">
        <v>308</v>
      </c>
      <c r="GX150" s="76">
        <v>9922</v>
      </c>
      <c r="GY150" s="76">
        <v>1552</v>
      </c>
      <c r="GZ150" s="76">
        <v>223</v>
      </c>
      <c r="HA150" s="76">
        <v>6417</v>
      </c>
      <c r="HB150" s="76">
        <v>77</v>
      </c>
      <c r="HC150" s="76">
        <v>8269</v>
      </c>
      <c r="HD150" s="76">
        <v>0</v>
      </c>
      <c r="HE150" s="76">
        <v>0</v>
      </c>
      <c r="HF150" s="76">
        <v>0</v>
      </c>
      <c r="HG150" s="76">
        <v>9752</v>
      </c>
      <c r="HH150" s="76">
        <v>15</v>
      </c>
      <c r="HI150" s="76">
        <v>404</v>
      </c>
      <c r="HJ150" s="76">
        <v>3</v>
      </c>
      <c r="HK150" s="76">
        <v>0</v>
      </c>
      <c r="HL150" s="76">
        <v>0</v>
      </c>
      <c r="HM150" s="76">
        <v>10174</v>
      </c>
      <c r="HN150" s="76">
        <v>6483</v>
      </c>
      <c r="HO150" s="76">
        <v>10016</v>
      </c>
      <c r="HP150" s="76">
        <v>-152</v>
      </c>
      <c r="HQ150" s="76">
        <v>0</v>
      </c>
      <c r="HR150" s="76">
        <v>-72</v>
      </c>
      <c r="HS150" s="76">
        <v>204</v>
      </c>
      <c r="HT150" s="76">
        <v>7268</v>
      </c>
      <c r="HU150" s="76">
        <v>4</v>
      </c>
      <c r="HV150" s="76">
        <v>0</v>
      </c>
      <c r="HW150" s="76">
        <v>0</v>
      </c>
      <c r="HX150" s="76">
        <v>349</v>
      </c>
    </row>
    <row r="151" spans="1:232" x14ac:dyDescent="0.2">
      <c r="A151" s="71" t="s">
        <v>485</v>
      </c>
      <c r="B151" s="71" t="s">
        <v>486</v>
      </c>
      <c r="C151" s="72" t="s">
        <v>200</v>
      </c>
      <c r="D151" s="72">
        <v>12</v>
      </c>
      <c r="E151" s="73">
        <v>63139</v>
      </c>
      <c r="F151" s="73">
        <v>-18</v>
      </c>
      <c r="G151" s="73">
        <v>-51804</v>
      </c>
      <c r="H151" s="73">
        <v>11317</v>
      </c>
      <c r="I151" s="73">
        <v>127</v>
      </c>
      <c r="J151" s="73">
        <v>0</v>
      </c>
      <c r="K151" s="73">
        <v>-100</v>
      </c>
      <c r="L151" s="73">
        <v>0</v>
      </c>
      <c r="M151" s="73">
        <v>213</v>
      </c>
      <c r="N151" s="73">
        <v>-4515</v>
      </c>
      <c r="O151" s="73">
        <v>0</v>
      </c>
      <c r="P151" s="73">
        <v>0</v>
      </c>
      <c r="Q151" s="73">
        <v>0</v>
      </c>
      <c r="R151" s="73">
        <v>0</v>
      </c>
      <c r="S151" s="73">
        <v>7042</v>
      </c>
      <c r="T151" s="73">
        <v>0</v>
      </c>
      <c r="U151" s="73">
        <v>7042</v>
      </c>
      <c r="V151" s="73">
        <v>0</v>
      </c>
      <c r="W151" s="73">
        <v>-11</v>
      </c>
      <c r="X151" s="73">
        <v>0</v>
      </c>
      <c r="Y151" s="73">
        <v>0</v>
      </c>
      <c r="Z151" s="73">
        <v>7031</v>
      </c>
      <c r="AA151" s="73">
        <v>50046</v>
      </c>
      <c r="AB151" s="73">
        <v>5784</v>
      </c>
      <c r="AC151" s="73">
        <v>55830</v>
      </c>
      <c r="AD151" s="73">
        <v>3094</v>
      </c>
      <c r="AE151" s="73">
        <v>0</v>
      </c>
      <c r="AF151" s="73">
        <v>312</v>
      </c>
      <c r="AG151" s="73">
        <v>139</v>
      </c>
      <c r="AH151" s="73">
        <v>59375</v>
      </c>
      <c r="AI151" s="73">
        <v>12640</v>
      </c>
      <c r="AJ151" s="73">
        <v>5097</v>
      </c>
      <c r="AK151" s="73">
        <v>8925</v>
      </c>
      <c r="AL151" s="73">
        <v>8498</v>
      </c>
      <c r="AM151" s="73">
        <v>890</v>
      </c>
      <c r="AN151" s="73">
        <v>505</v>
      </c>
      <c r="AO151" s="73">
        <v>11342</v>
      </c>
      <c r="AP151" s="73">
        <v>106</v>
      </c>
      <c r="AQ151" s="73">
        <v>474</v>
      </c>
      <c r="AR151" s="73">
        <v>48477</v>
      </c>
      <c r="AS151" s="73">
        <v>10898</v>
      </c>
      <c r="AT151" s="73">
        <v>1203</v>
      </c>
      <c r="AU151" s="73">
        <v>441102</v>
      </c>
      <c r="AV151" s="73">
        <v>0</v>
      </c>
      <c r="AW151" s="73">
        <v>6665</v>
      </c>
      <c r="AX151" s="73">
        <v>181</v>
      </c>
      <c r="AY151" s="73">
        <v>0</v>
      </c>
      <c r="AZ151" s="73">
        <v>7279</v>
      </c>
      <c r="BA151" s="73">
        <v>0</v>
      </c>
      <c r="BB151" s="73">
        <v>0</v>
      </c>
      <c r="BC151" s="73">
        <v>0</v>
      </c>
      <c r="BD151" s="73">
        <v>0</v>
      </c>
      <c r="BE151" s="73">
        <v>455227</v>
      </c>
      <c r="BF151" s="73">
        <v>850</v>
      </c>
      <c r="BG151" s="73">
        <v>4121</v>
      </c>
      <c r="BH151" s="73">
        <v>5200</v>
      </c>
      <c r="BI151" s="73">
        <v>22801</v>
      </c>
      <c r="BJ151" s="73">
        <v>1825</v>
      </c>
      <c r="BK151" s="73">
        <v>34797</v>
      </c>
      <c r="BL151" s="73">
        <v>10208</v>
      </c>
      <c r="BM151" s="73">
        <v>0</v>
      </c>
      <c r="BN151" s="73">
        <v>3256</v>
      </c>
      <c r="BO151" s="73">
        <v>10935</v>
      </c>
      <c r="BP151" s="73">
        <v>24399</v>
      </c>
      <c r="BQ151" s="73">
        <v>10398</v>
      </c>
      <c r="BR151" s="73">
        <v>465625</v>
      </c>
      <c r="BS151" s="73">
        <v>137761</v>
      </c>
      <c r="BT151" s="73">
        <v>714</v>
      </c>
      <c r="BU151" s="73">
        <v>0</v>
      </c>
      <c r="BV151" s="73">
        <v>166099</v>
      </c>
      <c r="BW151" s="73">
        <v>0</v>
      </c>
      <c r="BX151" s="73">
        <v>0</v>
      </c>
      <c r="BY151" s="73">
        <v>13390</v>
      </c>
      <c r="BZ151" s="73">
        <v>317964</v>
      </c>
      <c r="CA151" s="73">
        <v>201</v>
      </c>
      <c r="CB151" s="73">
        <v>221</v>
      </c>
      <c r="CC151" s="73">
        <v>147239</v>
      </c>
      <c r="CD151" s="73">
        <v>147239</v>
      </c>
      <c r="CE151" s="73">
        <v>0</v>
      </c>
      <c r="CF151" s="73">
        <v>0</v>
      </c>
      <c r="CG151" s="73">
        <v>0</v>
      </c>
      <c r="CH151" s="73">
        <v>0</v>
      </c>
      <c r="CI151" s="73">
        <v>147239</v>
      </c>
      <c r="CJ151" s="73">
        <v>55</v>
      </c>
      <c r="CK151" s="73">
        <v>44</v>
      </c>
      <c r="CL151" s="73">
        <v>0</v>
      </c>
      <c r="CM151" s="73">
        <v>11</v>
      </c>
      <c r="CN151" s="73">
        <v>0</v>
      </c>
      <c r="CO151" s="73">
        <v>0</v>
      </c>
      <c r="CP151" s="73">
        <v>0</v>
      </c>
      <c r="CQ151" s="73">
        <v>0</v>
      </c>
      <c r="CR151" s="73">
        <v>241</v>
      </c>
      <c r="CS151" s="73">
        <v>0</v>
      </c>
      <c r="CT151" s="73">
        <v>508</v>
      </c>
      <c r="CU151" s="73">
        <v>-267</v>
      </c>
      <c r="CV151" s="73">
        <v>226</v>
      </c>
      <c r="CW151" s="73">
        <v>0</v>
      </c>
      <c r="CX151" s="73">
        <v>1881</v>
      </c>
      <c r="CY151" s="73">
        <v>-1655</v>
      </c>
      <c r="CZ151" s="73">
        <v>1857</v>
      </c>
      <c r="DA151" s="73">
        <v>0</v>
      </c>
      <c r="DB151" s="73">
        <v>79</v>
      </c>
      <c r="DC151" s="73">
        <v>1778</v>
      </c>
      <c r="DD151" s="73">
        <v>2379</v>
      </c>
      <c r="DE151" s="73">
        <v>44</v>
      </c>
      <c r="DF151" s="73">
        <v>2468</v>
      </c>
      <c r="DG151" s="73">
        <v>-133</v>
      </c>
      <c r="DH151" s="73">
        <v>-26</v>
      </c>
      <c r="DI151" s="73">
        <v>-26</v>
      </c>
      <c r="DJ151" s="73">
        <v>0</v>
      </c>
      <c r="DK151" s="73">
        <v>0</v>
      </c>
      <c r="DL151" s="73">
        <v>0</v>
      </c>
      <c r="DM151" s="73">
        <v>0</v>
      </c>
      <c r="DN151" s="73">
        <v>0</v>
      </c>
      <c r="DO151" s="73">
        <v>0</v>
      </c>
      <c r="DP151" s="73">
        <v>0</v>
      </c>
      <c r="DQ151" s="73">
        <v>0</v>
      </c>
      <c r="DR151" s="73">
        <v>0</v>
      </c>
      <c r="DS151" s="73">
        <v>0</v>
      </c>
      <c r="DT151" s="73">
        <v>438</v>
      </c>
      <c r="DU151" s="73">
        <v>0</v>
      </c>
      <c r="DV151" s="73">
        <v>256</v>
      </c>
      <c r="DW151" s="73">
        <v>182</v>
      </c>
      <c r="DX151" s="73">
        <v>0</v>
      </c>
      <c r="DY151" s="73">
        <v>0</v>
      </c>
      <c r="DZ151" s="73">
        <v>0</v>
      </c>
      <c r="EA151" s="73">
        <v>0</v>
      </c>
      <c r="EB151" s="73">
        <v>973</v>
      </c>
      <c r="EC151" s="73">
        <v>0</v>
      </c>
      <c r="ED151" s="73">
        <v>603</v>
      </c>
      <c r="EE151" s="73">
        <v>370</v>
      </c>
      <c r="EF151" s="73">
        <v>1385</v>
      </c>
      <c r="EG151" s="73">
        <v>-26</v>
      </c>
      <c r="EH151" s="73">
        <v>859</v>
      </c>
      <c r="EI151" s="73">
        <v>552</v>
      </c>
      <c r="EJ151" s="73">
        <v>3764</v>
      </c>
      <c r="EK151" s="73">
        <v>18</v>
      </c>
      <c r="EL151" s="73">
        <v>3327</v>
      </c>
      <c r="EM151" s="73">
        <v>419</v>
      </c>
      <c r="EN151" s="73">
        <v>4052</v>
      </c>
      <c r="EO151" s="73">
        <v>1095</v>
      </c>
      <c r="EP151" s="73">
        <v>855</v>
      </c>
      <c r="EQ151" s="73">
        <v>1095</v>
      </c>
      <c r="ER151" s="73">
        <v>547466</v>
      </c>
      <c r="ES151" s="73">
        <v>0</v>
      </c>
      <c r="ET151" s="73">
        <v>547466</v>
      </c>
      <c r="EU151" s="73">
        <v>16901</v>
      </c>
      <c r="EV151" s="73">
        <v>-2588</v>
      </c>
      <c r="EW151" s="73">
        <v>0</v>
      </c>
      <c r="EX151" s="73">
        <v>0</v>
      </c>
      <c r="EY151" s="73">
        <v>-13</v>
      </c>
      <c r="EZ151" s="73">
        <v>561766</v>
      </c>
      <c r="FA151" s="73">
        <v>110574</v>
      </c>
      <c r="FB151" s="73">
        <v>10782</v>
      </c>
      <c r="FC151" s="73">
        <v>106</v>
      </c>
      <c r="FD151" s="73">
        <v>0</v>
      </c>
      <c r="FE151" s="73">
        <v>-636</v>
      </c>
      <c r="FF151" s="73">
        <v>0</v>
      </c>
      <c r="FG151" s="73">
        <v>-162</v>
      </c>
      <c r="FH151" s="73">
        <v>120664</v>
      </c>
      <c r="FI151" s="73">
        <v>441102</v>
      </c>
      <c r="FJ151" s="73">
        <v>436892</v>
      </c>
      <c r="FK151" s="73">
        <v>446</v>
      </c>
      <c r="FL151" s="73">
        <v>388</v>
      </c>
      <c r="FM151" s="73">
        <v>58</v>
      </c>
      <c r="FN151" s="73">
        <v>263</v>
      </c>
      <c r="FO151" s="73">
        <v>192</v>
      </c>
      <c r="FP151" s="73">
        <v>71</v>
      </c>
      <c r="FQ151" s="73">
        <v>169</v>
      </c>
      <c r="FR151" s="73">
        <v>163</v>
      </c>
      <c r="FS151" s="73">
        <v>6</v>
      </c>
      <c r="FT151" s="73">
        <v>57</v>
      </c>
      <c r="FU151" s="73">
        <v>65</v>
      </c>
      <c r="FV151" s="73">
        <v>-8</v>
      </c>
      <c r="FW151" s="73">
        <v>0</v>
      </c>
      <c r="FX151" s="73">
        <v>0</v>
      </c>
      <c r="FY151" s="73">
        <v>0</v>
      </c>
      <c r="FZ151" s="73">
        <v>0</v>
      </c>
      <c r="GA151" s="73">
        <v>0</v>
      </c>
      <c r="GB151" s="73">
        <v>0</v>
      </c>
      <c r="GC151" s="73">
        <v>935</v>
      </c>
      <c r="GD151" s="73">
        <v>808</v>
      </c>
      <c r="GE151" s="73">
        <v>127</v>
      </c>
      <c r="GF151" s="73">
        <v>0</v>
      </c>
      <c r="GG151" s="73">
        <v>0</v>
      </c>
      <c r="GH151" s="73">
        <v>0</v>
      </c>
      <c r="GI151" s="73">
        <v>0</v>
      </c>
      <c r="GJ151" s="73">
        <v>0</v>
      </c>
      <c r="GK151" s="73">
        <v>1825</v>
      </c>
      <c r="GL151" s="73">
        <v>1825</v>
      </c>
      <c r="GM151" s="73">
        <v>0</v>
      </c>
      <c r="GN151" s="73">
        <v>1240</v>
      </c>
      <c r="GO151" s="73">
        <v>906</v>
      </c>
      <c r="GP151" s="73">
        <v>82</v>
      </c>
      <c r="GQ151" s="73">
        <v>13</v>
      </c>
      <c r="GR151" s="73">
        <v>5586</v>
      </c>
      <c r="GS151" s="73">
        <v>0</v>
      </c>
      <c r="GT151" s="73">
        <v>0</v>
      </c>
      <c r="GU151" s="73">
        <v>1612</v>
      </c>
      <c r="GV151" s="73">
        <v>0</v>
      </c>
      <c r="GW151" s="73">
        <v>1496</v>
      </c>
      <c r="GX151" s="73">
        <v>10935</v>
      </c>
      <c r="GY151" s="73">
        <v>795</v>
      </c>
      <c r="GZ151" s="73">
        <v>184</v>
      </c>
      <c r="HA151" s="73">
        <v>11518</v>
      </c>
      <c r="HB151" s="73">
        <v>893</v>
      </c>
      <c r="HC151" s="73">
        <v>13390</v>
      </c>
      <c r="HD151" s="73">
        <v>0</v>
      </c>
      <c r="HE151" s="73">
        <v>221</v>
      </c>
      <c r="HF151" s="73">
        <v>221</v>
      </c>
      <c r="HG151" s="73">
        <v>3979</v>
      </c>
      <c r="HH151" s="73">
        <v>40</v>
      </c>
      <c r="HI151" s="73">
        <v>7</v>
      </c>
      <c r="HJ151" s="73">
        <v>1</v>
      </c>
      <c r="HK151" s="73">
        <v>550</v>
      </c>
      <c r="HL151" s="73">
        <v>-62</v>
      </c>
      <c r="HM151" s="73">
        <v>4515</v>
      </c>
      <c r="HN151" s="73">
        <v>7939</v>
      </c>
      <c r="HO151" s="73">
        <v>11976</v>
      </c>
      <c r="HP151" s="73">
        <v>106</v>
      </c>
      <c r="HQ151" s="73">
        <v>26</v>
      </c>
      <c r="HR151" s="73">
        <v>-10</v>
      </c>
      <c r="HS151" s="73">
        <v>9</v>
      </c>
      <c r="HT151" s="73">
        <v>10972</v>
      </c>
      <c r="HU151" s="73">
        <v>0</v>
      </c>
      <c r="HV151" s="73">
        <v>0</v>
      </c>
      <c r="HW151" s="73">
        <v>0</v>
      </c>
      <c r="HX151" s="73">
        <v>71</v>
      </c>
    </row>
    <row r="152" spans="1:232" x14ac:dyDescent="0.2">
      <c r="A152" s="74" t="s">
        <v>103</v>
      </c>
      <c r="B152" s="74" t="s">
        <v>102</v>
      </c>
      <c r="C152" s="75" t="s">
        <v>200</v>
      </c>
      <c r="D152" s="75">
        <v>12</v>
      </c>
      <c r="E152" s="76">
        <v>74732</v>
      </c>
      <c r="F152" s="76">
        <v>0</v>
      </c>
      <c r="G152" s="76">
        <v>-48565</v>
      </c>
      <c r="H152" s="76">
        <v>26167</v>
      </c>
      <c r="I152" s="76">
        <v>1139</v>
      </c>
      <c r="J152" s="76">
        <v>0</v>
      </c>
      <c r="K152" s="76">
        <v>0</v>
      </c>
      <c r="L152" s="76">
        <v>0</v>
      </c>
      <c r="M152" s="76">
        <v>165</v>
      </c>
      <c r="N152" s="76">
        <v>-7766</v>
      </c>
      <c r="O152" s="76">
        <v>0</v>
      </c>
      <c r="P152" s="76">
        <v>0</v>
      </c>
      <c r="Q152" s="76">
        <v>0</v>
      </c>
      <c r="R152" s="76">
        <v>0</v>
      </c>
      <c r="S152" s="76">
        <v>19705</v>
      </c>
      <c r="T152" s="76">
        <v>-5</v>
      </c>
      <c r="U152" s="76">
        <v>19700</v>
      </c>
      <c r="V152" s="76">
        <v>0</v>
      </c>
      <c r="W152" s="76">
        <v>-1783</v>
      </c>
      <c r="X152" s="76">
        <v>0</v>
      </c>
      <c r="Y152" s="76">
        <v>0</v>
      </c>
      <c r="Z152" s="76">
        <v>17917</v>
      </c>
      <c r="AA152" s="76">
        <v>65579</v>
      </c>
      <c r="AB152" s="76">
        <v>3652</v>
      </c>
      <c r="AC152" s="76">
        <v>69231</v>
      </c>
      <c r="AD152" s="76">
        <v>207</v>
      </c>
      <c r="AE152" s="76">
        <v>0</v>
      </c>
      <c r="AF152" s="76">
        <v>0</v>
      </c>
      <c r="AG152" s="76">
        <v>1528</v>
      </c>
      <c r="AH152" s="76">
        <v>70966</v>
      </c>
      <c r="AI152" s="76">
        <v>15033</v>
      </c>
      <c r="AJ152" s="76">
        <v>3452</v>
      </c>
      <c r="AK152" s="76">
        <v>11684</v>
      </c>
      <c r="AL152" s="76">
        <v>1085</v>
      </c>
      <c r="AM152" s="76">
        <v>0</v>
      </c>
      <c r="AN152" s="76">
        <v>898</v>
      </c>
      <c r="AO152" s="76">
        <v>12814</v>
      </c>
      <c r="AP152" s="76">
        <v>0</v>
      </c>
      <c r="AQ152" s="76">
        <v>357</v>
      </c>
      <c r="AR152" s="76">
        <v>45323</v>
      </c>
      <c r="AS152" s="76">
        <v>25643</v>
      </c>
      <c r="AT152" s="76">
        <v>647</v>
      </c>
      <c r="AU152" s="76">
        <v>376150</v>
      </c>
      <c r="AV152" s="76">
        <v>0</v>
      </c>
      <c r="AW152" s="76">
        <v>2092</v>
      </c>
      <c r="AX152" s="76">
        <v>0</v>
      </c>
      <c r="AY152" s="76">
        <v>0</v>
      </c>
      <c r="AZ152" s="76">
        <v>925</v>
      </c>
      <c r="BA152" s="76">
        <v>0</v>
      </c>
      <c r="BB152" s="76">
        <v>3050</v>
      </c>
      <c r="BC152" s="76">
        <v>0</v>
      </c>
      <c r="BD152" s="76">
        <v>0</v>
      </c>
      <c r="BE152" s="76">
        <v>382217</v>
      </c>
      <c r="BF152" s="76">
        <v>2334</v>
      </c>
      <c r="BG152" s="76">
        <v>7054</v>
      </c>
      <c r="BH152" s="76">
        <v>38615</v>
      </c>
      <c r="BI152" s="76">
        <v>0</v>
      </c>
      <c r="BJ152" s="76">
        <v>2424</v>
      </c>
      <c r="BK152" s="76">
        <v>50427</v>
      </c>
      <c r="BL152" s="76">
        <v>10000</v>
      </c>
      <c r="BM152" s="76">
        <v>0</v>
      </c>
      <c r="BN152" s="76">
        <v>228</v>
      </c>
      <c r="BO152" s="76">
        <v>20877</v>
      </c>
      <c r="BP152" s="76">
        <v>31105</v>
      </c>
      <c r="BQ152" s="76">
        <v>19322</v>
      </c>
      <c r="BR152" s="76">
        <v>401539</v>
      </c>
      <c r="BS152" s="76">
        <v>124439</v>
      </c>
      <c r="BT152" s="76">
        <v>0</v>
      </c>
      <c r="BU152" s="76">
        <v>0</v>
      </c>
      <c r="BV152" s="76">
        <v>0</v>
      </c>
      <c r="BW152" s="76">
        <v>0</v>
      </c>
      <c r="BX152" s="76">
        <v>0</v>
      </c>
      <c r="BY152" s="76">
        <v>1194</v>
      </c>
      <c r="BZ152" s="76">
        <v>125633</v>
      </c>
      <c r="CA152" s="76">
        <v>8664</v>
      </c>
      <c r="CB152" s="76">
        <v>279</v>
      </c>
      <c r="CC152" s="76">
        <v>266963</v>
      </c>
      <c r="CD152" s="76">
        <v>266963</v>
      </c>
      <c r="CE152" s="76">
        <v>0</v>
      </c>
      <c r="CF152" s="76">
        <v>0</v>
      </c>
      <c r="CG152" s="76">
        <v>0</v>
      </c>
      <c r="CH152" s="76">
        <v>0</v>
      </c>
      <c r="CI152" s="76">
        <v>266963</v>
      </c>
      <c r="CJ152" s="76">
        <v>149</v>
      </c>
      <c r="CK152" s="76">
        <v>0</v>
      </c>
      <c r="CL152" s="76">
        <v>0</v>
      </c>
      <c r="CM152" s="76">
        <v>149</v>
      </c>
      <c r="CN152" s="76">
        <v>0</v>
      </c>
      <c r="CO152" s="76">
        <v>0</v>
      </c>
      <c r="CP152" s="76">
        <v>0</v>
      </c>
      <c r="CQ152" s="76">
        <v>0</v>
      </c>
      <c r="CR152" s="76">
        <v>0</v>
      </c>
      <c r="CS152" s="76">
        <v>0</v>
      </c>
      <c r="CT152" s="76">
        <v>0</v>
      </c>
      <c r="CU152" s="76">
        <v>0</v>
      </c>
      <c r="CV152" s="76">
        <v>0</v>
      </c>
      <c r="CW152" s="76">
        <v>0</v>
      </c>
      <c r="CX152" s="76">
        <v>0</v>
      </c>
      <c r="CY152" s="76">
        <v>0</v>
      </c>
      <c r="CZ152" s="76">
        <v>0</v>
      </c>
      <c r="DA152" s="76">
        <v>0</v>
      </c>
      <c r="DB152" s="76">
        <v>0</v>
      </c>
      <c r="DC152" s="76">
        <v>0</v>
      </c>
      <c r="DD152" s="76">
        <v>149</v>
      </c>
      <c r="DE152" s="76">
        <v>0</v>
      </c>
      <c r="DF152" s="76">
        <v>0</v>
      </c>
      <c r="DG152" s="76">
        <v>149</v>
      </c>
      <c r="DH152" s="76">
        <v>0</v>
      </c>
      <c r="DI152" s="76">
        <v>0</v>
      </c>
      <c r="DJ152" s="76">
        <v>0</v>
      </c>
      <c r="DK152" s="76">
        <v>0</v>
      </c>
      <c r="DL152" s="76">
        <v>0</v>
      </c>
      <c r="DM152" s="76">
        <v>0</v>
      </c>
      <c r="DN152" s="76">
        <v>0</v>
      </c>
      <c r="DO152" s="76">
        <v>0</v>
      </c>
      <c r="DP152" s="76">
        <v>0</v>
      </c>
      <c r="DQ152" s="76">
        <v>0</v>
      </c>
      <c r="DR152" s="76">
        <v>0</v>
      </c>
      <c r="DS152" s="76">
        <v>0</v>
      </c>
      <c r="DT152" s="76">
        <v>0</v>
      </c>
      <c r="DU152" s="76">
        <v>0</v>
      </c>
      <c r="DV152" s="76">
        <v>0</v>
      </c>
      <c r="DW152" s="76">
        <v>0</v>
      </c>
      <c r="DX152" s="76">
        <v>0</v>
      </c>
      <c r="DY152" s="76">
        <v>0</v>
      </c>
      <c r="DZ152" s="76">
        <v>0</v>
      </c>
      <c r="EA152" s="76">
        <v>0</v>
      </c>
      <c r="EB152" s="76">
        <v>3617</v>
      </c>
      <c r="EC152" s="76">
        <v>0</v>
      </c>
      <c r="ED152" s="76">
        <v>3242</v>
      </c>
      <c r="EE152" s="76">
        <v>375</v>
      </c>
      <c r="EF152" s="76">
        <v>3617</v>
      </c>
      <c r="EG152" s="76">
        <v>0</v>
      </c>
      <c r="EH152" s="76">
        <v>3242</v>
      </c>
      <c r="EI152" s="76">
        <v>375</v>
      </c>
      <c r="EJ152" s="76">
        <v>3766</v>
      </c>
      <c r="EK152" s="76">
        <v>0</v>
      </c>
      <c r="EL152" s="76">
        <v>3242</v>
      </c>
      <c r="EM152" s="76">
        <v>524</v>
      </c>
      <c r="EN152" s="76">
        <v>2801</v>
      </c>
      <c r="EO152" s="76">
        <v>2755</v>
      </c>
      <c r="EP152" s="76">
        <v>2703</v>
      </c>
      <c r="EQ152" s="76">
        <v>2755</v>
      </c>
      <c r="ER152" s="76">
        <v>406774</v>
      </c>
      <c r="ES152" s="76">
        <v>0</v>
      </c>
      <c r="ET152" s="76">
        <v>406774</v>
      </c>
      <c r="EU152" s="76">
        <v>38151</v>
      </c>
      <c r="EV152" s="76">
        <v>-2323</v>
      </c>
      <c r="EW152" s="76">
        <v>0</v>
      </c>
      <c r="EX152" s="76">
        <v>0</v>
      </c>
      <c r="EY152" s="76">
        <v>1671</v>
      </c>
      <c r="EZ152" s="76">
        <v>444273</v>
      </c>
      <c r="FA152" s="76">
        <v>55861</v>
      </c>
      <c r="FB152" s="76">
        <v>12620</v>
      </c>
      <c r="FC152" s="76">
        <v>0</v>
      </c>
      <c r="FD152" s="76">
        <v>0</v>
      </c>
      <c r="FE152" s="76">
        <v>-360</v>
      </c>
      <c r="FF152" s="76">
        <v>0</v>
      </c>
      <c r="FG152" s="76">
        <v>0</v>
      </c>
      <c r="FH152" s="76">
        <v>68121</v>
      </c>
      <c r="FI152" s="76">
        <v>376152</v>
      </c>
      <c r="FJ152" s="76">
        <v>350913</v>
      </c>
      <c r="FK152" s="76">
        <v>0</v>
      </c>
      <c r="FL152" s="76">
        <v>0</v>
      </c>
      <c r="FM152" s="76">
        <v>0</v>
      </c>
      <c r="FN152" s="76">
        <v>3945</v>
      </c>
      <c r="FO152" s="76">
        <v>3241</v>
      </c>
      <c r="FP152" s="76">
        <v>704</v>
      </c>
      <c r="FQ152" s="76">
        <v>576</v>
      </c>
      <c r="FR152" s="76">
        <v>141</v>
      </c>
      <c r="FS152" s="76">
        <v>435</v>
      </c>
      <c r="FT152" s="76">
        <v>0</v>
      </c>
      <c r="FU152" s="76">
        <v>0</v>
      </c>
      <c r="FV152" s="76">
        <v>0</v>
      </c>
      <c r="FW152" s="76">
        <v>0</v>
      </c>
      <c r="FX152" s="76">
        <v>0</v>
      </c>
      <c r="FY152" s="76">
        <v>0</v>
      </c>
      <c r="FZ152" s="76">
        <v>0</v>
      </c>
      <c r="GA152" s="76">
        <v>0</v>
      </c>
      <c r="GB152" s="76">
        <v>0</v>
      </c>
      <c r="GC152" s="76">
        <v>4521</v>
      </c>
      <c r="GD152" s="76">
        <v>3382</v>
      </c>
      <c r="GE152" s="76">
        <v>1139</v>
      </c>
      <c r="GF152" s="76">
        <v>0</v>
      </c>
      <c r="GG152" s="76">
        <v>0</v>
      </c>
      <c r="GH152" s="76">
        <v>0</v>
      </c>
      <c r="GI152" s="76">
        <v>0</v>
      </c>
      <c r="GJ152" s="76">
        <v>0</v>
      </c>
      <c r="GK152" s="76">
        <v>2424</v>
      </c>
      <c r="GL152" s="76">
        <v>2424</v>
      </c>
      <c r="GM152" s="76">
        <v>660</v>
      </c>
      <c r="GN152" s="76">
        <v>1447</v>
      </c>
      <c r="GO152" s="76">
        <v>9171</v>
      </c>
      <c r="GP152" s="76">
        <v>0</v>
      </c>
      <c r="GQ152" s="76">
        <v>0</v>
      </c>
      <c r="GR152" s="76">
        <v>7779</v>
      </c>
      <c r="GS152" s="76">
        <v>0</v>
      </c>
      <c r="GT152" s="76">
        <v>0</v>
      </c>
      <c r="GU152" s="76">
        <v>0</v>
      </c>
      <c r="GV152" s="76">
        <v>0</v>
      </c>
      <c r="GW152" s="76">
        <v>1820</v>
      </c>
      <c r="GX152" s="76">
        <v>20877</v>
      </c>
      <c r="GY152" s="76">
        <v>0</v>
      </c>
      <c r="GZ152" s="76">
        <v>0</v>
      </c>
      <c r="HA152" s="76">
        <v>0</v>
      </c>
      <c r="HB152" s="76">
        <v>1194</v>
      </c>
      <c r="HC152" s="76">
        <v>1194</v>
      </c>
      <c r="HD152" s="76">
        <v>0</v>
      </c>
      <c r="HE152" s="76">
        <v>279</v>
      </c>
      <c r="HF152" s="76">
        <v>279</v>
      </c>
      <c r="HG152" s="76">
        <v>6492</v>
      </c>
      <c r="HH152" s="76">
        <v>0</v>
      </c>
      <c r="HI152" s="76">
        <v>0</v>
      </c>
      <c r="HJ152" s="76">
        <v>0</v>
      </c>
      <c r="HK152" s="76">
        <v>2238</v>
      </c>
      <c r="HL152" s="76">
        <v>-964</v>
      </c>
      <c r="HM152" s="76">
        <v>7766</v>
      </c>
      <c r="HN152" s="76">
        <v>10649</v>
      </c>
      <c r="HO152" s="76">
        <v>13309</v>
      </c>
      <c r="HP152" s="76">
        <v>0</v>
      </c>
      <c r="HQ152" s="76">
        <v>302</v>
      </c>
      <c r="HR152" s="76">
        <v>-158</v>
      </c>
      <c r="HS152" s="76">
        <v>1</v>
      </c>
      <c r="HT152" s="76">
        <v>15334</v>
      </c>
      <c r="HU152" s="76">
        <v>0</v>
      </c>
      <c r="HV152" s="76">
        <v>0</v>
      </c>
      <c r="HW152" s="76">
        <v>0</v>
      </c>
      <c r="HX152" s="76">
        <v>0</v>
      </c>
    </row>
    <row r="153" spans="1:232" x14ac:dyDescent="0.2">
      <c r="A153" s="74" t="s">
        <v>488</v>
      </c>
      <c r="B153" s="74" t="s">
        <v>489</v>
      </c>
      <c r="C153" s="75" t="s">
        <v>200</v>
      </c>
      <c r="D153" s="75">
        <v>12</v>
      </c>
      <c r="E153" s="76">
        <v>34758</v>
      </c>
      <c r="F153" s="76">
        <v>0</v>
      </c>
      <c r="G153" s="76">
        <v>-21437</v>
      </c>
      <c r="H153" s="76">
        <v>13321</v>
      </c>
      <c r="I153" s="76">
        <v>285</v>
      </c>
      <c r="J153" s="76">
        <v>0</v>
      </c>
      <c r="K153" s="76">
        <v>0</v>
      </c>
      <c r="L153" s="76">
        <v>0</v>
      </c>
      <c r="M153" s="76">
        <v>402</v>
      </c>
      <c r="N153" s="76">
        <v>-4746</v>
      </c>
      <c r="O153" s="76">
        <v>0</v>
      </c>
      <c r="P153" s="76">
        <v>0</v>
      </c>
      <c r="Q153" s="76">
        <v>0</v>
      </c>
      <c r="R153" s="76">
        <v>0</v>
      </c>
      <c r="S153" s="76">
        <v>9262</v>
      </c>
      <c r="T153" s="76">
        <v>0</v>
      </c>
      <c r="U153" s="76">
        <v>9262</v>
      </c>
      <c r="V153" s="76">
        <v>-16</v>
      </c>
      <c r="W153" s="76">
        <v>-2980</v>
      </c>
      <c r="X153" s="76">
        <v>0</v>
      </c>
      <c r="Y153" s="76">
        <v>0</v>
      </c>
      <c r="Z153" s="76">
        <v>6266</v>
      </c>
      <c r="AA153" s="76">
        <v>33089</v>
      </c>
      <c r="AB153" s="76">
        <v>65</v>
      </c>
      <c r="AC153" s="76">
        <v>33154</v>
      </c>
      <c r="AD153" s="76">
        <v>151</v>
      </c>
      <c r="AE153" s="76">
        <v>0</v>
      </c>
      <c r="AF153" s="76">
        <v>0</v>
      </c>
      <c r="AG153" s="76">
        <v>0</v>
      </c>
      <c r="AH153" s="76">
        <v>33305</v>
      </c>
      <c r="AI153" s="76">
        <v>7675</v>
      </c>
      <c r="AJ153" s="76">
        <v>76</v>
      </c>
      <c r="AK153" s="76">
        <v>7335</v>
      </c>
      <c r="AL153" s="76">
        <v>288</v>
      </c>
      <c r="AM153" s="76">
        <v>0</v>
      </c>
      <c r="AN153" s="76">
        <v>142</v>
      </c>
      <c r="AO153" s="76">
        <v>4775</v>
      </c>
      <c r="AP153" s="76">
        <v>0</v>
      </c>
      <c r="AQ153" s="76">
        <v>536</v>
      </c>
      <c r="AR153" s="76">
        <v>20827</v>
      </c>
      <c r="AS153" s="76">
        <v>12478</v>
      </c>
      <c r="AT153" s="76">
        <v>873</v>
      </c>
      <c r="AU153" s="76">
        <v>116300</v>
      </c>
      <c r="AV153" s="76">
        <v>0</v>
      </c>
      <c r="AW153" s="76">
        <v>3917</v>
      </c>
      <c r="AX153" s="76">
        <v>0</v>
      </c>
      <c r="AY153" s="76">
        <v>0</v>
      </c>
      <c r="AZ153" s="76">
        <v>7744</v>
      </c>
      <c r="BA153" s="76">
        <v>4</v>
      </c>
      <c r="BB153" s="76">
        <v>0</v>
      </c>
      <c r="BC153" s="76">
        <v>0</v>
      </c>
      <c r="BD153" s="76">
        <v>0</v>
      </c>
      <c r="BE153" s="76">
        <v>127965</v>
      </c>
      <c r="BF153" s="76">
        <v>0</v>
      </c>
      <c r="BG153" s="76">
        <v>1696</v>
      </c>
      <c r="BH153" s="76">
        <v>3153</v>
      </c>
      <c r="BI153" s="76">
        <v>0</v>
      </c>
      <c r="BJ153" s="76">
        <v>0</v>
      </c>
      <c r="BK153" s="76">
        <v>4849</v>
      </c>
      <c r="BL153" s="76">
        <v>0</v>
      </c>
      <c r="BM153" s="76">
        <v>0</v>
      </c>
      <c r="BN153" s="76">
        <v>151</v>
      </c>
      <c r="BO153" s="76">
        <v>5369</v>
      </c>
      <c r="BP153" s="76">
        <v>5520</v>
      </c>
      <c r="BQ153" s="76">
        <v>-671</v>
      </c>
      <c r="BR153" s="76">
        <v>127294</v>
      </c>
      <c r="BS153" s="76">
        <v>65400</v>
      </c>
      <c r="BT153" s="76">
        <v>0</v>
      </c>
      <c r="BU153" s="76">
        <v>0</v>
      </c>
      <c r="BV153" s="76">
        <v>6199</v>
      </c>
      <c r="BW153" s="76">
        <v>0</v>
      </c>
      <c r="BX153" s="76">
        <v>0</v>
      </c>
      <c r="BY153" s="76">
        <v>508</v>
      </c>
      <c r="BZ153" s="76">
        <v>72107</v>
      </c>
      <c r="CA153" s="76">
        <v>5660</v>
      </c>
      <c r="CB153" s="76">
        <v>0</v>
      </c>
      <c r="CC153" s="76">
        <v>49527</v>
      </c>
      <c r="CD153" s="76">
        <v>42628</v>
      </c>
      <c r="CE153" s="76">
        <v>6899</v>
      </c>
      <c r="CF153" s="76">
        <v>0</v>
      </c>
      <c r="CG153" s="76">
        <v>0</v>
      </c>
      <c r="CH153" s="76">
        <v>0</v>
      </c>
      <c r="CI153" s="76">
        <v>49527</v>
      </c>
      <c r="CJ153" s="76">
        <v>0</v>
      </c>
      <c r="CK153" s="76">
        <v>0</v>
      </c>
      <c r="CL153" s="76">
        <v>0</v>
      </c>
      <c r="CM153" s="76">
        <v>0</v>
      </c>
      <c r="CN153" s="76">
        <v>0</v>
      </c>
      <c r="CO153" s="76">
        <v>0</v>
      </c>
      <c r="CP153" s="76">
        <v>0</v>
      </c>
      <c r="CQ153" s="76">
        <v>0</v>
      </c>
      <c r="CR153" s="76">
        <v>0</v>
      </c>
      <c r="CS153" s="76">
        <v>0</v>
      </c>
      <c r="CT153" s="76">
        <v>0</v>
      </c>
      <c r="CU153" s="76">
        <v>0</v>
      </c>
      <c r="CV153" s="76">
        <v>0</v>
      </c>
      <c r="CW153" s="76">
        <v>0</v>
      </c>
      <c r="CX153" s="76">
        <v>0</v>
      </c>
      <c r="CY153" s="76">
        <v>0</v>
      </c>
      <c r="CZ153" s="76">
        <v>780</v>
      </c>
      <c r="DA153" s="76">
        <v>0</v>
      </c>
      <c r="DB153" s="76">
        <v>474</v>
      </c>
      <c r="DC153" s="76">
        <v>306</v>
      </c>
      <c r="DD153" s="76">
        <v>780</v>
      </c>
      <c r="DE153" s="76">
        <v>0</v>
      </c>
      <c r="DF153" s="76">
        <v>474</v>
      </c>
      <c r="DG153" s="76">
        <v>306</v>
      </c>
      <c r="DH153" s="76">
        <v>0</v>
      </c>
      <c r="DI153" s="76">
        <v>0</v>
      </c>
      <c r="DJ153" s="76">
        <v>0</v>
      </c>
      <c r="DK153" s="76">
        <v>0</v>
      </c>
      <c r="DL153" s="76">
        <v>0</v>
      </c>
      <c r="DM153" s="76">
        <v>0</v>
      </c>
      <c r="DN153" s="76">
        <v>0</v>
      </c>
      <c r="DO153" s="76">
        <v>0</v>
      </c>
      <c r="DP153" s="76">
        <v>0</v>
      </c>
      <c r="DQ153" s="76">
        <v>0</v>
      </c>
      <c r="DR153" s="76">
        <v>0</v>
      </c>
      <c r="DS153" s="76">
        <v>0</v>
      </c>
      <c r="DT153" s="76">
        <v>0</v>
      </c>
      <c r="DU153" s="76">
        <v>0</v>
      </c>
      <c r="DV153" s="76">
        <v>0</v>
      </c>
      <c r="DW153" s="76">
        <v>0</v>
      </c>
      <c r="DX153" s="76">
        <v>0</v>
      </c>
      <c r="DY153" s="76">
        <v>0</v>
      </c>
      <c r="DZ153" s="76">
        <v>0</v>
      </c>
      <c r="EA153" s="76">
        <v>0</v>
      </c>
      <c r="EB153" s="76">
        <v>673</v>
      </c>
      <c r="EC153" s="76">
        <v>0</v>
      </c>
      <c r="ED153" s="76">
        <v>136</v>
      </c>
      <c r="EE153" s="76">
        <v>537</v>
      </c>
      <c r="EF153" s="76">
        <v>673</v>
      </c>
      <c r="EG153" s="76">
        <v>0</v>
      </c>
      <c r="EH153" s="76">
        <v>136</v>
      </c>
      <c r="EI153" s="76">
        <v>537</v>
      </c>
      <c r="EJ153" s="76">
        <v>1453</v>
      </c>
      <c r="EK153" s="76">
        <v>0</v>
      </c>
      <c r="EL153" s="76">
        <v>610</v>
      </c>
      <c r="EM153" s="76">
        <v>843</v>
      </c>
      <c r="EN153" s="76">
        <v>963</v>
      </c>
      <c r="EO153" s="76">
        <v>393</v>
      </c>
      <c r="EP153" s="76">
        <v>40</v>
      </c>
      <c r="EQ153" s="76">
        <v>393</v>
      </c>
      <c r="ER153" s="76">
        <v>137298</v>
      </c>
      <c r="ES153" s="76">
        <v>0</v>
      </c>
      <c r="ET153" s="76">
        <v>137298</v>
      </c>
      <c r="EU153" s="76">
        <v>9199</v>
      </c>
      <c r="EV153" s="76">
        <v>-1105</v>
      </c>
      <c r="EW153" s="76">
        <v>0</v>
      </c>
      <c r="EX153" s="76">
        <v>0</v>
      </c>
      <c r="EY153" s="76">
        <v>-7</v>
      </c>
      <c r="EZ153" s="76">
        <v>145385</v>
      </c>
      <c r="FA153" s="76">
        <v>24938</v>
      </c>
      <c r="FB153" s="76">
        <v>4348</v>
      </c>
      <c r="FC153" s="76">
        <v>0</v>
      </c>
      <c r="FD153" s="76">
        <v>0</v>
      </c>
      <c r="FE153" s="76">
        <v>-201</v>
      </c>
      <c r="FF153" s="76">
        <v>0</v>
      </c>
      <c r="FG153" s="76">
        <v>0</v>
      </c>
      <c r="FH153" s="76">
        <v>29085</v>
      </c>
      <c r="FI153" s="76">
        <v>116300</v>
      </c>
      <c r="FJ153" s="76">
        <v>112360</v>
      </c>
      <c r="FK153" s="76">
        <v>0</v>
      </c>
      <c r="FL153" s="76">
        <v>0</v>
      </c>
      <c r="FM153" s="76">
        <v>0</v>
      </c>
      <c r="FN153" s="76">
        <v>908</v>
      </c>
      <c r="FO153" s="76">
        <v>396</v>
      </c>
      <c r="FP153" s="76">
        <v>512</v>
      </c>
      <c r="FQ153" s="76">
        <v>501</v>
      </c>
      <c r="FR153" s="76">
        <v>487</v>
      </c>
      <c r="FS153" s="76">
        <v>14</v>
      </c>
      <c r="FT153" s="76">
        <v>167</v>
      </c>
      <c r="FU153" s="76">
        <v>408</v>
      </c>
      <c r="FV153" s="76">
        <v>-241</v>
      </c>
      <c r="FW153" s="76">
        <v>0</v>
      </c>
      <c r="FX153" s="76">
        <v>0</v>
      </c>
      <c r="FY153" s="76">
        <v>0</v>
      </c>
      <c r="FZ153" s="76">
        <v>0</v>
      </c>
      <c r="GA153" s="76">
        <v>0</v>
      </c>
      <c r="GB153" s="76">
        <v>0</v>
      </c>
      <c r="GC153" s="76">
        <v>1576</v>
      </c>
      <c r="GD153" s="76">
        <v>1291</v>
      </c>
      <c r="GE153" s="76">
        <v>285</v>
      </c>
      <c r="GF153" s="76">
        <v>0</v>
      </c>
      <c r="GG153" s="76">
        <v>0</v>
      </c>
      <c r="GH153" s="76">
        <v>0</v>
      </c>
      <c r="GI153" s="76">
        <v>0</v>
      </c>
      <c r="GJ153" s="76">
        <v>0</v>
      </c>
      <c r="GK153" s="76">
        <v>0</v>
      </c>
      <c r="GL153" s="76">
        <v>0</v>
      </c>
      <c r="GM153" s="76">
        <v>722</v>
      </c>
      <c r="GN153" s="76">
        <v>253</v>
      </c>
      <c r="GO153" s="76">
        <v>0</v>
      </c>
      <c r="GP153" s="76">
        <v>6</v>
      </c>
      <c r="GQ153" s="76">
        <v>0</v>
      </c>
      <c r="GR153" s="76">
        <v>3638</v>
      </c>
      <c r="GS153" s="76">
        <v>0</v>
      </c>
      <c r="GT153" s="76">
        <v>0</v>
      </c>
      <c r="GU153" s="76">
        <v>0</v>
      </c>
      <c r="GV153" s="76">
        <v>0</v>
      </c>
      <c r="GW153" s="76">
        <v>750</v>
      </c>
      <c r="GX153" s="76">
        <v>5369</v>
      </c>
      <c r="GY153" s="76">
        <v>0</v>
      </c>
      <c r="GZ153" s="76">
        <v>508</v>
      </c>
      <c r="HA153" s="76">
        <v>0</v>
      </c>
      <c r="HB153" s="76">
        <v>0</v>
      </c>
      <c r="HC153" s="76">
        <v>508</v>
      </c>
      <c r="HD153" s="76">
        <v>0</v>
      </c>
      <c r="HE153" s="76">
        <v>0</v>
      </c>
      <c r="HF153" s="76">
        <v>0</v>
      </c>
      <c r="HG153" s="76">
        <v>4686</v>
      </c>
      <c r="HH153" s="76">
        <v>0</v>
      </c>
      <c r="HI153" s="76">
        <v>60</v>
      </c>
      <c r="HJ153" s="76">
        <v>0</v>
      </c>
      <c r="HK153" s="76">
        <v>0</v>
      </c>
      <c r="HL153" s="76">
        <v>0</v>
      </c>
      <c r="HM153" s="76">
        <v>4746</v>
      </c>
      <c r="HN153" s="76">
        <v>1209</v>
      </c>
      <c r="HO153" s="76">
        <v>4775</v>
      </c>
      <c r="HP153" s="76">
        <v>7</v>
      </c>
      <c r="HQ153" s="76">
        <v>13</v>
      </c>
      <c r="HR153" s="76">
        <v>-120</v>
      </c>
      <c r="HS153" s="76">
        <v>0</v>
      </c>
      <c r="HT153" s="76">
        <v>8373</v>
      </c>
      <c r="HU153" s="76">
        <v>0</v>
      </c>
      <c r="HV153" s="76">
        <v>0</v>
      </c>
      <c r="HW153" s="76">
        <v>0</v>
      </c>
      <c r="HX153" s="76">
        <v>0</v>
      </c>
    </row>
    <row r="154" spans="1:232" x14ac:dyDescent="0.2">
      <c r="A154" s="71" t="s">
        <v>105</v>
      </c>
      <c r="B154" s="71" t="s">
        <v>104</v>
      </c>
      <c r="C154" s="72" t="s">
        <v>200</v>
      </c>
      <c r="D154" s="72">
        <v>12</v>
      </c>
      <c r="E154" s="73">
        <v>25632</v>
      </c>
      <c r="F154" s="73">
        <v>0</v>
      </c>
      <c r="G154" s="73">
        <v>-7725</v>
      </c>
      <c r="H154" s="73">
        <v>17907</v>
      </c>
      <c r="I154" s="73">
        <v>-357</v>
      </c>
      <c r="J154" s="73">
        <v>0</v>
      </c>
      <c r="K154" s="73">
        <v>-2500</v>
      </c>
      <c r="L154" s="73">
        <v>0</v>
      </c>
      <c r="M154" s="73">
        <v>71</v>
      </c>
      <c r="N154" s="73">
        <v>-8231</v>
      </c>
      <c r="O154" s="73">
        <v>0</v>
      </c>
      <c r="P154" s="73">
        <v>-1308</v>
      </c>
      <c r="Q154" s="73">
        <v>0</v>
      </c>
      <c r="R154" s="73">
        <v>0</v>
      </c>
      <c r="S154" s="73">
        <v>5582</v>
      </c>
      <c r="T154" s="73">
        <v>0</v>
      </c>
      <c r="U154" s="73">
        <v>5582</v>
      </c>
      <c r="V154" s="73">
        <v>0</v>
      </c>
      <c r="W154" s="73">
        <v>0</v>
      </c>
      <c r="X154" s="73">
        <v>0</v>
      </c>
      <c r="Y154" s="73">
        <v>0</v>
      </c>
      <c r="Z154" s="73">
        <v>5582</v>
      </c>
      <c r="AA154" s="73">
        <v>25584</v>
      </c>
      <c r="AB154" s="73">
        <v>18</v>
      </c>
      <c r="AC154" s="73">
        <v>25602</v>
      </c>
      <c r="AD154" s="73">
        <v>0</v>
      </c>
      <c r="AE154" s="73">
        <v>0</v>
      </c>
      <c r="AF154" s="73">
        <v>0</v>
      </c>
      <c r="AG154" s="73">
        <v>0</v>
      </c>
      <c r="AH154" s="73">
        <v>25602</v>
      </c>
      <c r="AI154" s="73">
        <v>2502</v>
      </c>
      <c r="AJ154" s="73">
        <v>396</v>
      </c>
      <c r="AK154" s="73">
        <v>475</v>
      </c>
      <c r="AL154" s="73">
        <v>349</v>
      </c>
      <c r="AM154" s="73">
        <v>44</v>
      </c>
      <c r="AN154" s="73">
        <v>93</v>
      </c>
      <c r="AO154" s="73">
        <v>3632</v>
      </c>
      <c r="AP154" s="73">
        <v>0</v>
      </c>
      <c r="AQ154" s="73">
        <v>223</v>
      </c>
      <c r="AR154" s="73">
        <v>7714</v>
      </c>
      <c r="AS154" s="73">
        <v>17888</v>
      </c>
      <c r="AT154" s="73">
        <v>144</v>
      </c>
      <c r="AU154" s="73">
        <v>344124</v>
      </c>
      <c r="AV154" s="73">
        <v>0</v>
      </c>
      <c r="AW154" s="73">
        <v>1830</v>
      </c>
      <c r="AX154" s="73">
        <v>0</v>
      </c>
      <c r="AY154" s="73">
        <v>0</v>
      </c>
      <c r="AZ154" s="73">
        <v>735</v>
      </c>
      <c r="BA154" s="73">
        <v>0</v>
      </c>
      <c r="BB154" s="73">
        <v>0</v>
      </c>
      <c r="BC154" s="73">
        <v>0</v>
      </c>
      <c r="BD154" s="73">
        <v>0</v>
      </c>
      <c r="BE154" s="73">
        <v>346689</v>
      </c>
      <c r="BF154" s="73">
        <v>0</v>
      </c>
      <c r="BG154" s="73">
        <v>823</v>
      </c>
      <c r="BH154" s="73">
        <v>16613</v>
      </c>
      <c r="BI154" s="73">
        <v>0</v>
      </c>
      <c r="BJ154" s="73">
        <v>0</v>
      </c>
      <c r="BK154" s="73">
        <v>17436</v>
      </c>
      <c r="BL154" s="73">
        <v>0</v>
      </c>
      <c r="BM154" s="73">
        <v>0</v>
      </c>
      <c r="BN154" s="73">
        <v>0</v>
      </c>
      <c r="BO154" s="73">
        <v>6495</v>
      </c>
      <c r="BP154" s="73">
        <v>6495</v>
      </c>
      <c r="BQ154" s="73">
        <v>10941</v>
      </c>
      <c r="BR154" s="73">
        <v>357630</v>
      </c>
      <c r="BS154" s="73">
        <v>178391</v>
      </c>
      <c r="BT154" s="73">
        <v>0</v>
      </c>
      <c r="BU154" s="73">
        <v>0</v>
      </c>
      <c r="BV154" s="73">
        <v>0</v>
      </c>
      <c r="BW154" s="73">
        <v>0</v>
      </c>
      <c r="BX154" s="73">
        <v>1308</v>
      </c>
      <c r="BY154" s="73">
        <v>89</v>
      </c>
      <c r="BZ154" s="73">
        <v>179788</v>
      </c>
      <c r="CA154" s="73">
        <v>0</v>
      </c>
      <c r="CB154" s="73">
        <v>0</v>
      </c>
      <c r="CC154" s="73">
        <v>177842</v>
      </c>
      <c r="CD154" s="73">
        <v>46330</v>
      </c>
      <c r="CE154" s="73">
        <v>131512</v>
      </c>
      <c r="CF154" s="73">
        <v>0</v>
      </c>
      <c r="CG154" s="73">
        <v>0</v>
      </c>
      <c r="CH154" s="73">
        <v>0</v>
      </c>
      <c r="CI154" s="73">
        <v>177842</v>
      </c>
      <c r="CJ154" s="73">
        <v>0</v>
      </c>
      <c r="CK154" s="73">
        <v>0</v>
      </c>
      <c r="CL154" s="73">
        <v>0</v>
      </c>
      <c r="CM154" s="73">
        <v>0</v>
      </c>
      <c r="CN154" s="73">
        <v>0</v>
      </c>
      <c r="CO154" s="73">
        <v>0</v>
      </c>
      <c r="CP154" s="73">
        <v>0</v>
      </c>
      <c r="CQ154" s="73">
        <v>0</v>
      </c>
      <c r="CR154" s="73">
        <v>0</v>
      </c>
      <c r="CS154" s="73">
        <v>0</v>
      </c>
      <c r="CT154" s="73">
        <v>0</v>
      </c>
      <c r="CU154" s="73">
        <v>0</v>
      </c>
      <c r="CV154" s="73">
        <v>0</v>
      </c>
      <c r="CW154" s="73">
        <v>0</v>
      </c>
      <c r="CX154" s="73">
        <v>0</v>
      </c>
      <c r="CY154" s="73">
        <v>0</v>
      </c>
      <c r="CZ154" s="73">
        <v>0</v>
      </c>
      <c r="DA154" s="73">
        <v>0</v>
      </c>
      <c r="DB154" s="73">
        <v>0</v>
      </c>
      <c r="DC154" s="73">
        <v>0</v>
      </c>
      <c r="DD154" s="73">
        <v>0</v>
      </c>
      <c r="DE154" s="73">
        <v>0</v>
      </c>
      <c r="DF154" s="73">
        <v>0</v>
      </c>
      <c r="DG154" s="73">
        <v>0</v>
      </c>
      <c r="DH154" s="73">
        <v>0</v>
      </c>
      <c r="DI154" s="73">
        <v>0</v>
      </c>
      <c r="DJ154" s="73">
        <v>0</v>
      </c>
      <c r="DK154" s="73">
        <v>0</v>
      </c>
      <c r="DL154" s="73">
        <v>0</v>
      </c>
      <c r="DM154" s="73">
        <v>0</v>
      </c>
      <c r="DN154" s="73">
        <v>0</v>
      </c>
      <c r="DO154" s="73">
        <v>0</v>
      </c>
      <c r="DP154" s="73">
        <v>0</v>
      </c>
      <c r="DQ154" s="73">
        <v>0</v>
      </c>
      <c r="DR154" s="73">
        <v>0</v>
      </c>
      <c r="DS154" s="73">
        <v>0</v>
      </c>
      <c r="DT154" s="73">
        <v>0</v>
      </c>
      <c r="DU154" s="73">
        <v>0</v>
      </c>
      <c r="DV154" s="73">
        <v>0</v>
      </c>
      <c r="DW154" s="73">
        <v>0</v>
      </c>
      <c r="DX154" s="73">
        <v>0</v>
      </c>
      <c r="DY154" s="73">
        <v>0</v>
      </c>
      <c r="DZ154" s="73">
        <v>0</v>
      </c>
      <c r="EA154" s="73">
        <v>0</v>
      </c>
      <c r="EB154" s="73">
        <v>30</v>
      </c>
      <c r="EC154" s="73">
        <v>0</v>
      </c>
      <c r="ED154" s="73">
        <v>11</v>
      </c>
      <c r="EE154" s="73">
        <v>19</v>
      </c>
      <c r="EF154" s="73">
        <v>30</v>
      </c>
      <c r="EG154" s="73">
        <v>0</v>
      </c>
      <c r="EH154" s="73">
        <v>11</v>
      </c>
      <c r="EI154" s="73">
        <v>19</v>
      </c>
      <c r="EJ154" s="73">
        <v>30</v>
      </c>
      <c r="EK154" s="73">
        <v>0</v>
      </c>
      <c r="EL154" s="73">
        <v>11</v>
      </c>
      <c r="EM154" s="73">
        <v>19</v>
      </c>
      <c r="EN154" s="73">
        <v>328</v>
      </c>
      <c r="EO154" s="73">
        <v>221</v>
      </c>
      <c r="EP154" s="73">
        <v>105</v>
      </c>
      <c r="EQ154" s="73">
        <v>221</v>
      </c>
      <c r="ER154" s="73">
        <v>336380</v>
      </c>
      <c r="ES154" s="73">
        <v>0</v>
      </c>
      <c r="ET154" s="73">
        <v>336380</v>
      </c>
      <c r="EU154" s="73">
        <v>18609</v>
      </c>
      <c r="EV154" s="73">
        <v>-565</v>
      </c>
      <c r="EW154" s="73">
        <v>0</v>
      </c>
      <c r="EX154" s="73">
        <v>0</v>
      </c>
      <c r="EY154" s="73">
        <v>0</v>
      </c>
      <c r="EZ154" s="73">
        <v>354424</v>
      </c>
      <c r="FA154" s="73">
        <v>6876</v>
      </c>
      <c r="FB154" s="73">
        <v>3632</v>
      </c>
      <c r="FC154" s="73">
        <v>0</v>
      </c>
      <c r="FD154" s="73">
        <v>0</v>
      </c>
      <c r="FE154" s="73">
        <v>-208</v>
      </c>
      <c r="FF154" s="73">
        <v>0</v>
      </c>
      <c r="FG154" s="73">
        <v>0</v>
      </c>
      <c r="FH154" s="73">
        <v>10300</v>
      </c>
      <c r="FI154" s="73">
        <v>344124</v>
      </c>
      <c r="FJ154" s="73">
        <v>329504</v>
      </c>
      <c r="FK154" s="73">
        <v>0</v>
      </c>
      <c r="FL154" s="73">
        <v>0</v>
      </c>
      <c r="FM154" s="73">
        <v>0</v>
      </c>
      <c r="FN154" s="73">
        <v>0</v>
      </c>
      <c r="FO154" s="73">
        <v>0</v>
      </c>
      <c r="FP154" s="73">
        <v>0</v>
      </c>
      <c r="FQ154" s="73">
        <v>0</v>
      </c>
      <c r="FR154" s="73">
        <v>0</v>
      </c>
      <c r="FS154" s="73">
        <v>0</v>
      </c>
      <c r="FT154" s="73">
        <v>0</v>
      </c>
      <c r="FU154" s="73">
        <v>0</v>
      </c>
      <c r="FV154" s="73">
        <v>0</v>
      </c>
      <c r="FW154" s="73">
        <v>0</v>
      </c>
      <c r="FX154" s="73">
        <v>0</v>
      </c>
      <c r="FY154" s="73">
        <v>0</v>
      </c>
      <c r="FZ154" s="73">
        <v>0</v>
      </c>
      <c r="GA154" s="73">
        <v>357</v>
      </c>
      <c r="GB154" s="73">
        <v>-357</v>
      </c>
      <c r="GC154" s="73">
        <v>0</v>
      </c>
      <c r="GD154" s="73">
        <v>357</v>
      </c>
      <c r="GE154" s="73">
        <v>-357</v>
      </c>
      <c r="GF154" s="73">
        <v>0</v>
      </c>
      <c r="GG154" s="73">
        <v>0</v>
      </c>
      <c r="GH154" s="73">
        <v>0</v>
      </c>
      <c r="GI154" s="73">
        <v>0</v>
      </c>
      <c r="GJ154" s="73">
        <v>0</v>
      </c>
      <c r="GK154" s="73">
        <v>0</v>
      </c>
      <c r="GL154" s="73">
        <v>0</v>
      </c>
      <c r="GM154" s="73">
        <v>13</v>
      </c>
      <c r="GN154" s="73">
        <v>1889</v>
      </c>
      <c r="GO154" s="73">
        <v>0</v>
      </c>
      <c r="GP154" s="73">
        <v>0</v>
      </c>
      <c r="GQ154" s="73">
        <v>0</v>
      </c>
      <c r="GR154" s="73">
        <v>695</v>
      </c>
      <c r="GS154" s="73">
        <v>0</v>
      </c>
      <c r="GT154" s="73">
        <v>0</v>
      </c>
      <c r="GU154" s="73">
        <v>4</v>
      </c>
      <c r="GV154" s="73">
        <v>0</v>
      </c>
      <c r="GW154" s="73">
        <v>3894</v>
      </c>
      <c r="GX154" s="73">
        <v>6495</v>
      </c>
      <c r="GY154" s="73">
        <v>0</v>
      </c>
      <c r="GZ154" s="73">
        <v>0</v>
      </c>
      <c r="HA154" s="73">
        <v>89</v>
      </c>
      <c r="HB154" s="73">
        <v>0</v>
      </c>
      <c r="HC154" s="73">
        <v>89</v>
      </c>
      <c r="HD154" s="73">
        <v>0</v>
      </c>
      <c r="HE154" s="73">
        <v>0</v>
      </c>
      <c r="HF154" s="73">
        <v>0</v>
      </c>
      <c r="HG154" s="73">
        <v>7620</v>
      </c>
      <c r="HH154" s="73">
        <v>267</v>
      </c>
      <c r="HI154" s="73">
        <v>0</v>
      </c>
      <c r="HJ154" s="73">
        <v>0</v>
      </c>
      <c r="HK154" s="73">
        <v>344</v>
      </c>
      <c r="HL154" s="73">
        <v>0</v>
      </c>
      <c r="HM154" s="73">
        <v>8231</v>
      </c>
      <c r="HN154" s="73">
        <v>797</v>
      </c>
      <c r="HO154" s="73">
        <v>3632</v>
      </c>
      <c r="HP154" s="73">
        <v>0</v>
      </c>
      <c r="HQ154" s="73">
        <v>91</v>
      </c>
      <c r="HR154" s="73">
        <v>0</v>
      </c>
      <c r="HS154" s="73">
        <v>0</v>
      </c>
      <c r="HT154" s="73">
        <v>1908</v>
      </c>
      <c r="HU154" s="73">
        <v>0</v>
      </c>
      <c r="HV154" s="73">
        <v>0</v>
      </c>
      <c r="HW154" s="73">
        <v>0</v>
      </c>
      <c r="HX154" s="73">
        <v>4</v>
      </c>
    </row>
    <row r="155" spans="1:232" x14ac:dyDescent="0.2">
      <c r="A155" s="74" t="s">
        <v>490</v>
      </c>
      <c r="B155" s="74" t="s">
        <v>491</v>
      </c>
      <c r="C155" s="75" t="s">
        <v>200</v>
      </c>
      <c r="D155" s="75">
        <v>12</v>
      </c>
      <c r="E155" s="76">
        <v>532071</v>
      </c>
      <c r="F155" s="76">
        <v>-57902</v>
      </c>
      <c r="G155" s="76">
        <v>-244134</v>
      </c>
      <c r="H155" s="76">
        <v>230035</v>
      </c>
      <c r="I155" s="76">
        <v>48587</v>
      </c>
      <c r="J155" s="76">
        <v>69473</v>
      </c>
      <c r="K155" s="76">
        <v>0</v>
      </c>
      <c r="L155" s="76">
        <v>0</v>
      </c>
      <c r="M155" s="76">
        <v>46101</v>
      </c>
      <c r="N155" s="76">
        <v>-636425</v>
      </c>
      <c r="O155" s="76">
        <v>0</v>
      </c>
      <c r="P155" s="76">
        <v>-3079</v>
      </c>
      <c r="Q155" s="76">
        <v>0</v>
      </c>
      <c r="R155" s="76">
        <v>0</v>
      </c>
      <c r="S155" s="76">
        <v>-245308</v>
      </c>
      <c r="T155" s="76">
        <v>-74</v>
      </c>
      <c r="U155" s="76">
        <v>-245382</v>
      </c>
      <c r="V155" s="76">
        <v>0</v>
      </c>
      <c r="W155" s="76">
        <v>-3884</v>
      </c>
      <c r="X155" s="76">
        <v>159111</v>
      </c>
      <c r="Y155" s="76">
        <v>0</v>
      </c>
      <c r="Z155" s="76">
        <v>-90155</v>
      </c>
      <c r="AA155" s="76">
        <v>368848</v>
      </c>
      <c r="AB155" s="76">
        <v>34771</v>
      </c>
      <c r="AC155" s="76">
        <v>403619</v>
      </c>
      <c r="AD155" s="76">
        <v>22242</v>
      </c>
      <c r="AE155" s="76">
        <v>0</v>
      </c>
      <c r="AF155" s="76">
        <v>0</v>
      </c>
      <c r="AG155" s="76">
        <v>5932</v>
      </c>
      <c r="AH155" s="76">
        <v>431793</v>
      </c>
      <c r="AI155" s="76">
        <v>35741</v>
      </c>
      <c r="AJ155" s="76">
        <v>35846</v>
      </c>
      <c r="AK155" s="76">
        <v>50191</v>
      </c>
      <c r="AL155" s="76">
        <v>28231</v>
      </c>
      <c r="AM155" s="76">
        <v>0</v>
      </c>
      <c r="AN155" s="76">
        <v>2998</v>
      </c>
      <c r="AO155" s="76">
        <v>57910</v>
      </c>
      <c r="AP155" s="76">
        <v>2832</v>
      </c>
      <c r="AQ155" s="76">
        <v>135</v>
      </c>
      <c r="AR155" s="76">
        <v>213884</v>
      </c>
      <c r="AS155" s="76">
        <v>217909</v>
      </c>
      <c r="AT155" s="76">
        <v>3086</v>
      </c>
      <c r="AU155" s="76">
        <v>7265719</v>
      </c>
      <c r="AV155" s="76">
        <v>0</v>
      </c>
      <c r="AW155" s="76">
        <v>39068</v>
      </c>
      <c r="AX155" s="76">
        <v>0</v>
      </c>
      <c r="AY155" s="76">
        <v>113303</v>
      </c>
      <c r="AZ155" s="76">
        <v>0</v>
      </c>
      <c r="BA155" s="76">
        <v>0</v>
      </c>
      <c r="BB155" s="76">
        <v>0</v>
      </c>
      <c r="BC155" s="76">
        <v>1460169</v>
      </c>
      <c r="BD155" s="76">
        <v>372116</v>
      </c>
      <c r="BE155" s="76">
        <v>9250375</v>
      </c>
      <c r="BF155" s="76">
        <v>55750</v>
      </c>
      <c r="BG155" s="76">
        <v>21002</v>
      </c>
      <c r="BH155" s="76">
        <v>171331</v>
      </c>
      <c r="BI155" s="76">
        <v>0</v>
      </c>
      <c r="BJ155" s="76">
        <v>51908</v>
      </c>
      <c r="BK155" s="76">
        <v>299991</v>
      </c>
      <c r="BL155" s="76">
        <v>42880</v>
      </c>
      <c r="BM155" s="76">
        <v>0</v>
      </c>
      <c r="BN155" s="76">
        <v>24126</v>
      </c>
      <c r="BO155" s="76">
        <v>194757</v>
      </c>
      <c r="BP155" s="76">
        <v>261763</v>
      </c>
      <c r="BQ155" s="76">
        <v>38228</v>
      </c>
      <c r="BR155" s="76">
        <v>9288603</v>
      </c>
      <c r="BS155" s="76">
        <v>3667153</v>
      </c>
      <c r="BT155" s="76">
        <v>0</v>
      </c>
      <c r="BU155" s="76">
        <v>0</v>
      </c>
      <c r="BV155" s="76">
        <v>1646394</v>
      </c>
      <c r="BW155" s="76">
        <v>96425</v>
      </c>
      <c r="BX155" s="76">
        <v>3079</v>
      </c>
      <c r="BY155" s="76">
        <v>85025</v>
      </c>
      <c r="BZ155" s="76">
        <v>5498076</v>
      </c>
      <c r="CA155" s="76">
        <v>28862</v>
      </c>
      <c r="CB155" s="76">
        <v>12628</v>
      </c>
      <c r="CC155" s="76">
        <v>3749037</v>
      </c>
      <c r="CD155" s="76">
        <v>1862123</v>
      </c>
      <c r="CE155" s="76">
        <v>1886914</v>
      </c>
      <c r="CF155" s="76">
        <v>0</v>
      </c>
      <c r="CG155" s="76">
        <v>0</v>
      </c>
      <c r="CH155" s="76">
        <v>0</v>
      </c>
      <c r="CI155" s="76">
        <v>3749037</v>
      </c>
      <c r="CJ155" s="76">
        <v>80291</v>
      </c>
      <c r="CK155" s="76">
        <v>54710</v>
      </c>
      <c r="CL155" s="76">
        <v>95</v>
      </c>
      <c r="CM155" s="76">
        <v>25486</v>
      </c>
      <c r="CN155" s="76">
        <v>0</v>
      </c>
      <c r="CO155" s="76">
        <v>0</v>
      </c>
      <c r="CP155" s="76">
        <v>0</v>
      </c>
      <c r="CQ155" s="76">
        <v>0</v>
      </c>
      <c r="CR155" s="76">
        <v>326</v>
      </c>
      <c r="CS155" s="76">
        <v>0</v>
      </c>
      <c r="CT155" s="76">
        <v>3484</v>
      </c>
      <c r="CU155" s="76">
        <v>-3158</v>
      </c>
      <c r="CV155" s="76">
        <v>89</v>
      </c>
      <c r="CW155" s="76">
        <v>0</v>
      </c>
      <c r="CX155" s="76">
        <v>6825</v>
      </c>
      <c r="CY155" s="76">
        <v>-6736</v>
      </c>
      <c r="CZ155" s="76">
        <v>343</v>
      </c>
      <c r="DA155" s="76">
        <v>0</v>
      </c>
      <c r="DB155" s="76">
        <v>1878</v>
      </c>
      <c r="DC155" s="76">
        <v>-1535</v>
      </c>
      <c r="DD155" s="76">
        <v>81049</v>
      </c>
      <c r="DE155" s="76">
        <v>54710</v>
      </c>
      <c r="DF155" s="76">
        <v>12282</v>
      </c>
      <c r="DG155" s="76">
        <v>14057</v>
      </c>
      <c r="DH155" s="76">
        <v>1593</v>
      </c>
      <c r="DI155" s="76">
        <v>3192</v>
      </c>
      <c r="DJ155" s="76">
        <v>0</v>
      </c>
      <c r="DK155" s="76">
        <v>-1599</v>
      </c>
      <c r="DL155" s="76">
        <v>2492</v>
      </c>
      <c r="DM155" s="76">
        <v>0</v>
      </c>
      <c r="DN155" s="76">
        <v>2216</v>
      </c>
      <c r="DO155" s="76">
        <v>276</v>
      </c>
      <c r="DP155" s="76">
        <v>0</v>
      </c>
      <c r="DQ155" s="76">
        <v>0</v>
      </c>
      <c r="DR155" s="76">
        <v>0</v>
      </c>
      <c r="DS155" s="76">
        <v>0</v>
      </c>
      <c r="DT155" s="76">
        <v>0</v>
      </c>
      <c r="DU155" s="76">
        <v>0</v>
      </c>
      <c r="DV155" s="76">
        <v>0</v>
      </c>
      <c r="DW155" s="76">
        <v>0</v>
      </c>
      <c r="DX155" s="76">
        <v>0</v>
      </c>
      <c r="DY155" s="76">
        <v>0</v>
      </c>
      <c r="DZ155" s="76">
        <v>0</v>
      </c>
      <c r="EA155" s="76">
        <v>0</v>
      </c>
      <c r="EB155" s="76">
        <v>15144</v>
      </c>
      <c r="EC155" s="76">
        <v>0</v>
      </c>
      <c r="ED155" s="76">
        <v>15752</v>
      </c>
      <c r="EE155" s="76">
        <v>-608</v>
      </c>
      <c r="EF155" s="76">
        <v>19229</v>
      </c>
      <c r="EG155" s="76">
        <v>3192</v>
      </c>
      <c r="EH155" s="76">
        <v>17968</v>
      </c>
      <c r="EI155" s="76">
        <v>-1931</v>
      </c>
      <c r="EJ155" s="76">
        <v>100278</v>
      </c>
      <c r="EK155" s="76">
        <v>57902</v>
      </c>
      <c r="EL155" s="76">
        <v>30250</v>
      </c>
      <c r="EM155" s="76">
        <v>12126</v>
      </c>
      <c r="EN155" s="76">
        <v>29216</v>
      </c>
      <c r="EO155" s="76">
        <v>6267</v>
      </c>
      <c r="EP155" s="76">
        <v>8214</v>
      </c>
      <c r="EQ155" s="76">
        <v>6267</v>
      </c>
      <c r="ER155" s="76">
        <v>7375234</v>
      </c>
      <c r="ES155" s="76">
        <v>0</v>
      </c>
      <c r="ET155" s="76">
        <v>7375234</v>
      </c>
      <c r="EU155" s="76">
        <v>443922</v>
      </c>
      <c r="EV155" s="76">
        <v>-72909</v>
      </c>
      <c r="EW155" s="76">
        <v>0</v>
      </c>
      <c r="EX155" s="76">
        <v>0</v>
      </c>
      <c r="EY155" s="76">
        <v>-4740</v>
      </c>
      <c r="EZ155" s="76">
        <v>7741507</v>
      </c>
      <c r="FA155" s="76">
        <v>420008</v>
      </c>
      <c r="FB155" s="76">
        <v>58621</v>
      </c>
      <c r="FC155" s="76">
        <v>2833</v>
      </c>
      <c r="FD155" s="76">
        <v>0</v>
      </c>
      <c r="FE155" s="76">
        <v>-5674</v>
      </c>
      <c r="FF155" s="76">
        <v>0</v>
      </c>
      <c r="FG155" s="76">
        <v>0</v>
      </c>
      <c r="FH155" s="76">
        <v>475788</v>
      </c>
      <c r="FI155" s="76">
        <v>7265719</v>
      </c>
      <c r="FJ155" s="76">
        <v>6955226</v>
      </c>
      <c r="FK155" s="76">
        <v>47865</v>
      </c>
      <c r="FL155" s="76">
        <v>26199</v>
      </c>
      <c r="FM155" s="76">
        <v>21666</v>
      </c>
      <c r="FN155" s="76">
        <v>28666</v>
      </c>
      <c r="FO155" s="76">
        <v>13471</v>
      </c>
      <c r="FP155" s="76">
        <v>15195</v>
      </c>
      <c r="FQ155" s="76">
        <v>655</v>
      </c>
      <c r="FR155" s="76">
        <v>655</v>
      </c>
      <c r="FS155" s="76">
        <v>0</v>
      </c>
      <c r="FT155" s="76">
        <v>57702</v>
      </c>
      <c r="FU155" s="76">
        <v>45929</v>
      </c>
      <c r="FV155" s="76">
        <v>11773</v>
      </c>
      <c r="FW155" s="76">
        <v>0</v>
      </c>
      <c r="FX155" s="76">
        <v>0</v>
      </c>
      <c r="FY155" s="76">
        <v>0</v>
      </c>
      <c r="FZ155" s="76">
        <v>502</v>
      </c>
      <c r="GA155" s="76">
        <v>549</v>
      </c>
      <c r="GB155" s="76">
        <v>-47</v>
      </c>
      <c r="GC155" s="76">
        <v>135390</v>
      </c>
      <c r="GD155" s="76">
        <v>86803</v>
      </c>
      <c r="GE155" s="76">
        <v>48587</v>
      </c>
      <c r="GF155" s="76">
        <v>33017</v>
      </c>
      <c r="GG155" s="76">
        <v>0</v>
      </c>
      <c r="GH155" s="76">
        <v>1572</v>
      </c>
      <c r="GI155" s="76">
        <v>0</v>
      </c>
      <c r="GJ155" s="76">
        <v>0</v>
      </c>
      <c r="GK155" s="76">
        <v>17319</v>
      </c>
      <c r="GL155" s="76">
        <v>51908</v>
      </c>
      <c r="GM155" s="76">
        <v>11191</v>
      </c>
      <c r="GN155" s="76">
        <v>22617</v>
      </c>
      <c r="GO155" s="76">
        <v>18566</v>
      </c>
      <c r="GP155" s="76">
        <v>0</v>
      </c>
      <c r="GQ155" s="76">
        <v>0</v>
      </c>
      <c r="GR155" s="76">
        <v>37651</v>
      </c>
      <c r="GS155" s="76">
        <v>0</v>
      </c>
      <c r="GT155" s="76">
        <v>0</v>
      </c>
      <c r="GU155" s="76">
        <v>0</v>
      </c>
      <c r="GV155" s="76">
        <v>0</v>
      </c>
      <c r="GW155" s="76">
        <v>104732</v>
      </c>
      <c r="GX155" s="76">
        <v>194757</v>
      </c>
      <c r="GY155" s="76">
        <v>59783</v>
      </c>
      <c r="GZ155" s="76">
        <v>4907</v>
      </c>
      <c r="HA155" s="76">
        <v>0</v>
      </c>
      <c r="HB155" s="76">
        <v>20335</v>
      </c>
      <c r="HC155" s="76">
        <v>85025</v>
      </c>
      <c r="HD155" s="76">
        <v>0</v>
      </c>
      <c r="HE155" s="76">
        <v>12628</v>
      </c>
      <c r="HF155" s="76">
        <v>12628</v>
      </c>
      <c r="HG155" s="76">
        <v>98627</v>
      </c>
      <c r="HH155" s="76">
        <v>3288</v>
      </c>
      <c r="HI155" s="76">
        <v>0</v>
      </c>
      <c r="HJ155" s="76">
        <v>0</v>
      </c>
      <c r="HK155" s="76">
        <v>548039</v>
      </c>
      <c r="HL155" s="76">
        <v>-13529</v>
      </c>
      <c r="HM155" s="76">
        <v>636425</v>
      </c>
      <c r="HN155" s="76">
        <v>37088</v>
      </c>
      <c r="HO155" s="76">
        <v>58621</v>
      </c>
      <c r="HP155" s="76">
        <v>2833</v>
      </c>
      <c r="HQ155" s="76">
        <v>1563</v>
      </c>
      <c r="HR155" s="76">
        <v>-520</v>
      </c>
      <c r="HS155" s="76">
        <v>-126</v>
      </c>
      <c r="HT155" s="76">
        <v>64521</v>
      </c>
      <c r="HU155" s="76">
        <v>688</v>
      </c>
      <c r="HV155" s="76">
        <v>-860</v>
      </c>
      <c r="HW155" s="76">
        <v>154</v>
      </c>
      <c r="HX155" s="76">
        <v>9448</v>
      </c>
    </row>
    <row r="156" spans="1:232" x14ac:dyDescent="0.2">
      <c r="A156" s="74" t="s">
        <v>107</v>
      </c>
      <c r="B156" s="74" t="s">
        <v>106</v>
      </c>
      <c r="C156" s="75" t="s">
        <v>200</v>
      </c>
      <c r="D156" s="75">
        <v>12</v>
      </c>
      <c r="E156" s="76">
        <v>45167</v>
      </c>
      <c r="F156" s="76">
        <v>-3081</v>
      </c>
      <c r="G156" s="76">
        <v>-23757</v>
      </c>
      <c r="H156" s="76">
        <v>18329</v>
      </c>
      <c r="I156" s="76">
        <v>1048</v>
      </c>
      <c r="J156" s="76">
        <v>0</v>
      </c>
      <c r="K156" s="76">
        <v>0</v>
      </c>
      <c r="L156" s="76">
        <v>0</v>
      </c>
      <c r="M156" s="76">
        <v>436</v>
      </c>
      <c r="N156" s="76">
        <v>-10584</v>
      </c>
      <c r="O156" s="76">
        <v>18</v>
      </c>
      <c r="P156" s="76">
        <v>0</v>
      </c>
      <c r="Q156" s="76">
        <v>0</v>
      </c>
      <c r="R156" s="76">
        <v>0</v>
      </c>
      <c r="S156" s="76">
        <v>9247</v>
      </c>
      <c r="T156" s="76">
        <v>0</v>
      </c>
      <c r="U156" s="76">
        <v>9247</v>
      </c>
      <c r="V156" s="76">
        <v>0</v>
      </c>
      <c r="W156" s="76">
        <v>0</v>
      </c>
      <c r="X156" s="76">
        <v>0</v>
      </c>
      <c r="Y156" s="76">
        <v>0</v>
      </c>
      <c r="Z156" s="76">
        <v>9247</v>
      </c>
      <c r="AA156" s="76">
        <v>31953</v>
      </c>
      <c r="AB156" s="76">
        <v>1808</v>
      </c>
      <c r="AC156" s="76">
        <v>33761</v>
      </c>
      <c r="AD156" s="76">
        <v>1383</v>
      </c>
      <c r="AE156" s="76">
        <v>0</v>
      </c>
      <c r="AF156" s="76">
        <v>0</v>
      </c>
      <c r="AG156" s="76">
        <v>892</v>
      </c>
      <c r="AH156" s="76">
        <v>36036</v>
      </c>
      <c r="AI156" s="76">
        <v>4685</v>
      </c>
      <c r="AJ156" s="76">
        <v>4028</v>
      </c>
      <c r="AK156" s="76">
        <v>3724</v>
      </c>
      <c r="AL156" s="76">
        <v>1651</v>
      </c>
      <c r="AM156" s="76">
        <v>468</v>
      </c>
      <c r="AN156" s="76">
        <v>166</v>
      </c>
      <c r="AO156" s="76">
        <v>5317</v>
      </c>
      <c r="AP156" s="76">
        <v>0</v>
      </c>
      <c r="AQ156" s="76">
        <v>9</v>
      </c>
      <c r="AR156" s="76">
        <v>20048</v>
      </c>
      <c r="AS156" s="76">
        <v>15988</v>
      </c>
      <c r="AT156" s="76">
        <v>288</v>
      </c>
      <c r="AU156" s="76">
        <v>405648</v>
      </c>
      <c r="AV156" s="76">
        <v>0</v>
      </c>
      <c r="AW156" s="76">
        <v>9243</v>
      </c>
      <c r="AX156" s="76">
        <v>0</v>
      </c>
      <c r="AY156" s="76">
        <v>0</v>
      </c>
      <c r="AZ156" s="76">
        <v>5448</v>
      </c>
      <c r="BA156" s="76">
        <v>0</v>
      </c>
      <c r="BB156" s="76">
        <v>0</v>
      </c>
      <c r="BC156" s="76">
        <v>0</v>
      </c>
      <c r="BD156" s="76">
        <v>0</v>
      </c>
      <c r="BE156" s="76">
        <v>420339</v>
      </c>
      <c r="BF156" s="76">
        <v>4000</v>
      </c>
      <c r="BG156" s="76">
        <v>42</v>
      </c>
      <c r="BH156" s="76">
        <v>3707</v>
      </c>
      <c r="BI156" s="76">
        <v>0</v>
      </c>
      <c r="BJ156" s="76">
        <v>1991</v>
      </c>
      <c r="BK156" s="76">
        <v>9740</v>
      </c>
      <c r="BL156" s="76">
        <v>1694</v>
      </c>
      <c r="BM156" s="76">
        <v>0</v>
      </c>
      <c r="BN156" s="76">
        <v>1383</v>
      </c>
      <c r="BO156" s="76">
        <v>9109</v>
      </c>
      <c r="BP156" s="76">
        <v>12186</v>
      </c>
      <c r="BQ156" s="76">
        <v>-2446</v>
      </c>
      <c r="BR156" s="76">
        <v>417893</v>
      </c>
      <c r="BS156" s="76">
        <v>204282</v>
      </c>
      <c r="BT156" s="76">
        <v>0</v>
      </c>
      <c r="BU156" s="76">
        <v>0</v>
      </c>
      <c r="BV156" s="76">
        <v>141465</v>
      </c>
      <c r="BW156" s="76">
        <v>0</v>
      </c>
      <c r="BX156" s="76">
        <v>0</v>
      </c>
      <c r="BY156" s="76">
        <v>5331</v>
      </c>
      <c r="BZ156" s="76">
        <v>351078</v>
      </c>
      <c r="CA156" s="76">
        <v>0</v>
      </c>
      <c r="CB156" s="76">
        <v>0</v>
      </c>
      <c r="CC156" s="76">
        <v>66815</v>
      </c>
      <c r="CD156" s="76">
        <v>66815</v>
      </c>
      <c r="CE156" s="76">
        <v>0</v>
      </c>
      <c r="CF156" s="76">
        <v>0</v>
      </c>
      <c r="CG156" s="76">
        <v>0</v>
      </c>
      <c r="CH156" s="76">
        <v>0</v>
      </c>
      <c r="CI156" s="76">
        <v>66815</v>
      </c>
      <c r="CJ156" s="76">
        <v>4512</v>
      </c>
      <c r="CK156" s="76">
        <v>3081</v>
      </c>
      <c r="CL156" s="76">
        <v>0</v>
      </c>
      <c r="CM156" s="76">
        <v>1431</v>
      </c>
      <c r="CN156" s="76">
        <v>1219</v>
      </c>
      <c r="CO156" s="76">
        <v>0</v>
      </c>
      <c r="CP156" s="76">
        <v>908</v>
      </c>
      <c r="CQ156" s="76">
        <v>311</v>
      </c>
      <c r="CR156" s="76">
        <v>591</v>
      </c>
      <c r="CS156" s="76">
        <v>0</v>
      </c>
      <c r="CT156" s="76">
        <v>671</v>
      </c>
      <c r="CU156" s="76">
        <v>-80</v>
      </c>
      <c r="CV156" s="76">
        <v>0</v>
      </c>
      <c r="CW156" s="76">
        <v>0</v>
      </c>
      <c r="CX156" s="76">
        <v>0</v>
      </c>
      <c r="CY156" s="76">
        <v>0</v>
      </c>
      <c r="CZ156" s="76">
        <v>2444</v>
      </c>
      <c r="DA156" s="76">
        <v>0</v>
      </c>
      <c r="DB156" s="76">
        <v>2089</v>
      </c>
      <c r="DC156" s="76">
        <v>355</v>
      </c>
      <c r="DD156" s="76">
        <v>8766</v>
      </c>
      <c r="DE156" s="76">
        <v>3081</v>
      </c>
      <c r="DF156" s="76">
        <v>3668</v>
      </c>
      <c r="DG156" s="76">
        <v>2017</v>
      </c>
      <c r="DH156" s="76">
        <v>0</v>
      </c>
      <c r="DI156" s="76">
        <v>0</v>
      </c>
      <c r="DJ156" s="76">
        <v>0</v>
      </c>
      <c r="DK156" s="76">
        <v>0</v>
      </c>
      <c r="DL156" s="76">
        <v>0</v>
      </c>
      <c r="DM156" s="76">
        <v>0</v>
      </c>
      <c r="DN156" s="76">
        <v>0</v>
      </c>
      <c r="DO156" s="76">
        <v>0</v>
      </c>
      <c r="DP156" s="76">
        <v>0</v>
      </c>
      <c r="DQ156" s="76">
        <v>0</v>
      </c>
      <c r="DR156" s="76">
        <v>0</v>
      </c>
      <c r="DS156" s="76">
        <v>0</v>
      </c>
      <c r="DT156" s="76">
        <v>365</v>
      </c>
      <c r="DU156" s="76">
        <v>0</v>
      </c>
      <c r="DV156" s="76">
        <v>41</v>
      </c>
      <c r="DW156" s="76">
        <v>324</v>
      </c>
      <c r="DX156" s="76">
        <v>0</v>
      </c>
      <c r="DY156" s="76">
        <v>0</v>
      </c>
      <c r="DZ156" s="76">
        <v>0</v>
      </c>
      <c r="EA156" s="76">
        <v>0</v>
      </c>
      <c r="EB156" s="76">
        <v>0</v>
      </c>
      <c r="EC156" s="76">
        <v>0</v>
      </c>
      <c r="ED156" s="76">
        <v>0</v>
      </c>
      <c r="EE156" s="76">
        <v>0</v>
      </c>
      <c r="EF156" s="76">
        <v>365</v>
      </c>
      <c r="EG156" s="76">
        <v>0</v>
      </c>
      <c r="EH156" s="76">
        <v>41</v>
      </c>
      <c r="EI156" s="76">
        <v>324</v>
      </c>
      <c r="EJ156" s="76">
        <v>9131</v>
      </c>
      <c r="EK156" s="76">
        <v>3081</v>
      </c>
      <c r="EL156" s="76">
        <v>3709</v>
      </c>
      <c r="EM156" s="76">
        <v>2341</v>
      </c>
      <c r="EN156" s="76">
        <v>853</v>
      </c>
      <c r="EO156" s="76">
        <v>389</v>
      </c>
      <c r="EP156" s="76">
        <v>213</v>
      </c>
      <c r="EQ156" s="76">
        <v>381</v>
      </c>
      <c r="ER156" s="76">
        <v>442022</v>
      </c>
      <c r="ES156" s="76">
        <v>0</v>
      </c>
      <c r="ET156" s="76">
        <v>442022</v>
      </c>
      <c r="EU156" s="76">
        <v>17797</v>
      </c>
      <c r="EV156" s="76">
        <v>-4366</v>
      </c>
      <c r="EW156" s="76">
        <v>0</v>
      </c>
      <c r="EX156" s="76">
        <v>0</v>
      </c>
      <c r="EY156" s="76">
        <v>-940</v>
      </c>
      <c r="EZ156" s="76">
        <v>454513</v>
      </c>
      <c r="FA156" s="76">
        <v>44779</v>
      </c>
      <c r="FB156" s="76">
        <v>4954</v>
      </c>
      <c r="FC156" s="76">
        <v>0</v>
      </c>
      <c r="FD156" s="76">
        <v>0</v>
      </c>
      <c r="FE156" s="76">
        <v>-291</v>
      </c>
      <c r="FF156" s="76">
        <v>0</v>
      </c>
      <c r="FG156" s="76">
        <v>-577</v>
      </c>
      <c r="FH156" s="76">
        <v>48865</v>
      </c>
      <c r="FI156" s="76">
        <v>405648</v>
      </c>
      <c r="FJ156" s="76">
        <v>397243</v>
      </c>
      <c r="FK156" s="76">
        <v>3325</v>
      </c>
      <c r="FL156" s="76">
        <v>2421</v>
      </c>
      <c r="FM156" s="76">
        <v>904</v>
      </c>
      <c r="FN156" s="76">
        <v>322</v>
      </c>
      <c r="FO156" s="76">
        <v>281</v>
      </c>
      <c r="FP156" s="76">
        <v>41</v>
      </c>
      <c r="FQ156" s="76">
        <v>0</v>
      </c>
      <c r="FR156" s="76">
        <v>0</v>
      </c>
      <c r="FS156" s="76">
        <v>0</v>
      </c>
      <c r="FT156" s="76">
        <v>468</v>
      </c>
      <c r="FU156" s="76">
        <v>365</v>
      </c>
      <c r="FV156" s="76">
        <v>103</v>
      </c>
      <c r="FW156" s="76">
        <v>0</v>
      </c>
      <c r="FX156" s="76">
        <v>0</v>
      </c>
      <c r="FY156" s="76">
        <v>0</v>
      </c>
      <c r="FZ156" s="76">
        <v>0</v>
      </c>
      <c r="GA156" s="76">
        <v>0</v>
      </c>
      <c r="GB156" s="76">
        <v>0</v>
      </c>
      <c r="GC156" s="76">
        <v>4115</v>
      </c>
      <c r="GD156" s="76">
        <v>3067</v>
      </c>
      <c r="GE156" s="76">
        <v>1048</v>
      </c>
      <c r="GF156" s="76">
        <v>782</v>
      </c>
      <c r="GG156" s="76">
        <v>0</v>
      </c>
      <c r="GH156" s="76">
        <v>29</v>
      </c>
      <c r="GI156" s="76">
        <v>0</v>
      </c>
      <c r="GJ156" s="76">
        <v>0</v>
      </c>
      <c r="GK156" s="76">
        <v>1180</v>
      </c>
      <c r="GL156" s="76">
        <v>1991</v>
      </c>
      <c r="GM156" s="76">
        <v>325</v>
      </c>
      <c r="GN156" s="76">
        <v>820</v>
      </c>
      <c r="GO156" s="76">
        <v>1988</v>
      </c>
      <c r="GP156" s="76">
        <v>827</v>
      </c>
      <c r="GQ156" s="76">
        <v>0</v>
      </c>
      <c r="GR156" s="76">
        <v>1711</v>
      </c>
      <c r="GS156" s="76">
        <v>0</v>
      </c>
      <c r="GT156" s="76">
        <v>0</v>
      </c>
      <c r="GU156" s="76">
        <v>599</v>
      </c>
      <c r="GV156" s="76">
        <v>0</v>
      </c>
      <c r="GW156" s="76">
        <v>2839</v>
      </c>
      <c r="GX156" s="76">
        <v>9109</v>
      </c>
      <c r="GY156" s="76">
        <v>1277</v>
      </c>
      <c r="GZ156" s="76">
        <v>0</v>
      </c>
      <c r="HA156" s="76">
        <v>4054</v>
      </c>
      <c r="HB156" s="76">
        <v>0</v>
      </c>
      <c r="HC156" s="76">
        <v>5331</v>
      </c>
      <c r="HD156" s="76">
        <v>0</v>
      </c>
      <c r="HE156" s="76">
        <v>0</v>
      </c>
      <c r="HF156" s="76">
        <v>0</v>
      </c>
      <c r="HG156" s="76">
        <v>10493</v>
      </c>
      <c r="HH156" s="76">
        <v>0</v>
      </c>
      <c r="HI156" s="76">
        <v>97</v>
      </c>
      <c r="HJ156" s="76">
        <v>0</v>
      </c>
      <c r="HK156" s="76">
        <v>489</v>
      </c>
      <c r="HL156" s="76">
        <v>-495</v>
      </c>
      <c r="HM156" s="76">
        <v>10584</v>
      </c>
      <c r="HN156" s="76">
        <v>3274</v>
      </c>
      <c r="HO156" s="76">
        <v>5482</v>
      </c>
      <c r="HP156" s="76">
        <v>0</v>
      </c>
      <c r="HQ156" s="76">
        <v>140</v>
      </c>
      <c r="HR156" s="76">
        <v>-45</v>
      </c>
      <c r="HS156" s="76">
        <v>1</v>
      </c>
      <c r="HT156" s="76">
        <v>8945</v>
      </c>
      <c r="HU156" s="76">
        <v>0</v>
      </c>
      <c r="HV156" s="76">
        <v>0</v>
      </c>
      <c r="HW156" s="76">
        <v>0</v>
      </c>
      <c r="HX156" s="76">
        <v>47</v>
      </c>
    </row>
    <row r="157" spans="1:232" x14ac:dyDescent="0.2">
      <c r="A157" s="74" t="s">
        <v>497</v>
      </c>
      <c r="B157" s="74" t="s">
        <v>496</v>
      </c>
      <c r="C157" s="75" t="s">
        <v>200</v>
      </c>
      <c r="D157" s="75">
        <v>12</v>
      </c>
      <c r="E157" s="76">
        <v>52852</v>
      </c>
      <c r="F157" s="76">
        <v>0</v>
      </c>
      <c r="G157" s="76">
        <v>-52468</v>
      </c>
      <c r="H157" s="76">
        <v>384</v>
      </c>
      <c r="I157" s="76">
        <v>244</v>
      </c>
      <c r="J157" s="76">
        <v>0</v>
      </c>
      <c r="K157" s="76">
        <v>-308</v>
      </c>
      <c r="L157" s="76">
        <v>0</v>
      </c>
      <c r="M157" s="76">
        <v>746</v>
      </c>
      <c r="N157" s="76">
        <v>-335</v>
      </c>
      <c r="O157" s="76">
        <v>328</v>
      </c>
      <c r="P157" s="76">
        <v>3215</v>
      </c>
      <c r="Q157" s="76">
        <v>0</v>
      </c>
      <c r="R157" s="76">
        <v>0</v>
      </c>
      <c r="S157" s="76">
        <v>4274</v>
      </c>
      <c r="T157" s="76">
        <v>0</v>
      </c>
      <c r="U157" s="76">
        <v>4274</v>
      </c>
      <c r="V157" s="76">
        <v>0</v>
      </c>
      <c r="W157" s="76">
        <v>0</v>
      </c>
      <c r="X157" s="76">
        <v>0</v>
      </c>
      <c r="Y157" s="76">
        <v>0</v>
      </c>
      <c r="Z157" s="76">
        <v>4274</v>
      </c>
      <c r="AA157" s="76">
        <v>12498</v>
      </c>
      <c r="AB157" s="76">
        <v>8637</v>
      </c>
      <c r="AC157" s="76">
        <v>21135</v>
      </c>
      <c r="AD157" s="76">
        <v>895</v>
      </c>
      <c r="AE157" s="76">
        <v>0</v>
      </c>
      <c r="AF157" s="76">
        <v>0</v>
      </c>
      <c r="AG157" s="76">
        <v>0</v>
      </c>
      <c r="AH157" s="76">
        <v>22030</v>
      </c>
      <c r="AI157" s="76">
        <v>9402</v>
      </c>
      <c r="AJ157" s="76">
        <v>7596</v>
      </c>
      <c r="AK157" s="76">
        <v>1879</v>
      </c>
      <c r="AL157" s="76">
        <v>0</v>
      </c>
      <c r="AM157" s="76">
        <v>437</v>
      </c>
      <c r="AN157" s="76">
        <v>1121</v>
      </c>
      <c r="AO157" s="76">
        <v>992</v>
      </c>
      <c r="AP157" s="76">
        <v>0</v>
      </c>
      <c r="AQ157" s="76">
        <v>0</v>
      </c>
      <c r="AR157" s="76">
        <v>21427</v>
      </c>
      <c r="AS157" s="76">
        <v>603</v>
      </c>
      <c r="AT157" s="76">
        <v>770</v>
      </c>
      <c r="AU157" s="76">
        <v>113653</v>
      </c>
      <c r="AV157" s="76">
        <v>0</v>
      </c>
      <c r="AW157" s="76">
        <v>3716</v>
      </c>
      <c r="AX157" s="76">
        <v>441</v>
      </c>
      <c r="AY157" s="76">
        <v>0</v>
      </c>
      <c r="AZ157" s="76">
        <v>3506</v>
      </c>
      <c r="BA157" s="76">
        <v>0</v>
      </c>
      <c r="BB157" s="76">
        <v>0</v>
      </c>
      <c r="BC157" s="76">
        <v>0</v>
      </c>
      <c r="BD157" s="76">
        <v>49011</v>
      </c>
      <c r="BE157" s="76">
        <v>170327</v>
      </c>
      <c r="BF157" s="76">
        <v>0</v>
      </c>
      <c r="BG157" s="76">
        <v>5220</v>
      </c>
      <c r="BH157" s="76">
        <v>1886</v>
      </c>
      <c r="BI157" s="76">
        <v>0</v>
      </c>
      <c r="BJ157" s="76">
        <v>1571</v>
      </c>
      <c r="BK157" s="76">
        <v>8677</v>
      </c>
      <c r="BL157" s="76">
        <v>386</v>
      </c>
      <c r="BM157" s="76">
        <v>0</v>
      </c>
      <c r="BN157" s="76">
        <v>894</v>
      </c>
      <c r="BO157" s="76">
        <v>13074</v>
      </c>
      <c r="BP157" s="76">
        <v>14354</v>
      </c>
      <c r="BQ157" s="76">
        <v>-5677</v>
      </c>
      <c r="BR157" s="76">
        <v>164650</v>
      </c>
      <c r="BS157" s="76">
        <v>5995</v>
      </c>
      <c r="BT157" s="76">
        <v>0</v>
      </c>
      <c r="BU157" s="76">
        <v>0</v>
      </c>
      <c r="BV157" s="76">
        <v>74202</v>
      </c>
      <c r="BW157" s="76">
        <v>0</v>
      </c>
      <c r="BX157" s="76">
        <v>0</v>
      </c>
      <c r="BY157" s="76">
        <v>8285</v>
      </c>
      <c r="BZ157" s="76">
        <v>88482</v>
      </c>
      <c r="CA157" s="76">
        <v>0</v>
      </c>
      <c r="CB157" s="76">
        <v>0</v>
      </c>
      <c r="CC157" s="76">
        <v>76168</v>
      </c>
      <c r="CD157" s="76">
        <v>75961</v>
      </c>
      <c r="CE157" s="76">
        <v>0</v>
      </c>
      <c r="CF157" s="76">
        <v>207</v>
      </c>
      <c r="CG157" s="76">
        <v>0</v>
      </c>
      <c r="CH157" s="76">
        <v>0</v>
      </c>
      <c r="CI157" s="76">
        <v>76168</v>
      </c>
      <c r="CJ157" s="76">
        <v>0</v>
      </c>
      <c r="CK157" s="76">
        <v>0</v>
      </c>
      <c r="CL157" s="76">
        <v>0</v>
      </c>
      <c r="CM157" s="76">
        <v>0</v>
      </c>
      <c r="CN157" s="76">
        <v>30400</v>
      </c>
      <c r="CO157" s="76">
        <v>0</v>
      </c>
      <c r="CP157" s="76">
        <v>30979</v>
      </c>
      <c r="CQ157" s="76">
        <v>-579</v>
      </c>
      <c r="CR157" s="76">
        <v>0</v>
      </c>
      <c r="CS157" s="76">
        <v>0</v>
      </c>
      <c r="CT157" s="76">
        <v>0</v>
      </c>
      <c r="CU157" s="76">
        <v>0</v>
      </c>
      <c r="CV157" s="76">
        <v>0</v>
      </c>
      <c r="CW157" s="76">
        <v>0</v>
      </c>
      <c r="CX157" s="76">
        <v>0</v>
      </c>
      <c r="CY157" s="76">
        <v>0</v>
      </c>
      <c r="CZ157" s="76">
        <v>0</v>
      </c>
      <c r="DA157" s="76">
        <v>0</v>
      </c>
      <c r="DB157" s="76">
        <v>0</v>
      </c>
      <c r="DC157" s="76">
        <v>0</v>
      </c>
      <c r="DD157" s="76">
        <v>30400</v>
      </c>
      <c r="DE157" s="76">
        <v>0</v>
      </c>
      <c r="DF157" s="76">
        <v>30979</v>
      </c>
      <c r="DG157" s="76">
        <v>-579</v>
      </c>
      <c r="DH157" s="76">
        <v>0</v>
      </c>
      <c r="DI157" s="76">
        <v>0</v>
      </c>
      <c r="DJ157" s="76">
        <v>0</v>
      </c>
      <c r="DK157" s="76">
        <v>0</v>
      </c>
      <c r="DL157" s="76">
        <v>0</v>
      </c>
      <c r="DM157" s="76">
        <v>0</v>
      </c>
      <c r="DN157" s="76">
        <v>0</v>
      </c>
      <c r="DO157" s="76">
        <v>0</v>
      </c>
      <c r="DP157" s="76">
        <v>0</v>
      </c>
      <c r="DQ157" s="76">
        <v>0</v>
      </c>
      <c r="DR157" s="76">
        <v>0</v>
      </c>
      <c r="DS157" s="76">
        <v>0</v>
      </c>
      <c r="DT157" s="76">
        <v>0</v>
      </c>
      <c r="DU157" s="76">
        <v>0</v>
      </c>
      <c r="DV157" s="76">
        <v>0</v>
      </c>
      <c r="DW157" s="76">
        <v>0</v>
      </c>
      <c r="DX157" s="76">
        <v>0</v>
      </c>
      <c r="DY157" s="76">
        <v>0</v>
      </c>
      <c r="DZ157" s="76">
        <v>0</v>
      </c>
      <c r="EA157" s="76">
        <v>0</v>
      </c>
      <c r="EB157" s="76">
        <v>422</v>
      </c>
      <c r="EC157" s="76">
        <v>0</v>
      </c>
      <c r="ED157" s="76">
        <v>62</v>
      </c>
      <c r="EE157" s="76">
        <v>360</v>
      </c>
      <c r="EF157" s="76">
        <v>422</v>
      </c>
      <c r="EG157" s="76">
        <v>0</v>
      </c>
      <c r="EH157" s="76">
        <v>62</v>
      </c>
      <c r="EI157" s="76">
        <v>360</v>
      </c>
      <c r="EJ157" s="76">
        <v>30822</v>
      </c>
      <c r="EK157" s="76">
        <v>0</v>
      </c>
      <c r="EL157" s="76">
        <v>31041</v>
      </c>
      <c r="EM157" s="76">
        <v>-219</v>
      </c>
      <c r="EN157" s="76">
        <v>1585</v>
      </c>
      <c r="EO157" s="76">
        <v>2191</v>
      </c>
      <c r="EP157" s="76">
        <v>92</v>
      </c>
      <c r="EQ157" s="76">
        <v>2191</v>
      </c>
      <c r="ER157" s="76">
        <v>129578</v>
      </c>
      <c r="ES157" s="76">
        <v>0</v>
      </c>
      <c r="ET157" s="76">
        <v>129578</v>
      </c>
      <c r="EU157" s="76">
        <v>1519</v>
      </c>
      <c r="EV157" s="76">
        <v>-3950</v>
      </c>
      <c r="EW157" s="76">
        <v>0</v>
      </c>
      <c r="EX157" s="76">
        <v>0</v>
      </c>
      <c r="EY157" s="76">
        <v>0</v>
      </c>
      <c r="EZ157" s="76">
        <v>127147</v>
      </c>
      <c r="FA157" s="76">
        <v>12729</v>
      </c>
      <c r="FB157" s="76">
        <v>1033</v>
      </c>
      <c r="FC157" s="76">
        <v>0</v>
      </c>
      <c r="FD157" s="76">
        <v>0</v>
      </c>
      <c r="FE157" s="76">
        <v>-268</v>
      </c>
      <c r="FF157" s="76">
        <v>0</v>
      </c>
      <c r="FG157" s="76">
        <v>0</v>
      </c>
      <c r="FH157" s="76">
        <v>13494</v>
      </c>
      <c r="FI157" s="76">
        <v>113653</v>
      </c>
      <c r="FJ157" s="76">
        <v>116849</v>
      </c>
      <c r="FK157" s="76">
        <v>0</v>
      </c>
      <c r="FL157" s="76">
        <v>0</v>
      </c>
      <c r="FM157" s="76">
        <v>0</v>
      </c>
      <c r="FN157" s="76">
        <v>0</v>
      </c>
      <c r="FO157" s="76">
        <v>0</v>
      </c>
      <c r="FP157" s="76">
        <v>0</v>
      </c>
      <c r="FQ157" s="76">
        <v>0</v>
      </c>
      <c r="FR157" s="76">
        <v>0</v>
      </c>
      <c r="FS157" s="76">
        <v>0</v>
      </c>
      <c r="FT157" s="76">
        <v>390</v>
      </c>
      <c r="FU157" s="76">
        <v>227</v>
      </c>
      <c r="FV157" s="76">
        <v>163</v>
      </c>
      <c r="FW157" s="76">
        <v>4100</v>
      </c>
      <c r="FX157" s="76">
        <v>4019</v>
      </c>
      <c r="FY157" s="76">
        <v>81</v>
      </c>
      <c r="FZ157" s="76">
        <v>0</v>
      </c>
      <c r="GA157" s="76">
        <v>0</v>
      </c>
      <c r="GB157" s="76">
        <v>0</v>
      </c>
      <c r="GC157" s="76">
        <v>4490</v>
      </c>
      <c r="GD157" s="76">
        <v>4246</v>
      </c>
      <c r="GE157" s="76">
        <v>244</v>
      </c>
      <c r="GF157" s="76">
        <v>1</v>
      </c>
      <c r="GG157" s="76">
        <v>0</v>
      </c>
      <c r="GH157" s="76">
        <v>0</v>
      </c>
      <c r="GI157" s="76">
        <v>0</v>
      </c>
      <c r="GJ157" s="76">
        <v>0</v>
      </c>
      <c r="GK157" s="76">
        <v>1570</v>
      </c>
      <c r="GL157" s="76">
        <v>1571</v>
      </c>
      <c r="GM157" s="76">
        <v>3411</v>
      </c>
      <c r="GN157" s="76">
        <v>0</v>
      </c>
      <c r="GO157" s="76">
        <v>0</v>
      </c>
      <c r="GP157" s="76">
        <v>827</v>
      </c>
      <c r="GQ157" s="76">
        <v>0</v>
      </c>
      <c r="GR157" s="76">
        <v>4321</v>
      </c>
      <c r="GS157" s="76">
        <v>0</v>
      </c>
      <c r="GT157" s="76">
        <v>0</v>
      </c>
      <c r="GU157" s="76">
        <v>1273</v>
      </c>
      <c r="GV157" s="76">
        <v>0</v>
      </c>
      <c r="GW157" s="76">
        <v>3242</v>
      </c>
      <c r="GX157" s="76">
        <v>13074</v>
      </c>
      <c r="GY157" s="76">
        <v>638</v>
      </c>
      <c r="GZ157" s="76">
        <v>0</v>
      </c>
      <c r="HA157" s="76">
        <v>7647</v>
      </c>
      <c r="HB157" s="76">
        <v>0</v>
      </c>
      <c r="HC157" s="76">
        <v>8285</v>
      </c>
      <c r="HD157" s="76">
        <v>0</v>
      </c>
      <c r="HE157" s="76">
        <v>0</v>
      </c>
      <c r="HF157" s="76">
        <v>0</v>
      </c>
      <c r="HG157" s="76">
        <v>106</v>
      </c>
      <c r="HH157" s="76">
        <v>0</v>
      </c>
      <c r="HI157" s="76">
        <v>229</v>
      </c>
      <c r="HJ157" s="76">
        <v>0</v>
      </c>
      <c r="HK157" s="76">
        <v>0</v>
      </c>
      <c r="HL157" s="76">
        <v>0</v>
      </c>
      <c r="HM157" s="76">
        <v>335</v>
      </c>
      <c r="HN157" s="76">
        <v>1519</v>
      </c>
      <c r="HO157" s="76">
        <v>2015</v>
      </c>
      <c r="HP157" s="76">
        <v>0</v>
      </c>
      <c r="HQ157" s="76">
        <v>5</v>
      </c>
      <c r="HR157" s="76">
        <v>-60</v>
      </c>
      <c r="HS157" s="76">
        <v>-122</v>
      </c>
      <c r="HT157" s="76">
        <v>2352</v>
      </c>
      <c r="HU157" s="76">
        <v>0</v>
      </c>
      <c r="HV157" s="76">
        <v>0</v>
      </c>
      <c r="HW157" s="76">
        <v>0</v>
      </c>
      <c r="HX157" s="76">
        <v>0</v>
      </c>
    </row>
    <row r="158" spans="1:232" x14ac:dyDescent="0.2">
      <c r="A158" s="71" t="s">
        <v>500</v>
      </c>
      <c r="B158" s="71" t="s">
        <v>501</v>
      </c>
      <c r="C158" s="72" t="s">
        <v>200</v>
      </c>
      <c r="D158" s="72">
        <v>12</v>
      </c>
      <c r="E158" s="73">
        <v>36780</v>
      </c>
      <c r="F158" s="73">
        <v>-1940</v>
      </c>
      <c r="G158" s="73">
        <v>-20014</v>
      </c>
      <c r="H158" s="73">
        <v>14826</v>
      </c>
      <c r="I158" s="73">
        <v>1586</v>
      </c>
      <c r="J158" s="73">
        <v>-5000</v>
      </c>
      <c r="K158" s="73">
        <v>-26800</v>
      </c>
      <c r="L158" s="73">
        <v>0</v>
      </c>
      <c r="M158" s="73">
        <v>403</v>
      </c>
      <c r="N158" s="73">
        <v>-15300</v>
      </c>
      <c r="O158" s="73">
        <v>384</v>
      </c>
      <c r="P158" s="73">
        <v>0</v>
      </c>
      <c r="Q158" s="73">
        <v>0</v>
      </c>
      <c r="R158" s="73">
        <v>0</v>
      </c>
      <c r="S158" s="73">
        <v>-29901</v>
      </c>
      <c r="T158" s="73">
        <v>0</v>
      </c>
      <c r="U158" s="73">
        <v>-29901</v>
      </c>
      <c r="V158" s="73">
        <v>0</v>
      </c>
      <c r="W158" s="73">
        <v>0</v>
      </c>
      <c r="X158" s="73">
        <v>0</v>
      </c>
      <c r="Y158" s="73">
        <v>0</v>
      </c>
      <c r="Z158" s="73">
        <v>-29901</v>
      </c>
      <c r="AA158" s="73">
        <v>28359</v>
      </c>
      <c r="AB158" s="73">
        <v>2526</v>
      </c>
      <c r="AC158" s="73">
        <v>30885</v>
      </c>
      <c r="AD158" s="73">
        <v>0</v>
      </c>
      <c r="AE158" s="73">
        <v>0</v>
      </c>
      <c r="AF158" s="73">
        <v>0</v>
      </c>
      <c r="AG158" s="73">
        <v>0</v>
      </c>
      <c r="AH158" s="73">
        <v>30885</v>
      </c>
      <c r="AI158" s="73">
        <v>2998</v>
      </c>
      <c r="AJ158" s="73">
        <v>2986</v>
      </c>
      <c r="AK158" s="73">
        <v>3889</v>
      </c>
      <c r="AL158" s="73">
        <v>974</v>
      </c>
      <c r="AM158" s="73">
        <v>841</v>
      </c>
      <c r="AN158" s="73">
        <v>-54</v>
      </c>
      <c r="AO158" s="73">
        <v>4582</v>
      </c>
      <c r="AP158" s="73">
        <v>0</v>
      </c>
      <c r="AQ158" s="73">
        <v>0</v>
      </c>
      <c r="AR158" s="73">
        <v>16216</v>
      </c>
      <c r="AS158" s="73">
        <v>14669</v>
      </c>
      <c r="AT158" s="73">
        <v>252</v>
      </c>
      <c r="AU158" s="73">
        <v>344198</v>
      </c>
      <c r="AV158" s="73">
        <v>0</v>
      </c>
      <c r="AW158" s="73">
        <v>13</v>
      </c>
      <c r="AX158" s="73">
        <v>400</v>
      </c>
      <c r="AY158" s="73">
        <v>0</v>
      </c>
      <c r="AZ158" s="73">
        <v>16631</v>
      </c>
      <c r="BA158" s="73">
        <v>0</v>
      </c>
      <c r="BB158" s="73">
        <v>0</v>
      </c>
      <c r="BC158" s="73">
        <v>0</v>
      </c>
      <c r="BD158" s="73">
        <v>0</v>
      </c>
      <c r="BE158" s="73">
        <v>361242</v>
      </c>
      <c r="BF158" s="73">
        <v>2501</v>
      </c>
      <c r="BG158" s="73">
        <v>5856</v>
      </c>
      <c r="BH158" s="73">
        <v>8058</v>
      </c>
      <c r="BI158" s="73">
        <v>0</v>
      </c>
      <c r="BJ158" s="73">
        <v>47683</v>
      </c>
      <c r="BK158" s="73">
        <v>64098</v>
      </c>
      <c r="BL158" s="73">
        <v>10896</v>
      </c>
      <c r="BM158" s="73">
        <v>0</v>
      </c>
      <c r="BN158" s="73">
        <v>0</v>
      </c>
      <c r="BO158" s="73">
        <v>2674</v>
      </c>
      <c r="BP158" s="73">
        <v>13570</v>
      </c>
      <c r="BQ158" s="73">
        <v>50528</v>
      </c>
      <c r="BR158" s="73">
        <v>411770</v>
      </c>
      <c r="BS158" s="73">
        <v>207160</v>
      </c>
      <c r="BT158" s="73">
        <v>0</v>
      </c>
      <c r="BU158" s="73">
        <v>0</v>
      </c>
      <c r="BV158" s="73">
        <v>0</v>
      </c>
      <c r="BW158" s="73">
        <v>0</v>
      </c>
      <c r="BX158" s="73">
        <v>0</v>
      </c>
      <c r="BY158" s="73">
        <v>822</v>
      </c>
      <c r="BZ158" s="73">
        <v>207982</v>
      </c>
      <c r="CA158" s="73">
        <v>0</v>
      </c>
      <c r="CB158" s="73">
        <v>0</v>
      </c>
      <c r="CC158" s="73">
        <v>203788</v>
      </c>
      <c r="CD158" s="73">
        <v>-8637</v>
      </c>
      <c r="CE158" s="73">
        <v>212425</v>
      </c>
      <c r="CF158" s="73">
        <v>0</v>
      </c>
      <c r="CG158" s="73">
        <v>0</v>
      </c>
      <c r="CH158" s="73">
        <v>0</v>
      </c>
      <c r="CI158" s="73">
        <v>203788</v>
      </c>
      <c r="CJ158" s="73">
        <v>1297</v>
      </c>
      <c r="CK158" s="73">
        <v>530</v>
      </c>
      <c r="CL158" s="73">
        <v>0</v>
      </c>
      <c r="CM158" s="73">
        <v>767</v>
      </c>
      <c r="CN158" s="73">
        <v>0</v>
      </c>
      <c r="CO158" s="73">
        <v>0</v>
      </c>
      <c r="CP158" s="73">
        <v>0</v>
      </c>
      <c r="CQ158" s="73">
        <v>0</v>
      </c>
      <c r="CR158" s="73">
        <v>0</v>
      </c>
      <c r="CS158" s="73">
        <v>0</v>
      </c>
      <c r="CT158" s="73">
        <v>689</v>
      </c>
      <c r="CU158" s="73">
        <v>-689</v>
      </c>
      <c r="CV158" s="73">
        <v>0</v>
      </c>
      <c r="CW158" s="73">
        <v>0</v>
      </c>
      <c r="CX158" s="73">
        <v>287</v>
      </c>
      <c r="CY158" s="73">
        <v>-287</v>
      </c>
      <c r="CZ158" s="73">
        <v>0</v>
      </c>
      <c r="DA158" s="73">
        <v>0</v>
      </c>
      <c r="DB158" s="73">
        <v>0</v>
      </c>
      <c r="DC158" s="73">
        <v>0</v>
      </c>
      <c r="DD158" s="73">
        <v>1297</v>
      </c>
      <c r="DE158" s="73">
        <v>530</v>
      </c>
      <c r="DF158" s="73">
        <v>976</v>
      </c>
      <c r="DG158" s="73">
        <v>-209</v>
      </c>
      <c r="DH158" s="73">
        <v>1317</v>
      </c>
      <c r="DI158" s="73">
        <v>1410</v>
      </c>
      <c r="DJ158" s="73">
        <v>0</v>
      </c>
      <c r="DK158" s="73">
        <v>-93</v>
      </c>
      <c r="DL158" s="73">
        <v>0</v>
      </c>
      <c r="DM158" s="73">
        <v>0</v>
      </c>
      <c r="DN158" s="73">
        <v>0</v>
      </c>
      <c r="DO158" s="73">
        <v>0</v>
      </c>
      <c r="DP158" s="73">
        <v>0</v>
      </c>
      <c r="DQ158" s="73">
        <v>0</v>
      </c>
      <c r="DR158" s="73">
        <v>0</v>
      </c>
      <c r="DS158" s="73">
        <v>0</v>
      </c>
      <c r="DT158" s="73">
        <v>1956</v>
      </c>
      <c r="DU158" s="73">
        <v>0</v>
      </c>
      <c r="DV158" s="73">
        <v>1956</v>
      </c>
      <c r="DW158" s="73">
        <v>0</v>
      </c>
      <c r="DX158" s="73">
        <v>0</v>
      </c>
      <c r="DY158" s="73">
        <v>0</v>
      </c>
      <c r="DZ158" s="73">
        <v>0</v>
      </c>
      <c r="EA158" s="73">
        <v>0</v>
      </c>
      <c r="EB158" s="73">
        <v>1325</v>
      </c>
      <c r="EC158" s="73">
        <v>0</v>
      </c>
      <c r="ED158" s="73">
        <v>866</v>
      </c>
      <c r="EE158" s="73">
        <v>459</v>
      </c>
      <c r="EF158" s="73">
        <v>4598</v>
      </c>
      <c r="EG158" s="73">
        <v>1410</v>
      </c>
      <c r="EH158" s="73">
        <v>2822</v>
      </c>
      <c r="EI158" s="73">
        <v>366</v>
      </c>
      <c r="EJ158" s="73">
        <v>5895</v>
      </c>
      <c r="EK158" s="73">
        <v>1940</v>
      </c>
      <c r="EL158" s="73">
        <v>3798</v>
      </c>
      <c r="EM158" s="73">
        <v>157</v>
      </c>
      <c r="EN158" s="73">
        <v>1242</v>
      </c>
      <c r="EO158" s="73">
        <v>865</v>
      </c>
      <c r="EP158" s="73">
        <v>143</v>
      </c>
      <c r="EQ158" s="73">
        <v>865</v>
      </c>
      <c r="ER158" s="73">
        <v>356984</v>
      </c>
      <c r="ES158" s="73">
        <v>0</v>
      </c>
      <c r="ET158" s="73">
        <v>356984</v>
      </c>
      <c r="EU158" s="73">
        <v>5157</v>
      </c>
      <c r="EV158" s="73">
        <v>-5176</v>
      </c>
      <c r="EW158" s="73">
        <v>0</v>
      </c>
      <c r="EX158" s="73">
        <v>0</v>
      </c>
      <c r="EY158" s="73">
        <v>-947</v>
      </c>
      <c r="EZ158" s="73">
        <v>356018</v>
      </c>
      <c r="FA158" s="73">
        <v>7953</v>
      </c>
      <c r="FB158" s="73">
        <v>4582</v>
      </c>
      <c r="FC158" s="73">
        <v>0</v>
      </c>
      <c r="FD158" s="73">
        <v>0</v>
      </c>
      <c r="FE158" s="73">
        <v>-678</v>
      </c>
      <c r="FF158" s="73">
        <v>0</v>
      </c>
      <c r="FG158" s="73">
        <v>-37</v>
      </c>
      <c r="FH158" s="73">
        <v>11820</v>
      </c>
      <c r="FI158" s="73">
        <v>344198</v>
      </c>
      <c r="FJ158" s="73">
        <v>349031</v>
      </c>
      <c r="FK158" s="73">
        <v>4405</v>
      </c>
      <c r="FL158" s="73">
        <v>2586</v>
      </c>
      <c r="FM158" s="73">
        <v>1819</v>
      </c>
      <c r="FN158" s="73">
        <v>1474</v>
      </c>
      <c r="FO158" s="73">
        <v>1935</v>
      </c>
      <c r="FP158" s="73">
        <v>-461</v>
      </c>
      <c r="FQ158" s="73">
        <v>290</v>
      </c>
      <c r="FR158" s="73">
        <v>108</v>
      </c>
      <c r="FS158" s="73">
        <v>182</v>
      </c>
      <c r="FT158" s="73">
        <v>279</v>
      </c>
      <c r="FU158" s="73">
        <v>238</v>
      </c>
      <c r="FV158" s="73">
        <v>41</v>
      </c>
      <c r="FW158" s="73">
        <v>0</v>
      </c>
      <c r="FX158" s="73">
        <v>0</v>
      </c>
      <c r="FY158" s="73">
        <v>0</v>
      </c>
      <c r="FZ158" s="73">
        <v>5</v>
      </c>
      <c r="GA158" s="73">
        <v>0</v>
      </c>
      <c r="GB158" s="73">
        <v>5</v>
      </c>
      <c r="GC158" s="73">
        <v>6453</v>
      </c>
      <c r="GD158" s="73">
        <v>4867</v>
      </c>
      <c r="GE158" s="73">
        <v>1586</v>
      </c>
      <c r="GF158" s="73">
        <v>31609</v>
      </c>
      <c r="GG158" s="73">
        <v>0</v>
      </c>
      <c r="GH158" s="73">
        <v>0</v>
      </c>
      <c r="GI158" s="73">
        <v>0</v>
      </c>
      <c r="GJ158" s="73">
        <v>0</v>
      </c>
      <c r="GK158" s="73">
        <v>16074</v>
      </c>
      <c r="GL158" s="73">
        <v>47683</v>
      </c>
      <c r="GM158" s="73">
        <v>0</v>
      </c>
      <c r="GN158" s="73">
        <v>705</v>
      </c>
      <c r="GO158" s="73">
        <v>0</v>
      </c>
      <c r="GP158" s="73">
        <v>0</v>
      </c>
      <c r="GQ158" s="73">
        <v>0</v>
      </c>
      <c r="GR158" s="73">
        <v>1696</v>
      </c>
      <c r="GS158" s="73">
        <v>0</v>
      </c>
      <c r="GT158" s="73">
        <v>0</v>
      </c>
      <c r="GU158" s="73">
        <v>0</v>
      </c>
      <c r="GV158" s="73">
        <v>0</v>
      </c>
      <c r="GW158" s="73">
        <v>273</v>
      </c>
      <c r="GX158" s="73">
        <v>2674</v>
      </c>
      <c r="GY158" s="73">
        <v>213</v>
      </c>
      <c r="GZ158" s="73">
        <v>0</v>
      </c>
      <c r="HA158" s="73">
        <v>0</v>
      </c>
      <c r="HB158" s="73">
        <v>609</v>
      </c>
      <c r="HC158" s="73">
        <v>822</v>
      </c>
      <c r="HD158" s="73">
        <v>0</v>
      </c>
      <c r="HE158" s="73">
        <v>0</v>
      </c>
      <c r="HF158" s="73">
        <v>0</v>
      </c>
      <c r="HG158" s="73">
        <v>14498</v>
      </c>
      <c r="HH158" s="73">
        <v>15</v>
      </c>
      <c r="HI158" s="73">
        <v>0</v>
      </c>
      <c r="HJ158" s="73">
        <v>0</v>
      </c>
      <c r="HK158" s="73">
        <v>796</v>
      </c>
      <c r="HL158" s="73">
        <v>-9</v>
      </c>
      <c r="HM158" s="73">
        <v>15300</v>
      </c>
      <c r="HN158" s="73">
        <v>925</v>
      </c>
      <c r="HO158" s="73">
        <v>4586</v>
      </c>
      <c r="HP158" s="73">
        <v>26800</v>
      </c>
      <c r="HQ158" s="73">
        <v>37</v>
      </c>
      <c r="HR158" s="73">
        <v>-40</v>
      </c>
      <c r="HS158" s="73">
        <v>-17</v>
      </c>
      <c r="HT158" s="73">
        <v>6039</v>
      </c>
      <c r="HU158" s="73">
        <v>19</v>
      </c>
      <c r="HV158" s="73">
        <v>0</v>
      </c>
      <c r="HW158" s="73">
        <v>7</v>
      </c>
      <c r="HX158" s="73">
        <v>714</v>
      </c>
    </row>
    <row r="159" spans="1:232" x14ac:dyDescent="0.2">
      <c r="A159" s="74" t="s">
        <v>109</v>
      </c>
      <c r="B159" s="74" t="s">
        <v>108</v>
      </c>
      <c r="C159" s="75" t="s">
        <v>200</v>
      </c>
      <c r="D159" s="75">
        <v>12</v>
      </c>
      <c r="E159" s="76">
        <v>47478</v>
      </c>
      <c r="F159" s="76">
        <v>0</v>
      </c>
      <c r="G159" s="76">
        <v>-30168</v>
      </c>
      <c r="H159" s="76">
        <v>17310</v>
      </c>
      <c r="I159" s="76">
        <v>6497</v>
      </c>
      <c r="J159" s="76">
        <v>81</v>
      </c>
      <c r="K159" s="76">
        <v>0</v>
      </c>
      <c r="L159" s="76">
        <v>0</v>
      </c>
      <c r="M159" s="76">
        <v>38</v>
      </c>
      <c r="N159" s="76">
        <v>-5382</v>
      </c>
      <c r="O159" s="76">
        <v>82</v>
      </c>
      <c r="P159" s="76">
        <v>0</v>
      </c>
      <c r="Q159" s="76">
        <v>0</v>
      </c>
      <c r="R159" s="76">
        <v>0</v>
      </c>
      <c r="S159" s="76">
        <v>18626</v>
      </c>
      <c r="T159" s="76">
        <v>0</v>
      </c>
      <c r="U159" s="76">
        <v>18626</v>
      </c>
      <c r="V159" s="76">
        <v>0</v>
      </c>
      <c r="W159" s="76">
        <v>-5918</v>
      </c>
      <c r="X159" s="76">
        <v>0</v>
      </c>
      <c r="Y159" s="76">
        <v>0</v>
      </c>
      <c r="Z159" s="76">
        <v>12708</v>
      </c>
      <c r="AA159" s="76">
        <v>42482</v>
      </c>
      <c r="AB159" s="76">
        <v>2648</v>
      </c>
      <c r="AC159" s="76">
        <v>45130</v>
      </c>
      <c r="AD159" s="76">
        <v>15</v>
      </c>
      <c r="AE159" s="76">
        <v>0</v>
      </c>
      <c r="AF159" s="76">
        <v>21</v>
      </c>
      <c r="AG159" s="76">
        <v>0</v>
      </c>
      <c r="AH159" s="76">
        <v>45166</v>
      </c>
      <c r="AI159" s="76">
        <v>9607</v>
      </c>
      <c r="AJ159" s="76">
        <v>2554</v>
      </c>
      <c r="AK159" s="76">
        <v>4623</v>
      </c>
      <c r="AL159" s="76">
        <v>3107</v>
      </c>
      <c r="AM159" s="76">
        <v>0</v>
      </c>
      <c r="AN159" s="76">
        <v>94</v>
      </c>
      <c r="AO159" s="76">
        <v>7103</v>
      </c>
      <c r="AP159" s="76">
        <v>0</v>
      </c>
      <c r="AQ159" s="76">
        <v>1340</v>
      </c>
      <c r="AR159" s="76">
        <v>28428</v>
      </c>
      <c r="AS159" s="76">
        <v>16738</v>
      </c>
      <c r="AT159" s="76">
        <v>204</v>
      </c>
      <c r="AU159" s="76">
        <v>348497</v>
      </c>
      <c r="AV159" s="76">
        <v>0</v>
      </c>
      <c r="AW159" s="76">
        <v>3366</v>
      </c>
      <c r="AX159" s="76">
        <v>0</v>
      </c>
      <c r="AY159" s="76">
        <v>0</v>
      </c>
      <c r="AZ159" s="76">
        <v>1540</v>
      </c>
      <c r="BA159" s="76">
        <v>163</v>
      </c>
      <c r="BB159" s="76">
        <v>0</v>
      </c>
      <c r="BC159" s="76">
        <v>0</v>
      </c>
      <c r="BD159" s="76">
        <v>0</v>
      </c>
      <c r="BE159" s="76">
        <v>353566</v>
      </c>
      <c r="BF159" s="76">
        <v>0</v>
      </c>
      <c r="BG159" s="76">
        <v>1731</v>
      </c>
      <c r="BH159" s="76">
        <v>21340</v>
      </c>
      <c r="BI159" s="76">
        <v>0</v>
      </c>
      <c r="BJ159" s="76">
        <v>329</v>
      </c>
      <c r="BK159" s="76">
        <v>23400</v>
      </c>
      <c r="BL159" s="76">
        <v>0</v>
      </c>
      <c r="BM159" s="76">
        <v>0</v>
      </c>
      <c r="BN159" s="76">
        <v>0</v>
      </c>
      <c r="BO159" s="76">
        <v>7201</v>
      </c>
      <c r="BP159" s="76">
        <v>7201</v>
      </c>
      <c r="BQ159" s="76">
        <v>16199</v>
      </c>
      <c r="BR159" s="76">
        <v>369765</v>
      </c>
      <c r="BS159" s="76">
        <v>150904</v>
      </c>
      <c r="BT159" s="76">
        <v>0</v>
      </c>
      <c r="BU159" s="76">
        <v>0</v>
      </c>
      <c r="BV159" s="76">
        <v>595</v>
      </c>
      <c r="BW159" s="76">
        <v>0</v>
      </c>
      <c r="BX159" s="76">
        <v>0</v>
      </c>
      <c r="BY159" s="76">
        <v>0</v>
      </c>
      <c r="BZ159" s="76">
        <v>151499</v>
      </c>
      <c r="CA159" s="76">
        <v>31424</v>
      </c>
      <c r="CB159" s="76">
        <v>0</v>
      </c>
      <c r="CC159" s="76">
        <v>186842</v>
      </c>
      <c r="CD159" s="76">
        <v>89289</v>
      </c>
      <c r="CE159" s="76">
        <v>97592</v>
      </c>
      <c r="CF159" s="76">
        <v>0</v>
      </c>
      <c r="CG159" s="76">
        <v>0</v>
      </c>
      <c r="CH159" s="76">
        <v>-39</v>
      </c>
      <c r="CI159" s="76">
        <v>186842</v>
      </c>
      <c r="CJ159" s="76">
        <v>0</v>
      </c>
      <c r="CK159" s="76">
        <v>0</v>
      </c>
      <c r="CL159" s="76">
        <v>0</v>
      </c>
      <c r="CM159" s="76">
        <v>0</v>
      </c>
      <c r="CN159" s="76">
        <v>393</v>
      </c>
      <c r="CO159" s="76">
        <v>0</v>
      </c>
      <c r="CP159" s="76">
        <v>350</v>
      </c>
      <c r="CQ159" s="76">
        <v>43</v>
      </c>
      <c r="CR159" s="76">
        <v>0</v>
      </c>
      <c r="CS159" s="76">
        <v>0</v>
      </c>
      <c r="CT159" s="76">
        <v>0</v>
      </c>
      <c r="CU159" s="76">
        <v>0</v>
      </c>
      <c r="CV159" s="76">
        <v>0</v>
      </c>
      <c r="CW159" s="76">
        <v>0</v>
      </c>
      <c r="CX159" s="76">
        <v>0</v>
      </c>
      <c r="CY159" s="76">
        <v>0</v>
      </c>
      <c r="CZ159" s="76">
        <v>304</v>
      </c>
      <c r="DA159" s="76">
        <v>0</v>
      </c>
      <c r="DB159" s="76">
        <v>262</v>
      </c>
      <c r="DC159" s="76">
        <v>42</v>
      </c>
      <c r="DD159" s="76">
        <v>697</v>
      </c>
      <c r="DE159" s="76">
        <v>0</v>
      </c>
      <c r="DF159" s="76">
        <v>612</v>
      </c>
      <c r="DG159" s="76">
        <v>85</v>
      </c>
      <c r="DH159" s="76">
        <v>0</v>
      </c>
      <c r="DI159" s="76">
        <v>0</v>
      </c>
      <c r="DJ159" s="76">
        <v>0</v>
      </c>
      <c r="DK159" s="76">
        <v>0</v>
      </c>
      <c r="DL159" s="76">
        <v>0</v>
      </c>
      <c r="DM159" s="76">
        <v>0</v>
      </c>
      <c r="DN159" s="76">
        <v>0</v>
      </c>
      <c r="DO159" s="76">
        <v>0</v>
      </c>
      <c r="DP159" s="76">
        <v>0</v>
      </c>
      <c r="DQ159" s="76">
        <v>0</v>
      </c>
      <c r="DR159" s="76">
        <v>0</v>
      </c>
      <c r="DS159" s="76">
        <v>0</v>
      </c>
      <c r="DT159" s="76">
        <v>140</v>
      </c>
      <c r="DU159" s="76">
        <v>0</v>
      </c>
      <c r="DV159" s="76">
        <v>127</v>
      </c>
      <c r="DW159" s="76">
        <v>13</v>
      </c>
      <c r="DX159" s="76">
        <v>0</v>
      </c>
      <c r="DY159" s="76">
        <v>0</v>
      </c>
      <c r="DZ159" s="76">
        <v>0</v>
      </c>
      <c r="EA159" s="76">
        <v>0</v>
      </c>
      <c r="EB159" s="76">
        <v>1475</v>
      </c>
      <c r="EC159" s="76">
        <v>0</v>
      </c>
      <c r="ED159" s="76">
        <v>1001</v>
      </c>
      <c r="EE159" s="76">
        <v>474</v>
      </c>
      <c r="EF159" s="76">
        <v>1615</v>
      </c>
      <c r="EG159" s="76">
        <v>0</v>
      </c>
      <c r="EH159" s="76">
        <v>1128</v>
      </c>
      <c r="EI159" s="76">
        <v>487</v>
      </c>
      <c r="EJ159" s="76">
        <v>2312</v>
      </c>
      <c r="EK159" s="76">
        <v>0</v>
      </c>
      <c r="EL159" s="76">
        <v>1740</v>
      </c>
      <c r="EM159" s="76">
        <v>572</v>
      </c>
      <c r="EN159" s="76">
        <v>796</v>
      </c>
      <c r="EO159" s="76">
        <v>561</v>
      </c>
      <c r="EP159" s="76">
        <v>60</v>
      </c>
      <c r="EQ159" s="76">
        <v>561</v>
      </c>
      <c r="ER159" s="76">
        <v>411117</v>
      </c>
      <c r="ES159" s="76">
        <v>0</v>
      </c>
      <c r="ET159" s="76">
        <v>411117</v>
      </c>
      <c r="EU159" s="76">
        <v>5778</v>
      </c>
      <c r="EV159" s="76">
        <v>-11274</v>
      </c>
      <c r="EW159" s="76">
        <v>0</v>
      </c>
      <c r="EX159" s="76">
        <v>0</v>
      </c>
      <c r="EY159" s="76">
        <v>-1063</v>
      </c>
      <c r="EZ159" s="76">
        <v>404558</v>
      </c>
      <c r="FA159" s="76">
        <v>54175</v>
      </c>
      <c r="FB159" s="76">
        <v>7103</v>
      </c>
      <c r="FC159" s="76">
        <v>-2408</v>
      </c>
      <c r="FD159" s="76">
        <v>0</v>
      </c>
      <c r="FE159" s="76">
        <v>-2407</v>
      </c>
      <c r="FF159" s="76">
        <v>0</v>
      </c>
      <c r="FG159" s="76">
        <v>-402</v>
      </c>
      <c r="FH159" s="76">
        <v>56061</v>
      </c>
      <c r="FI159" s="76">
        <v>348497</v>
      </c>
      <c r="FJ159" s="76">
        <v>356942</v>
      </c>
      <c r="FK159" s="76">
        <v>280</v>
      </c>
      <c r="FL159" s="76">
        <v>165</v>
      </c>
      <c r="FM159" s="76">
        <v>115</v>
      </c>
      <c r="FN159" s="76">
        <v>431</v>
      </c>
      <c r="FO159" s="76">
        <v>629</v>
      </c>
      <c r="FP159" s="76">
        <v>-198</v>
      </c>
      <c r="FQ159" s="76">
        <v>0</v>
      </c>
      <c r="FR159" s="76">
        <v>0</v>
      </c>
      <c r="FS159" s="76">
        <v>0</v>
      </c>
      <c r="FT159" s="76">
        <v>0</v>
      </c>
      <c r="FU159" s="76">
        <v>0</v>
      </c>
      <c r="FV159" s="76">
        <v>0</v>
      </c>
      <c r="FW159" s="76">
        <v>11420</v>
      </c>
      <c r="FX159" s="76">
        <v>5599</v>
      </c>
      <c r="FY159" s="76">
        <v>5821</v>
      </c>
      <c r="FZ159" s="76">
        <v>2901</v>
      </c>
      <c r="GA159" s="76">
        <v>2142</v>
      </c>
      <c r="GB159" s="76">
        <v>759</v>
      </c>
      <c r="GC159" s="76">
        <v>15032</v>
      </c>
      <c r="GD159" s="76">
        <v>8535</v>
      </c>
      <c r="GE159" s="76">
        <v>6497</v>
      </c>
      <c r="GF159" s="76">
        <v>0</v>
      </c>
      <c r="GG159" s="76">
        <v>0</v>
      </c>
      <c r="GH159" s="76">
        <v>0</v>
      </c>
      <c r="GI159" s="76">
        <v>0</v>
      </c>
      <c r="GJ159" s="76">
        <v>0</v>
      </c>
      <c r="GK159" s="76">
        <v>329</v>
      </c>
      <c r="GL159" s="76">
        <v>329</v>
      </c>
      <c r="GM159" s="76">
        <v>598</v>
      </c>
      <c r="GN159" s="76">
        <v>1051</v>
      </c>
      <c r="GO159" s="76">
        <v>0</v>
      </c>
      <c r="GP159" s="76">
        <v>549</v>
      </c>
      <c r="GQ159" s="76">
        <v>105</v>
      </c>
      <c r="GR159" s="76">
        <v>852</v>
      </c>
      <c r="GS159" s="76">
        <v>0</v>
      </c>
      <c r="GT159" s="76">
        <v>0</v>
      </c>
      <c r="GU159" s="76">
        <v>57</v>
      </c>
      <c r="GV159" s="76">
        <v>0</v>
      </c>
      <c r="GW159" s="76">
        <v>3989</v>
      </c>
      <c r="GX159" s="76">
        <v>7201</v>
      </c>
      <c r="GY159" s="76">
        <v>0</v>
      </c>
      <c r="GZ159" s="76">
        <v>0</v>
      </c>
      <c r="HA159" s="76">
        <v>0</v>
      </c>
      <c r="HB159" s="76">
        <v>0</v>
      </c>
      <c r="HC159" s="76">
        <v>0</v>
      </c>
      <c r="HD159" s="76">
        <v>0</v>
      </c>
      <c r="HE159" s="76">
        <v>0</v>
      </c>
      <c r="HF159" s="76">
        <v>0</v>
      </c>
      <c r="HG159" s="76">
        <v>4523</v>
      </c>
      <c r="HH159" s="76">
        <v>0</v>
      </c>
      <c r="HI159" s="76">
        <v>859</v>
      </c>
      <c r="HJ159" s="76">
        <v>0</v>
      </c>
      <c r="HK159" s="76">
        <v>0</v>
      </c>
      <c r="HL159" s="76">
        <v>0</v>
      </c>
      <c r="HM159" s="76">
        <v>5382</v>
      </c>
      <c r="HN159" s="76">
        <v>5709</v>
      </c>
      <c r="HO159" s="76">
        <v>7706</v>
      </c>
      <c r="HP159" s="76">
        <v>-2408</v>
      </c>
      <c r="HQ159" s="76">
        <v>0</v>
      </c>
      <c r="HR159" s="76">
        <v>-26</v>
      </c>
      <c r="HS159" s="76">
        <v>-141</v>
      </c>
      <c r="HT159" s="76">
        <v>8775</v>
      </c>
      <c r="HU159" s="76">
        <v>0</v>
      </c>
      <c r="HV159" s="76">
        <v>0</v>
      </c>
      <c r="HW159" s="76">
        <v>-23</v>
      </c>
      <c r="HX159" s="76">
        <v>140</v>
      </c>
    </row>
    <row r="160" spans="1:232" x14ac:dyDescent="0.2">
      <c r="A160" s="74" t="s">
        <v>502</v>
      </c>
      <c r="B160" s="74" t="s">
        <v>503</v>
      </c>
      <c r="C160" s="75" t="s">
        <v>200</v>
      </c>
      <c r="D160" s="75">
        <v>12</v>
      </c>
      <c r="E160" s="76">
        <v>53713</v>
      </c>
      <c r="F160" s="76">
        <v>-1159</v>
      </c>
      <c r="G160" s="76">
        <v>-37606</v>
      </c>
      <c r="H160" s="76">
        <v>14948</v>
      </c>
      <c r="I160" s="76">
        <v>580</v>
      </c>
      <c r="J160" s="76">
        <v>0</v>
      </c>
      <c r="K160" s="76">
        <v>0</v>
      </c>
      <c r="L160" s="76">
        <v>0</v>
      </c>
      <c r="M160" s="76">
        <v>227</v>
      </c>
      <c r="N160" s="76">
        <v>-4988</v>
      </c>
      <c r="O160" s="76">
        <v>86</v>
      </c>
      <c r="P160" s="76">
        <v>-37</v>
      </c>
      <c r="Q160" s="76">
        <v>0</v>
      </c>
      <c r="R160" s="76">
        <v>0</v>
      </c>
      <c r="S160" s="76">
        <v>10816</v>
      </c>
      <c r="T160" s="76">
        <v>0</v>
      </c>
      <c r="U160" s="76">
        <v>10816</v>
      </c>
      <c r="V160" s="76">
        <v>0</v>
      </c>
      <c r="W160" s="76">
        <v>0</v>
      </c>
      <c r="X160" s="76">
        <v>96</v>
      </c>
      <c r="Y160" s="76">
        <v>0</v>
      </c>
      <c r="Z160" s="76">
        <v>10912</v>
      </c>
      <c r="AA160" s="76">
        <v>37951</v>
      </c>
      <c r="AB160" s="76">
        <v>7039</v>
      </c>
      <c r="AC160" s="76">
        <v>44990</v>
      </c>
      <c r="AD160" s="76">
        <v>0</v>
      </c>
      <c r="AE160" s="76">
        <v>1710</v>
      </c>
      <c r="AF160" s="76">
        <v>0</v>
      </c>
      <c r="AG160" s="76">
        <v>2804</v>
      </c>
      <c r="AH160" s="76">
        <v>49504</v>
      </c>
      <c r="AI160" s="76">
        <v>13837</v>
      </c>
      <c r="AJ160" s="76">
        <v>4188</v>
      </c>
      <c r="AK160" s="76">
        <v>5084</v>
      </c>
      <c r="AL160" s="76">
        <v>2554</v>
      </c>
      <c r="AM160" s="76">
        <v>528</v>
      </c>
      <c r="AN160" s="76">
        <v>518</v>
      </c>
      <c r="AO160" s="76">
        <v>5205</v>
      </c>
      <c r="AP160" s="76">
        <v>0</v>
      </c>
      <c r="AQ160" s="76">
        <v>4296</v>
      </c>
      <c r="AR160" s="76">
        <v>36210</v>
      </c>
      <c r="AS160" s="76">
        <v>13294</v>
      </c>
      <c r="AT160" s="76">
        <v>588</v>
      </c>
      <c r="AU160" s="76">
        <v>289848</v>
      </c>
      <c r="AV160" s="76">
        <v>0</v>
      </c>
      <c r="AW160" s="76">
        <v>14513</v>
      </c>
      <c r="AX160" s="76">
        <v>0</v>
      </c>
      <c r="AY160" s="76">
        <v>0</v>
      </c>
      <c r="AZ160" s="76">
        <v>16952</v>
      </c>
      <c r="BA160" s="76">
        <v>0</v>
      </c>
      <c r="BB160" s="76">
        <v>3455</v>
      </c>
      <c r="BC160" s="76">
        <v>0</v>
      </c>
      <c r="BD160" s="76">
        <v>4478</v>
      </c>
      <c r="BE160" s="76">
        <v>329246</v>
      </c>
      <c r="BF160" s="76">
        <v>4009</v>
      </c>
      <c r="BG160" s="76">
        <v>1658</v>
      </c>
      <c r="BH160" s="76">
        <v>19358</v>
      </c>
      <c r="BI160" s="76">
        <v>0</v>
      </c>
      <c r="BJ160" s="76">
        <v>1422</v>
      </c>
      <c r="BK160" s="76">
        <v>26447</v>
      </c>
      <c r="BL160" s="76">
        <v>11644</v>
      </c>
      <c r="BM160" s="76">
        <v>0</v>
      </c>
      <c r="BN160" s="76">
        <v>1694</v>
      </c>
      <c r="BO160" s="76">
        <v>10783</v>
      </c>
      <c r="BP160" s="76">
        <v>24121</v>
      </c>
      <c r="BQ160" s="76">
        <v>2326</v>
      </c>
      <c r="BR160" s="76">
        <v>331572</v>
      </c>
      <c r="BS160" s="76">
        <v>118043</v>
      </c>
      <c r="BT160" s="76">
        <v>0</v>
      </c>
      <c r="BU160" s="76">
        <v>0</v>
      </c>
      <c r="BV160" s="76">
        <v>144836</v>
      </c>
      <c r="BW160" s="76">
        <v>0</v>
      </c>
      <c r="BX160" s="76">
        <v>1754</v>
      </c>
      <c r="BY160" s="76">
        <v>404</v>
      </c>
      <c r="BZ160" s="76">
        <v>265037</v>
      </c>
      <c r="CA160" s="76">
        <v>0</v>
      </c>
      <c r="CB160" s="76">
        <v>20</v>
      </c>
      <c r="CC160" s="76">
        <v>66515</v>
      </c>
      <c r="CD160" s="76">
        <v>68036</v>
      </c>
      <c r="CE160" s="76">
        <v>233</v>
      </c>
      <c r="CF160" s="76">
        <v>0</v>
      </c>
      <c r="CG160" s="76">
        <v>-1754</v>
      </c>
      <c r="CH160" s="76">
        <v>0</v>
      </c>
      <c r="CI160" s="76">
        <v>66515</v>
      </c>
      <c r="CJ160" s="76">
        <v>1490</v>
      </c>
      <c r="CK160" s="76">
        <v>1132</v>
      </c>
      <c r="CL160" s="76">
        <v>0</v>
      </c>
      <c r="CM160" s="76">
        <v>358</v>
      </c>
      <c r="CN160" s="76">
        <v>0</v>
      </c>
      <c r="CO160" s="76">
        <v>0</v>
      </c>
      <c r="CP160" s="76">
        <v>0</v>
      </c>
      <c r="CQ160" s="76">
        <v>0</v>
      </c>
      <c r="CR160" s="76">
        <v>0</v>
      </c>
      <c r="CS160" s="76">
        <v>0</v>
      </c>
      <c r="CT160" s="76">
        <v>0</v>
      </c>
      <c r="CU160" s="76">
        <v>0</v>
      </c>
      <c r="CV160" s="76">
        <v>0</v>
      </c>
      <c r="CW160" s="76">
        <v>0</v>
      </c>
      <c r="CX160" s="76">
        <v>0</v>
      </c>
      <c r="CY160" s="76">
        <v>0</v>
      </c>
      <c r="CZ160" s="76">
        <v>852</v>
      </c>
      <c r="DA160" s="76">
        <v>0</v>
      </c>
      <c r="DB160" s="76">
        <v>674</v>
      </c>
      <c r="DC160" s="76">
        <v>178</v>
      </c>
      <c r="DD160" s="76">
        <v>2342</v>
      </c>
      <c r="DE160" s="76">
        <v>1132</v>
      </c>
      <c r="DF160" s="76">
        <v>674</v>
      </c>
      <c r="DG160" s="76">
        <v>536</v>
      </c>
      <c r="DH160" s="76">
        <v>0</v>
      </c>
      <c r="DI160" s="76">
        <v>27</v>
      </c>
      <c r="DJ160" s="76">
        <v>0</v>
      </c>
      <c r="DK160" s="76">
        <v>-27</v>
      </c>
      <c r="DL160" s="76">
        <v>0</v>
      </c>
      <c r="DM160" s="76">
        <v>0</v>
      </c>
      <c r="DN160" s="76">
        <v>0</v>
      </c>
      <c r="DO160" s="76">
        <v>0</v>
      </c>
      <c r="DP160" s="76">
        <v>0</v>
      </c>
      <c r="DQ160" s="76">
        <v>0</v>
      </c>
      <c r="DR160" s="76">
        <v>0</v>
      </c>
      <c r="DS160" s="76">
        <v>0</v>
      </c>
      <c r="DT160" s="76">
        <v>1867</v>
      </c>
      <c r="DU160" s="76">
        <v>0</v>
      </c>
      <c r="DV160" s="76">
        <v>722</v>
      </c>
      <c r="DW160" s="76">
        <v>1145</v>
      </c>
      <c r="DX160" s="76">
        <v>0</v>
      </c>
      <c r="DY160" s="76">
        <v>0</v>
      </c>
      <c r="DZ160" s="76">
        <v>0</v>
      </c>
      <c r="EA160" s="76">
        <v>0</v>
      </c>
      <c r="EB160" s="76">
        <v>0</v>
      </c>
      <c r="EC160" s="76">
        <v>0</v>
      </c>
      <c r="ED160" s="76">
        <v>0</v>
      </c>
      <c r="EE160" s="76">
        <v>0</v>
      </c>
      <c r="EF160" s="76">
        <v>1867</v>
      </c>
      <c r="EG160" s="76">
        <v>27</v>
      </c>
      <c r="EH160" s="76">
        <v>722</v>
      </c>
      <c r="EI160" s="76">
        <v>1118</v>
      </c>
      <c r="EJ160" s="76">
        <v>4209</v>
      </c>
      <c r="EK160" s="76">
        <v>1159</v>
      </c>
      <c r="EL160" s="76">
        <v>1396</v>
      </c>
      <c r="EM160" s="76">
        <v>1654</v>
      </c>
      <c r="EN160" s="76">
        <v>2195</v>
      </c>
      <c r="EO160" s="76">
        <v>800</v>
      </c>
      <c r="EP160" s="76">
        <v>537</v>
      </c>
      <c r="EQ160" s="76">
        <v>800</v>
      </c>
      <c r="ER160" s="76">
        <v>357644</v>
      </c>
      <c r="ES160" s="76">
        <v>0</v>
      </c>
      <c r="ET160" s="76">
        <v>357644</v>
      </c>
      <c r="EU160" s="76">
        <v>5257</v>
      </c>
      <c r="EV160" s="76">
        <v>-3659</v>
      </c>
      <c r="EW160" s="76">
        <v>0</v>
      </c>
      <c r="EX160" s="76">
        <v>0</v>
      </c>
      <c r="EY160" s="76">
        <v>-4420</v>
      </c>
      <c r="EZ160" s="76">
        <v>354822</v>
      </c>
      <c r="FA160" s="76">
        <v>63309</v>
      </c>
      <c r="FB160" s="76">
        <v>4649</v>
      </c>
      <c r="FC160" s="76">
        <v>0</v>
      </c>
      <c r="FD160" s="76">
        <v>0</v>
      </c>
      <c r="FE160" s="76">
        <v>-2984</v>
      </c>
      <c r="FF160" s="76">
        <v>0</v>
      </c>
      <c r="FG160" s="76">
        <v>0</v>
      </c>
      <c r="FH160" s="76">
        <v>64974</v>
      </c>
      <c r="FI160" s="76">
        <v>289848</v>
      </c>
      <c r="FJ160" s="76">
        <v>294335</v>
      </c>
      <c r="FK160" s="76">
        <v>914</v>
      </c>
      <c r="FL160" s="76">
        <v>498</v>
      </c>
      <c r="FM160" s="76">
        <v>416</v>
      </c>
      <c r="FN160" s="76">
        <v>156</v>
      </c>
      <c r="FO160" s="76">
        <v>92</v>
      </c>
      <c r="FP160" s="76">
        <v>64</v>
      </c>
      <c r="FQ160" s="76">
        <v>0</v>
      </c>
      <c r="FR160" s="76">
        <v>0</v>
      </c>
      <c r="FS160" s="76">
        <v>0</v>
      </c>
      <c r="FT160" s="76">
        <v>447</v>
      </c>
      <c r="FU160" s="76">
        <v>347</v>
      </c>
      <c r="FV160" s="76">
        <v>100</v>
      </c>
      <c r="FW160" s="76">
        <v>0</v>
      </c>
      <c r="FX160" s="76">
        <v>0</v>
      </c>
      <c r="FY160" s="76">
        <v>0</v>
      </c>
      <c r="FZ160" s="76">
        <v>0</v>
      </c>
      <c r="GA160" s="76">
        <v>0</v>
      </c>
      <c r="GB160" s="76">
        <v>0</v>
      </c>
      <c r="GC160" s="76">
        <v>1517</v>
      </c>
      <c r="GD160" s="76">
        <v>937</v>
      </c>
      <c r="GE160" s="76">
        <v>580</v>
      </c>
      <c r="GF160" s="76">
        <v>173</v>
      </c>
      <c r="GG160" s="76">
        <v>0</v>
      </c>
      <c r="GH160" s="76">
        <v>0</v>
      </c>
      <c r="GI160" s="76">
        <v>0</v>
      </c>
      <c r="GJ160" s="76">
        <v>0</v>
      </c>
      <c r="GK160" s="76">
        <v>1249</v>
      </c>
      <c r="GL160" s="76">
        <v>1422</v>
      </c>
      <c r="GM160" s="76">
        <v>1575</v>
      </c>
      <c r="GN160" s="76">
        <v>1446</v>
      </c>
      <c r="GO160" s="76">
        <v>3208</v>
      </c>
      <c r="GP160" s="76">
        <v>10</v>
      </c>
      <c r="GQ160" s="76">
        <v>0</v>
      </c>
      <c r="GR160" s="76">
        <v>4505</v>
      </c>
      <c r="GS160" s="76">
        <v>0</v>
      </c>
      <c r="GT160" s="76">
        <v>0</v>
      </c>
      <c r="GU160" s="76">
        <v>0</v>
      </c>
      <c r="GV160" s="76">
        <v>0</v>
      </c>
      <c r="GW160" s="76">
        <v>39</v>
      </c>
      <c r="GX160" s="76">
        <v>10783</v>
      </c>
      <c r="GY160" s="76">
        <v>353</v>
      </c>
      <c r="GZ160" s="76">
        <v>51</v>
      </c>
      <c r="HA160" s="76">
        <v>0</v>
      </c>
      <c r="HB160" s="76">
        <v>0</v>
      </c>
      <c r="HC160" s="76">
        <v>404</v>
      </c>
      <c r="HD160" s="76">
        <v>0</v>
      </c>
      <c r="HE160" s="76">
        <v>20</v>
      </c>
      <c r="HF160" s="76">
        <v>20</v>
      </c>
      <c r="HG160" s="76">
        <v>5117</v>
      </c>
      <c r="HH160" s="76">
        <v>0</v>
      </c>
      <c r="HI160" s="76">
        <v>0</v>
      </c>
      <c r="HJ160" s="76">
        <v>0</v>
      </c>
      <c r="HK160" s="76">
        <v>0</v>
      </c>
      <c r="HL160" s="76">
        <v>-129</v>
      </c>
      <c r="HM160" s="76">
        <v>4988</v>
      </c>
      <c r="HN160" s="76">
        <v>5257</v>
      </c>
      <c r="HO160" s="76">
        <v>5375</v>
      </c>
      <c r="HP160" s="76">
        <v>0</v>
      </c>
      <c r="HQ160" s="76">
        <v>20</v>
      </c>
      <c r="HR160" s="76">
        <v>-29</v>
      </c>
      <c r="HS160" s="76">
        <v>388</v>
      </c>
      <c r="HT160" s="76">
        <v>10423</v>
      </c>
      <c r="HU160" s="76">
        <v>39</v>
      </c>
      <c r="HV160" s="76">
        <v>0</v>
      </c>
      <c r="HW160" s="76">
        <v>0</v>
      </c>
      <c r="HX160" s="76">
        <v>219</v>
      </c>
    </row>
    <row r="161" spans="1:232" x14ac:dyDescent="0.2">
      <c r="A161" s="74" t="s">
        <v>506</v>
      </c>
      <c r="B161" s="74" t="s">
        <v>505</v>
      </c>
      <c r="C161" s="75" t="s">
        <v>200</v>
      </c>
      <c r="D161" s="75">
        <v>12</v>
      </c>
      <c r="E161" s="76">
        <v>8556</v>
      </c>
      <c r="F161" s="76">
        <v>0</v>
      </c>
      <c r="G161" s="76">
        <v>-4885</v>
      </c>
      <c r="H161" s="76">
        <v>3671</v>
      </c>
      <c r="I161" s="76">
        <v>-5</v>
      </c>
      <c r="J161" s="76">
        <v>20</v>
      </c>
      <c r="K161" s="76">
        <v>0</v>
      </c>
      <c r="L161" s="76">
        <v>0</v>
      </c>
      <c r="M161" s="76">
        <v>17</v>
      </c>
      <c r="N161" s="76">
        <v>-2617</v>
      </c>
      <c r="O161" s="76">
        <v>0</v>
      </c>
      <c r="P161" s="76">
        <v>0</v>
      </c>
      <c r="Q161" s="76">
        <v>0</v>
      </c>
      <c r="R161" s="76">
        <v>0</v>
      </c>
      <c r="S161" s="76">
        <v>1086</v>
      </c>
      <c r="T161" s="76">
        <v>0</v>
      </c>
      <c r="U161" s="76">
        <v>1086</v>
      </c>
      <c r="V161" s="76">
        <v>0</v>
      </c>
      <c r="W161" s="76">
        <v>0</v>
      </c>
      <c r="X161" s="76">
        <v>0</v>
      </c>
      <c r="Y161" s="76">
        <v>0</v>
      </c>
      <c r="Z161" s="76">
        <v>1086</v>
      </c>
      <c r="AA161" s="76">
        <v>7397</v>
      </c>
      <c r="AB161" s="76">
        <v>202</v>
      </c>
      <c r="AC161" s="76">
        <v>7599</v>
      </c>
      <c r="AD161" s="76">
        <v>643</v>
      </c>
      <c r="AE161" s="76">
        <v>0</v>
      </c>
      <c r="AF161" s="76">
        <v>0</v>
      </c>
      <c r="AG161" s="76">
        <v>90</v>
      </c>
      <c r="AH161" s="76">
        <v>8332</v>
      </c>
      <c r="AI161" s="76">
        <v>1828</v>
      </c>
      <c r="AJ161" s="76">
        <v>194</v>
      </c>
      <c r="AK161" s="76">
        <v>823</v>
      </c>
      <c r="AL161" s="76">
        <v>187</v>
      </c>
      <c r="AM161" s="76">
        <v>80</v>
      </c>
      <c r="AN161" s="76">
        <v>19</v>
      </c>
      <c r="AO161" s="76">
        <v>1748</v>
      </c>
      <c r="AP161" s="76">
        <v>0</v>
      </c>
      <c r="AQ161" s="76">
        <v>6</v>
      </c>
      <c r="AR161" s="76">
        <v>4885</v>
      </c>
      <c r="AS161" s="76">
        <v>3447</v>
      </c>
      <c r="AT161" s="76">
        <v>29</v>
      </c>
      <c r="AU161" s="76">
        <v>118495</v>
      </c>
      <c r="AV161" s="76">
        <v>0</v>
      </c>
      <c r="AW161" s="76">
        <v>879</v>
      </c>
      <c r="AX161" s="76">
        <v>0</v>
      </c>
      <c r="AY161" s="76">
        <v>0</v>
      </c>
      <c r="AZ161" s="76">
        <v>480</v>
      </c>
      <c r="BA161" s="76">
        <v>0</v>
      </c>
      <c r="BB161" s="76">
        <v>0</v>
      </c>
      <c r="BC161" s="76">
        <v>0</v>
      </c>
      <c r="BD161" s="76">
        <v>0</v>
      </c>
      <c r="BE161" s="76">
        <v>119854</v>
      </c>
      <c r="BF161" s="76">
        <v>0</v>
      </c>
      <c r="BG161" s="76">
        <v>211</v>
      </c>
      <c r="BH161" s="76">
        <v>5923</v>
      </c>
      <c r="BI161" s="76">
        <v>0</v>
      </c>
      <c r="BJ161" s="76">
        <v>232</v>
      </c>
      <c r="BK161" s="76">
        <v>6366</v>
      </c>
      <c r="BL161" s="76">
        <v>1530</v>
      </c>
      <c r="BM161" s="76">
        <v>0</v>
      </c>
      <c r="BN161" s="76">
        <v>649</v>
      </c>
      <c r="BO161" s="76">
        <v>1574</v>
      </c>
      <c r="BP161" s="76">
        <v>3753</v>
      </c>
      <c r="BQ161" s="76">
        <v>2613</v>
      </c>
      <c r="BR161" s="76">
        <v>122467</v>
      </c>
      <c r="BS161" s="76">
        <v>52323</v>
      </c>
      <c r="BT161" s="76">
        <v>0</v>
      </c>
      <c r="BU161" s="76">
        <v>0</v>
      </c>
      <c r="BV161" s="76">
        <v>56148</v>
      </c>
      <c r="BW161" s="76">
        <v>0</v>
      </c>
      <c r="BX161" s="76">
        <v>0</v>
      </c>
      <c r="BY161" s="76">
        <v>1434</v>
      </c>
      <c r="BZ161" s="76">
        <v>109905</v>
      </c>
      <c r="CA161" s="76">
        <v>0</v>
      </c>
      <c r="CB161" s="76">
        <v>0</v>
      </c>
      <c r="CC161" s="76">
        <v>12562</v>
      </c>
      <c r="CD161" s="76">
        <v>12562</v>
      </c>
      <c r="CE161" s="76">
        <v>0</v>
      </c>
      <c r="CF161" s="76">
        <v>0</v>
      </c>
      <c r="CG161" s="76">
        <v>0</v>
      </c>
      <c r="CH161" s="76">
        <v>0</v>
      </c>
      <c r="CI161" s="76">
        <v>12562</v>
      </c>
      <c r="CJ161" s="76">
        <v>0</v>
      </c>
      <c r="CK161" s="76">
        <v>0</v>
      </c>
      <c r="CL161" s="76">
        <v>0</v>
      </c>
      <c r="CM161" s="76">
        <v>0</v>
      </c>
      <c r="CN161" s="76">
        <v>0</v>
      </c>
      <c r="CO161" s="76">
        <v>0</v>
      </c>
      <c r="CP161" s="76">
        <v>0</v>
      </c>
      <c r="CQ161" s="76">
        <v>0</v>
      </c>
      <c r="CR161" s="76">
        <v>68</v>
      </c>
      <c r="CS161" s="76">
        <v>0</v>
      </c>
      <c r="CT161" s="76">
        <v>0</v>
      </c>
      <c r="CU161" s="76">
        <v>68</v>
      </c>
      <c r="CV161" s="76">
        <v>0</v>
      </c>
      <c r="CW161" s="76">
        <v>0</v>
      </c>
      <c r="CX161" s="76">
        <v>0</v>
      </c>
      <c r="CY161" s="76">
        <v>0</v>
      </c>
      <c r="CZ161" s="76">
        <v>90</v>
      </c>
      <c r="DA161" s="76">
        <v>0</v>
      </c>
      <c r="DB161" s="76">
        <v>0</v>
      </c>
      <c r="DC161" s="76">
        <v>90</v>
      </c>
      <c r="DD161" s="76">
        <v>158</v>
      </c>
      <c r="DE161" s="76">
        <v>0</v>
      </c>
      <c r="DF161" s="76">
        <v>0</v>
      </c>
      <c r="DG161" s="76">
        <v>158</v>
      </c>
      <c r="DH161" s="76">
        <v>0</v>
      </c>
      <c r="DI161" s="76">
        <v>0</v>
      </c>
      <c r="DJ161" s="76">
        <v>0</v>
      </c>
      <c r="DK161" s="76">
        <v>0</v>
      </c>
      <c r="DL161" s="76">
        <v>0</v>
      </c>
      <c r="DM161" s="76">
        <v>0</v>
      </c>
      <c r="DN161" s="76">
        <v>0</v>
      </c>
      <c r="DO161" s="76">
        <v>0</v>
      </c>
      <c r="DP161" s="76">
        <v>0</v>
      </c>
      <c r="DQ161" s="76">
        <v>0</v>
      </c>
      <c r="DR161" s="76">
        <v>0</v>
      </c>
      <c r="DS161" s="76">
        <v>0</v>
      </c>
      <c r="DT161" s="76">
        <v>0</v>
      </c>
      <c r="DU161" s="76">
        <v>0</v>
      </c>
      <c r="DV161" s="76">
        <v>0</v>
      </c>
      <c r="DW161" s="76">
        <v>0</v>
      </c>
      <c r="DX161" s="76">
        <v>0</v>
      </c>
      <c r="DY161" s="76">
        <v>0</v>
      </c>
      <c r="DZ161" s="76">
        <v>0</v>
      </c>
      <c r="EA161" s="76">
        <v>0</v>
      </c>
      <c r="EB161" s="76">
        <v>66</v>
      </c>
      <c r="EC161" s="76">
        <v>0</v>
      </c>
      <c r="ED161" s="76">
        <v>0</v>
      </c>
      <c r="EE161" s="76">
        <v>66</v>
      </c>
      <c r="EF161" s="76">
        <v>66</v>
      </c>
      <c r="EG161" s="76">
        <v>0</v>
      </c>
      <c r="EH161" s="76">
        <v>0</v>
      </c>
      <c r="EI161" s="76">
        <v>66</v>
      </c>
      <c r="EJ161" s="76">
        <v>224</v>
      </c>
      <c r="EK161" s="76">
        <v>0</v>
      </c>
      <c r="EL161" s="76">
        <v>0</v>
      </c>
      <c r="EM161" s="76">
        <v>224</v>
      </c>
      <c r="EN161" s="76">
        <v>283</v>
      </c>
      <c r="EO161" s="76">
        <v>263</v>
      </c>
      <c r="EP161" s="76">
        <v>200</v>
      </c>
      <c r="EQ161" s="76">
        <v>263</v>
      </c>
      <c r="ER161" s="76">
        <v>136300</v>
      </c>
      <c r="ES161" s="76">
        <v>0</v>
      </c>
      <c r="ET161" s="76">
        <v>136300</v>
      </c>
      <c r="EU161" s="76">
        <v>2313</v>
      </c>
      <c r="EV161" s="76">
        <v>-678</v>
      </c>
      <c r="EW161" s="76">
        <v>0</v>
      </c>
      <c r="EX161" s="76">
        <v>0</v>
      </c>
      <c r="EY161" s="76">
        <v>0</v>
      </c>
      <c r="EZ161" s="76">
        <v>137935</v>
      </c>
      <c r="FA161" s="76">
        <v>17924</v>
      </c>
      <c r="FB161" s="76">
        <v>1748</v>
      </c>
      <c r="FC161" s="76">
        <v>0</v>
      </c>
      <c r="FD161" s="76">
        <v>0</v>
      </c>
      <c r="FE161" s="76">
        <v>-232</v>
      </c>
      <c r="FF161" s="76">
        <v>0</v>
      </c>
      <c r="FG161" s="76">
        <v>0</v>
      </c>
      <c r="FH161" s="76">
        <v>19440</v>
      </c>
      <c r="FI161" s="76">
        <v>118495</v>
      </c>
      <c r="FJ161" s="76">
        <v>118376</v>
      </c>
      <c r="FK161" s="76">
        <v>279</v>
      </c>
      <c r="FL161" s="76">
        <v>316</v>
      </c>
      <c r="FM161" s="76">
        <v>-37</v>
      </c>
      <c r="FN161" s="76">
        <v>0</v>
      </c>
      <c r="FO161" s="76">
        <v>0</v>
      </c>
      <c r="FP161" s="76">
        <v>0</v>
      </c>
      <c r="FQ161" s="76">
        <v>160</v>
      </c>
      <c r="FR161" s="76">
        <v>129</v>
      </c>
      <c r="FS161" s="76">
        <v>31</v>
      </c>
      <c r="FT161" s="76">
        <v>0</v>
      </c>
      <c r="FU161" s="76">
        <v>0</v>
      </c>
      <c r="FV161" s="76">
        <v>0</v>
      </c>
      <c r="FW161" s="76">
        <v>0</v>
      </c>
      <c r="FX161" s="76">
        <v>0</v>
      </c>
      <c r="FY161" s="76">
        <v>0</v>
      </c>
      <c r="FZ161" s="76">
        <v>1</v>
      </c>
      <c r="GA161" s="76">
        <v>0</v>
      </c>
      <c r="GB161" s="76">
        <v>1</v>
      </c>
      <c r="GC161" s="76">
        <v>440</v>
      </c>
      <c r="GD161" s="76">
        <v>445</v>
      </c>
      <c r="GE161" s="76">
        <v>-5</v>
      </c>
      <c r="GF161" s="76">
        <v>232</v>
      </c>
      <c r="GG161" s="76">
        <v>0</v>
      </c>
      <c r="GH161" s="76">
        <v>0</v>
      </c>
      <c r="GI161" s="76">
        <v>0</v>
      </c>
      <c r="GJ161" s="76">
        <v>0</v>
      </c>
      <c r="GK161" s="76">
        <v>0</v>
      </c>
      <c r="GL161" s="76">
        <v>232</v>
      </c>
      <c r="GM161" s="76">
        <v>297</v>
      </c>
      <c r="GN161" s="76">
        <v>137</v>
      </c>
      <c r="GO161" s="76">
        <v>61</v>
      </c>
      <c r="GP161" s="76">
        <v>0</v>
      </c>
      <c r="GQ161" s="76">
        <v>0</v>
      </c>
      <c r="GR161" s="76">
        <v>1039</v>
      </c>
      <c r="GS161" s="76">
        <v>0</v>
      </c>
      <c r="GT161" s="76">
        <v>0</v>
      </c>
      <c r="GU161" s="76">
        <v>0</v>
      </c>
      <c r="GV161" s="76">
        <v>0</v>
      </c>
      <c r="GW161" s="76">
        <v>40</v>
      </c>
      <c r="GX161" s="76">
        <v>1574</v>
      </c>
      <c r="GY161" s="76">
        <v>0</v>
      </c>
      <c r="GZ161" s="76">
        <v>0</v>
      </c>
      <c r="HA161" s="76">
        <v>842</v>
      </c>
      <c r="HB161" s="76">
        <v>592</v>
      </c>
      <c r="HC161" s="76">
        <v>1434</v>
      </c>
      <c r="HD161" s="76">
        <v>0</v>
      </c>
      <c r="HE161" s="76">
        <v>0</v>
      </c>
      <c r="HF161" s="76">
        <v>0</v>
      </c>
      <c r="HG161" s="76">
        <v>2661</v>
      </c>
      <c r="HH161" s="76">
        <v>48</v>
      </c>
      <c r="HI161" s="76">
        <v>0</v>
      </c>
      <c r="HJ161" s="76">
        <v>0</v>
      </c>
      <c r="HK161" s="76">
        <v>0</v>
      </c>
      <c r="HL161" s="76">
        <v>-92</v>
      </c>
      <c r="HM161" s="76">
        <v>2617</v>
      </c>
      <c r="HN161" s="76">
        <v>561</v>
      </c>
      <c r="HO161" s="76">
        <v>1810</v>
      </c>
      <c r="HP161" s="76">
        <v>0</v>
      </c>
      <c r="HQ161" s="76">
        <v>34</v>
      </c>
      <c r="HR161" s="76">
        <v>-6</v>
      </c>
      <c r="HS161" s="76">
        <v>1</v>
      </c>
      <c r="HT161" s="76">
        <v>1430</v>
      </c>
      <c r="HU161" s="76">
        <v>0</v>
      </c>
      <c r="HV161" s="76">
        <v>0</v>
      </c>
      <c r="HW161" s="76">
        <v>0</v>
      </c>
      <c r="HX161" s="76">
        <v>0</v>
      </c>
    </row>
    <row r="162" spans="1:232" x14ac:dyDescent="0.2">
      <c r="A162" s="74" t="s">
        <v>507</v>
      </c>
      <c r="B162" s="74" t="s">
        <v>508</v>
      </c>
      <c r="C162" s="75" t="s">
        <v>200</v>
      </c>
      <c r="D162" s="75">
        <v>12</v>
      </c>
      <c r="E162" s="76">
        <v>49840</v>
      </c>
      <c r="F162" s="76">
        <v>0</v>
      </c>
      <c r="G162" s="76">
        <v>-32933</v>
      </c>
      <c r="H162" s="76">
        <v>16907</v>
      </c>
      <c r="I162" s="76">
        <v>2245</v>
      </c>
      <c r="J162" s="76">
        <v>0</v>
      </c>
      <c r="K162" s="76">
        <v>-46</v>
      </c>
      <c r="L162" s="76">
        <v>0</v>
      </c>
      <c r="M162" s="76">
        <v>9</v>
      </c>
      <c r="N162" s="76">
        <v>-7581</v>
      </c>
      <c r="O162" s="76">
        <v>0</v>
      </c>
      <c r="P162" s="76">
        <v>0</v>
      </c>
      <c r="Q162" s="76">
        <v>0</v>
      </c>
      <c r="R162" s="76">
        <v>0</v>
      </c>
      <c r="S162" s="76">
        <v>11534</v>
      </c>
      <c r="T162" s="76">
        <v>0</v>
      </c>
      <c r="U162" s="76">
        <v>11534</v>
      </c>
      <c r="V162" s="76">
        <v>0</v>
      </c>
      <c r="W162" s="76">
        <v>-504</v>
      </c>
      <c r="X162" s="76">
        <v>0</v>
      </c>
      <c r="Y162" s="76">
        <v>0</v>
      </c>
      <c r="Z162" s="76">
        <v>11030</v>
      </c>
      <c r="AA162" s="76">
        <v>32718</v>
      </c>
      <c r="AB162" s="76">
        <v>1792</v>
      </c>
      <c r="AC162" s="76">
        <v>34510</v>
      </c>
      <c r="AD162" s="76">
        <v>394</v>
      </c>
      <c r="AE162" s="76">
        <v>0</v>
      </c>
      <c r="AF162" s="76">
        <v>61</v>
      </c>
      <c r="AG162" s="76">
        <v>9471</v>
      </c>
      <c r="AH162" s="76">
        <v>44436</v>
      </c>
      <c r="AI162" s="76">
        <v>6713</v>
      </c>
      <c r="AJ162" s="76">
        <v>2649</v>
      </c>
      <c r="AK162" s="76">
        <v>11435</v>
      </c>
      <c r="AL162" s="76">
        <v>3515</v>
      </c>
      <c r="AM162" s="76">
        <v>-76</v>
      </c>
      <c r="AN162" s="76">
        <v>226</v>
      </c>
      <c r="AO162" s="76">
        <v>4061</v>
      </c>
      <c r="AP162" s="76">
        <v>-277</v>
      </c>
      <c r="AQ162" s="76">
        <v>57</v>
      </c>
      <c r="AR162" s="76">
        <v>28303</v>
      </c>
      <c r="AS162" s="76">
        <v>16133</v>
      </c>
      <c r="AT162" s="76">
        <v>349</v>
      </c>
      <c r="AU162" s="76">
        <v>250086</v>
      </c>
      <c r="AV162" s="76">
        <v>0</v>
      </c>
      <c r="AW162" s="76">
        <v>2545</v>
      </c>
      <c r="AX162" s="76">
        <v>0</v>
      </c>
      <c r="AY162" s="76">
        <v>0</v>
      </c>
      <c r="AZ162" s="76">
        <v>0</v>
      </c>
      <c r="BA162" s="76">
        <v>0</v>
      </c>
      <c r="BB162" s="76">
        <v>0</v>
      </c>
      <c r="BC162" s="76">
        <v>0</v>
      </c>
      <c r="BD162" s="76">
        <v>851</v>
      </c>
      <c r="BE162" s="76">
        <v>253482</v>
      </c>
      <c r="BF162" s="76">
        <v>1453</v>
      </c>
      <c r="BG162" s="76">
        <v>0</v>
      </c>
      <c r="BH162" s="76">
        <v>426</v>
      </c>
      <c r="BI162" s="76">
        <v>0</v>
      </c>
      <c r="BJ162" s="76">
        <v>7277</v>
      </c>
      <c r="BK162" s="76">
        <v>9156</v>
      </c>
      <c r="BL162" s="76">
        <v>11545</v>
      </c>
      <c r="BM162" s="76">
        <v>0</v>
      </c>
      <c r="BN162" s="76">
        <v>0</v>
      </c>
      <c r="BO162" s="76">
        <v>6337</v>
      </c>
      <c r="BP162" s="76">
        <v>17882</v>
      </c>
      <c r="BQ162" s="76">
        <v>-8726</v>
      </c>
      <c r="BR162" s="76">
        <v>244756</v>
      </c>
      <c r="BS162" s="76">
        <v>132912</v>
      </c>
      <c r="BT162" s="76">
        <v>0</v>
      </c>
      <c r="BU162" s="76">
        <v>0</v>
      </c>
      <c r="BV162" s="76">
        <v>37778</v>
      </c>
      <c r="BW162" s="76">
        <v>0</v>
      </c>
      <c r="BX162" s="76">
        <v>0</v>
      </c>
      <c r="BY162" s="76">
        <v>403</v>
      </c>
      <c r="BZ162" s="76">
        <v>171093</v>
      </c>
      <c r="CA162" s="76">
        <v>1540</v>
      </c>
      <c r="CB162" s="76">
        <v>8</v>
      </c>
      <c r="CC162" s="76">
        <v>72115</v>
      </c>
      <c r="CD162" s="76">
        <v>72115</v>
      </c>
      <c r="CE162" s="76">
        <v>0</v>
      </c>
      <c r="CF162" s="76">
        <v>0</v>
      </c>
      <c r="CG162" s="76">
        <v>0</v>
      </c>
      <c r="CH162" s="76">
        <v>0</v>
      </c>
      <c r="CI162" s="76">
        <v>72115</v>
      </c>
      <c r="CJ162" s="76">
        <v>4446</v>
      </c>
      <c r="CK162" s="76">
        <v>0</v>
      </c>
      <c r="CL162" s="76">
        <v>2789</v>
      </c>
      <c r="CM162" s="76">
        <v>1657</v>
      </c>
      <c r="CN162" s="76">
        <v>0</v>
      </c>
      <c r="CO162" s="76">
        <v>0</v>
      </c>
      <c r="CP162" s="76">
        <v>1848</v>
      </c>
      <c r="CQ162" s="76">
        <v>-1848</v>
      </c>
      <c r="CR162" s="76">
        <v>0</v>
      </c>
      <c r="CS162" s="76">
        <v>0</v>
      </c>
      <c r="CT162" s="76">
        <v>0</v>
      </c>
      <c r="CU162" s="76">
        <v>0</v>
      </c>
      <c r="CV162" s="76">
        <v>0</v>
      </c>
      <c r="CW162" s="76">
        <v>0</v>
      </c>
      <c r="CX162" s="76">
        <v>0</v>
      </c>
      <c r="CY162" s="76">
        <v>0</v>
      </c>
      <c r="CZ162" s="76">
        <v>939</v>
      </c>
      <c r="DA162" s="76">
        <v>0</v>
      </c>
      <c r="DB162" s="76">
        <v>-34</v>
      </c>
      <c r="DC162" s="76">
        <v>973</v>
      </c>
      <c r="DD162" s="76">
        <v>5385</v>
      </c>
      <c r="DE162" s="76">
        <v>0</v>
      </c>
      <c r="DF162" s="76">
        <v>4603</v>
      </c>
      <c r="DG162" s="76">
        <v>782</v>
      </c>
      <c r="DH162" s="76">
        <v>0</v>
      </c>
      <c r="DI162" s="76">
        <v>0</v>
      </c>
      <c r="DJ162" s="76">
        <v>0</v>
      </c>
      <c r="DK162" s="76">
        <v>0</v>
      </c>
      <c r="DL162" s="76">
        <v>0</v>
      </c>
      <c r="DM162" s="76">
        <v>0</v>
      </c>
      <c r="DN162" s="76">
        <v>0</v>
      </c>
      <c r="DO162" s="76">
        <v>0</v>
      </c>
      <c r="DP162" s="76">
        <v>0</v>
      </c>
      <c r="DQ162" s="76">
        <v>0</v>
      </c>
      <c r="DR162" s="76">
        <v>0</v>
      </c>
      <c r="DS162" s="76">
        <v>0</v>
      </c>
      <c r="DT162" s="76">
        <v>0</v>
      </c>
      <c r="DU162" s="76">
        <v>0</v>
      </c>
      <c r="DV162" s="76">
        <v>0</v>
      </c>
      <c r="DW162" s="76">
        <v>0</v>
      </c>
      <c r="DX162" s="76">
        <v>0</v>
      </c>
      <c r="DY162" s="76">
        <v>0</v>
      </c>
      <c r="DZ162" s="76">
        <v>0</v>
      </c>
      <c r="EA162" s="76">
        <v>0</v>
      </c>
      <c r="EB162" s="76">
        <v>19</v>
      </c>
      <c r="EC162" s="76">
        <v>0</v>
      </c>
      <c r="ED162" s="76">
        <v>27</v>
      </c>
      <c r="EE162" s="76">
        <v>-8</v>
      </c>
      <c r="EF162" s="76">
        <v>19</v>
      </c>
      <c r="EG162" s="76">
        <v>0</v>
      </c>
      <c r="EH162" s="76">
        <v>27</v>
      </c>
      <c r="EI162" s="76">
        <v>-8</v>
      </c>
      <c r="EJ162" s="76">
        <v>5404</v>
      </c>
      <c r="EK162" s="76">
        <v>0</v>
      </c>
      <c r="EL162" s="76">
        <v>4630</v>
      </c>
      <c r="EM162" s="76">
        <v>774</v>
      </c>
      <c r="EN162" s="76">
        <v>4402</v>
      </c>
      <c r="EO162" s="76">
        <v>387</v>
      </c>
      <c r="EP162" s="76">
        <v>30</v>
      </c>
      <c r="EQ162" s="76">
        <v>387</v>
      </c>
      <c r="ER162" s="76">
        <v>270263</v>
      </c>
      <c r="ES162" s="76">
        <v>0</v>
      </c>
      <c r="ET162" s="76">
        <v>270263</v>
      </c>
      <c r="EU162" s="76">
        <v>10663</v>
      </c>
      <c r="EV162" s="76">
        <v>-9889</v>
      </c>
      <c r="EW162" s="76">
        <v>0</v>
      </c>
      <c r="EX162" s="76">
        <v>0</v>
      </c>
      <c r="EY162" s="76">
        <v>0</v>
      </c>
      <c r="EZ162" s="76">
        <v>271037</v>
      </c>
      <c r="FA162" s="76">
        <v>17858</v>
      </c>
      <c r="FB162" s="76">
        <v>4085</v>
      </c>
      <c r="FC162" s="76">
        <v>-409</v>
      </c>
      <c r="FD162" s="76">
        <v>0</v>
      </c>
      <c r="FE162" s="76">
        <v>-583</v>
      </c>
      <c r="FF162" s="76">
        <v>0</v>
      </c>
      <c r="FG162" s="76">
        <v>0</v>
      </c>
      <c r="FH162" s="76">
        <v>20951</v>
      </c>
      <c r="FI162" s="76">
        <v>250086</v>
      </c>
      <c r="FJ162" s="76">
        <v>252405</v>
      </c>
      <c r="FK162" s="76">
        <v>905</v>
      </c>
      <c r="FL162" s="76">
        <v>535</v>
      </c>
      <c r="FM162" s="76">
        <v>370</v>
      </c>
      <c r="FN162" s="76">
        <v>543</v>
      </c>
      <c r="FO162" s="76">
        <v>506</v>
      </c>
      <c r="FP162" s="76">
        <v>37</v>
      </c>
      <c r="FQ162" s="76">
        <v>0</v>
      </c>
      <c r="FR162" s="76">
        <v>0</v>
      </c>
      <c r="FS162" s="76">
        <v>0</v>
      </c>
      <c r="FT162" s="76">
        <v>10594</v>
      </c>
      <c r="FU162" s="76">
        <v>8776</v>
      </c>
      <c r="FV162" s="76">
        <v>1818</v>
      </c>
      <c r="FW162" s="76">
        <v>0</v>
      </c>
      <c r="FX162" s="76">
        <v>0</v>
      </c>
      <c r="FY162" s="76">
        <v>0</v>
      </c>
      <c r="FZ162" s="76">
        <v>20</v>
      </c>
      <c r="GA162" s="76">
        <v>0</v>
      </c>
      <c r="GB162" s="76">
        <v>20</v>
      </c>
      <c r="GC162" s="76">
        <v>12062</v>
      </c>
      <c r="GD162" s="76">
        <v>9817</v>
      </c>
      <c r="GE162" s="76">
        <v>2245</v>
      </c>
      <c r="GF162" s="76">
        <v>2144</v>
      </c>
      <c r="GG162" s="76">
        <v>0</v>
      </c>
      <c r="GH162" s="76">
        <v>169</v>
      </c>
      <c r="GI162" s="76">
        <v>0</v>
      </c>
      <c r="GJ162" s="76">
        <v>0</v>
      </c>
      <c r="GK162" s="76">
        <v>4964</v>
      </c>
      <c r="GL162" s="76">
        <v>7277</v>
      </c>
      <c r="GM162" s="76">
        <v>203</v>
      </c>
      <c r="GN162" s="76">
        <v>1393</v>
      </c>
      <c r="GO162" s="76">
        <v>1268</v>
      </c>
      <c r="GP162" s="76">
        <v>0</v>
      </c>
      <c r="GQ162" s="76">
        <v>0</v>
      </c>
      <c r="GR162" s="76">
        <v>3473</v>
      </c>
      <c r="GS162" s="76">
        <v>0</v>
      </c>
      <c r="GT162" s="76">
        <v>0</v>
      </c>
      <c r="GU162" s="76">
        <v>0</v>
      </c>
      <c r="GV162" s="76">
        <v>0</v>
      </c>
      <c r="GW162" s="76">
        <v>0</v>
      </c>
      <c r="GX162" s="76">
        <v>6337</v>
      </c>
      <c r="GY162" s="76">
        <v>7</v>
      </c>
      <c r="GZ162" s="76">
        <v>2</v>
      </c>
      <c r="HA162" s="76">
        <v>0</v>
      </c>
      <c r="HB162" s="76">
        <v>394</v>
      </c>
      <c r="HC162" s="76">
        <v>403</v>
      </c>
      <c r="HD162" s="76">
        <v>0</v>
      </c>
      <c r="HE162" s="76">
        <v>8</v>
      </c>
      <c r="HF162" s="76">
        <v>8</v>
      </c>
      <c r="HG162" s="76">
        <v>7509</v>
      </c>
      <c r="HH162" s="76">
        <v>0</v>
      </c>
      <c r="HI162" s="76">
        <v>0</v>
      </c>
      <c r="HJ162" s="76">
        <v>0</v>
      </c>
      <c r="HK162" s="76">
        <v>250</v>
      </c>
      <c r="HL162" s="76">
        <v>-178</v>
      </c>
      <c r="HM162" s="76">
        <v>7581</v>
      </c>
      <c r="HN162" s="76">
        <v>4310</v>
      </c>
      <c r="HO162" s="76">
        <v>4120</v>
      </c>
      <c r="HP162" s="76">
        <v>409</v>
      </c>
      <c r="HQ162" s="76">
        <v>45</v>
      </c>
      <c r="HR162" s="76">
        <v>-61</v>
      </c>
      <c r="HS162" s="76">
        <v>12</v>
      </c>
      <c r="HT162" s="76">
        <v>6907</v>
      </c>
      <c r="HU162" s="76">
        <v>0</v>
      </c>
      <c r="HV162" s="76">
        <v>0</v>
      </c>
      <c r="HW162" s="76">
        <v>0</v>
      </c>
      <c r="HX162" s="76">
        <v>0</v>
      </c>
    </row>
    <row r="163" spans="1:232" x14ac:dyDescent="0.2">
      <c r="A163" s="74" t="s">
        <v>509</v>
      </c>
      <c r="B163" s="74" t="s">
        <v>510</v>
      </c>
      <c r="C163" s="75" t="s">
        <v>200</v>
      </c>
      <c r="D163" s="75">
        <v>12</v>
      </c>
      <c r="E163" s="76">
        <v>11488</v>
      </c>
      <c r="F163" s="76">
        <v>-202</v>
      </c>
      <c r="G163" s="76">
        <v>-7129</v>
      </c>
      <c r="H163" s="76">
        <v>4157</v>
      </c>
      <c r="I163" s="76">
        <v>815</v>
      </c>
      <c r="J163" s="76">
        <v>0</v>
      </c>
      <c r="K163" s="76">
        <v>0</v>
      </c>
      <c r="L163" s="76">
        <v>0</v>
      </c>
      <c r="M163" s="76">
        <v>16</v>
      </c>
      <c r="N163" s="76">
        <v>-1334</v>
      </c>
      <c r="O163" s="76">
        <v>0</v>
      </c>
      <c r="P163" s="76">
        <v>0</v>
      </c>
      <c r="Q163" s="76">
        <v>0</v>
      </c>
      <c r="R163" s="76">
        <v>0</v>
      </c>
      <c r="S163" s="76">
        <v>3654</v>
      </c>
      <c r="T163" s="76">
        <v>0</v>
      </c>
      <c r="U163" s="76">
        <v>3654</v>
      </c>
      <c r="V163" s="76">
        <v>0</v>
      </c>
      <c r="W163" s="76">
        <v>-260</v>
      </c>
      <c r="X163" s="76">
        <v>0</v>
      </c>
      <c r="Y163" s="76">
        <v>0</v>
      </c>
      <c r="Z163" s="76">
        <v>3394</v>
      </c>
      <c r="AA163" s="76">
        <v>10382</v>
      </c>
      <c r="AB163" s="76">
        <v>346</v>
      </c>
      <c r="AC163" s="76">
        <v>10728</v>
      </c>
      <c r="AD163" s="76">
        <v>30</v>
      </c>
      <c r="AE163" s="76">
        <v>0</v>
      </c>
      <c r="AF163" s="76">
        <v>149</v>
      </c>
      <c r="AG163" s="76">
        <v>116</v>
      </c>
      <c r="AH163" s="76">
        <v>11023</v>
      </c>
      <c r="AI163" s="76">
        <v>2012</v>
      </c>
      <c r="AJ163" s="76">
        <v>389</v>
      </c>
      <c r="AK163" s="76">
        <v>2018</v>
      </c>
      <c r="AL163" s="76">
        <v>1077</v>
      </c>
      <c r="AM163" s="76">
        <v>0</v>
      </c>
      <c r="AN163" s="76">
        <v>66</v>
      </c>
      <c r="AO163" s="76">
        <v>1201</v>
      </c>
      <c r="AP163" s="76">
        <v>0</v>
      </c>
      <c r="AQ163" s="76">
        <v>194</v>
      </c>
      <c r="AR163" s="76">
        <v>6957</v>
      </c>
      <c r="AS163" s="76">
        <v>4066</v>
      </c>
      <c r="AT163" s="76">
        <v>102</v>
      </c>
      <c r="AU163" s="76">
        <v>45457</v>
      </c>
      <c r="AV163" s="76">
        <v>0</v>
      </c>
      <c r="AW163" s="76">
        <v>54</v>
      </c>
      <c r="AX163" s="76">
        <v>12</v>
      </c>
      <c r="AY163" s="76">
        <v>0</v>
      </c>
      <c r="AZ163" s="76">
        <v>900</v>
      </c>
      <c r="BA163" s="76">
        <v>0</v>
      </c>
      <c r="BB163" s="76">
        <v>0</v>
      </c>
      <c r="BC163" s="76">
        <v>0</v>
      </c>
      <c r="BD163" s="76">
        <v>0</v>
      </c>
      <c r="BE163" s="76">
        <v>46423</v>
      </c>
      <c r="BF163" s="76">
        <v>48</v>
      </c>
      <c r="BG163" s="76">
        <v>441</v>
      </c>
      <c r="BH163" s="76">
        <v>876</v>
      </c>
      <c r="BI163" s="76">
        <v>0</v>
      </c>
      <c r="BJ163" s="76">
        <v>11144</v>
      </c>
      <c r="BK163" s="76">
        <v>12509</v>
      </c>
      <c r="BL163" s="76">
        <v>0</v>
      </c>
      <c r="BM163" s="76">
        <v>0</v>
      </c>
      <c r="BN163" s="76">
        <v>30</v>
      </c>
      <c r="BO163" s="76">
        <v>1645</v>
      </c>
      <c r="BP163" s="76">
        <v>1675</v>
      </c>
      <c r="BQ163" s="76">
        <v>10834</v>
      </c>
      <c r="BR163" s="76">
        <v>57257</v>
      </c>
      <c r="BS163" s="76">
        <v>17651</v>
      </c>
      <c r="BT163" s="76">
        <v>0</v>
      </c>
      <c r="BU163" s="76">
        <v>0</v>
      </c>
      <c r="BV163" s="76">
        <v>3381</v>
      </c>
      <c r="BW163" s="76">
        <v>0</v>
      </c>
      <c r="BX163" s="76">
        <v>0</v>
      </c>
      <c r="BY163" s="76">
        <v>0</v>
      </c>
      <c r="BZ163" s="76">
        <v>21032</v>
      </c>
      <c r="CA163" s="76">
        <v>1416</v>
      </c>
      <c r="CB163" s="76">
        <v>10277</v>
      </c>
      <c r="CC163" s="76">
        <v>24532</v>
      </c>
      <c r="CD163" s="76">
        <v>24532</v>
      </c>
      <c r="CE163" s="76">
        <v>0</v>
      </c>
      <c r="CF163" s="76">
        <v>0</v>
      </c>
      <c r="CG163" s="76">
        <v>0</v>
      </c>
      <c r="CH163" s="76">
        <v>0</v>
      </c>
      <c r="CI163" s="76">
        <v>24532</v>
      </c>
      <c r="CJ163" s="76">
        <v>215</v>
      </c>
      <c r="CK163" s="76">
        <v>202</v>
      </c>
      <c r="CL163" s="76">
        <v>0</v>
      </c>
      <c r="CM163" s="76">
        <v>13</v>
      </c>
      <c r="CN163" s="76">
        <v>0</v>
      </c>
      <c r="CO163" s="76">
        <v>0</v>
      </c>
      <c r="CP163" s="76">
        <v>0</v>
      </c>
      <c r="CQ163" s="76">
        <v>0</v>
      </c>
      <c r="CR163" s="76">
        <v>20</v>
      </c>
      <c r="CS163" s="76">
        <v>0</v>
      </c>
      <c r="CT163" s="76">
        <v>19</v>
      </c>
      <c r="CU163" s="76">
        <v>1</v>
      </c>
      <c r="CV163" s="76">
        <v>0</v>
      </c>
      <c r="CW163" s="76">
        <v>0</v>
      </c>
      <c r="CX163" s="76">
        <v>0</v>
      </c>
      <c r="CY163" s="76">
        <v>0</v>
      </c>
      <c r="CZ163" s="76">
        <v>21</v>
      </c>
      <c r="DA163" s="76">
        <v>0</v>
      </c>
      <c r="DB163" s="76">
        <v>0</v>
      </c>
      <c r="DC163" s="76">
        <v>21</v>
      </c>
      <c r="DD163" s="76">
        <v>256</v>
      </c>
      <c r="DE163" s="76">
        <v>202</v>
      </c>
      <c r="DF163" s="76">
        <v>19</v>
      </c>
      <c r="DG163" s="76">
        <v>35</v>
      </c>
      <c r="DH163" s="76">
        <v>0</v>
      </c>
      <c r="DI163" s="76">
        <v>0</v>
      </c>
      <c r="DJ163" s="76">
        <v>0</v>
      </c>
      <c r="DK163" s="76">
        <v>0</v>
      </c>
      <c r="DL163" s="76">
        <v>0</v>
      </c>
      <c r="DM163" s="76">
        <v>0</v>
      </c>
      <c r="DN163" s="76">
        <v>0</v>
      </c>
      <c r="DO163" s="76">
        <v>0</v>
      </c>
      <c r="DP163" s="76">
        <v>0</v>
      </c>
      <c r="DQ163" s="76">
        <v>0</v>
      </c>
      <c r="DR163" s="76">
        <v>0</v>
      </c>
      <c r="DS163" s="76">
        <v>0</v>
      </c>
      <c r="DT163" s="76">
        <v>0</v>
      </c>
      <c r="DU163" s="76">
        <v>0</v>
      </c>
      <c r="DV163" s="76">
        <v>0</v>
      </c>
      <c r="DW163" s="76">
        <v>0</v>
      </c>
      <c r="DX163" s="76">
        <v>0</v>
      </c>
      <c r="DY163" s="76">
        <v>0</v>
      </c>
      <c r="DZ163" s="76">
        <v>0</v>
      </c>
      <c r="EA163" s="76">
        <v>0</v>
      </c>
      <c r="EB163" s="76">
        <v>209</v>
      </c>
      <c r="EC163" s="76">
        <v>0</v>
      </c>
      <c r="ED163" s="76">
        <v>153</v>
      </c>
      <c r="EE163" s="76">
        <v>56</v>
      </c>
      <c r="EF163" s="76">
        <v>209</v>
      </c>
      <c r="EG163" s="76">
        <v>0</v>
      </c>
      <c r="EH163" s="76">
        <v>153</v>
      </c>
      <c r="EI163" s="76">
        <v>56</v>
      </c>
      <c r="EJ163" s="76">
        <v>465</v>
      </c>
      <c r="EK163" s="76">
        <v>202</v>
      </c>
      <c r="EL163" s="76">
        <v>172</v>
      </c>
      <c r="EM163" s="76">
        <v>91</v>
      </c>
      <c r="EN163" s="76">
        <v>555</v>
      </c>
      <c r="EO163" s="76">
        <v>165</v>
      </c>
      <c r="EP163" s="76">
        <v>152</v>
      </c>
      <c r="EQ163" s="76">
        <v>165</v>
      </c>
      <c r="ER163" s="76">
        <v>49732</v>
      </c>
      <c r="ES163" s="76">
        <v>0</v>
      </c>
      <c r="ET163" s="76">
        <v>49732</v>
      </c>
      <c r="EU163" s="76">
        <v>4063</v>
      </c>
      <c r="EV163" s="76">
        <v>-328</v>
      </c>
      <c r="EW163" s="76">
        <v>0</v>
      </c>
      <c r="EX163" s="76">
        <v>0</v>
      </c>
      <c r="EY163" s="76">
        <v>-50</v>
      </c>
      <c r="EZ163" s="76">
        <v>53417</v>
      </c>
      <c r="FA163" s="76">
        <v>6813</v>
      </c>
      <c r="FB163" s="76">
        <v>1201</v>
      </c>
      <c r="FC163" s="76">
        <v>0</v>
      </c>
      <c r="FD163" s="76">
        <v>0</v>
      </c>
      <c r="FE163" s="76">
        <v>-54</v>
      </c>
      <c r="FF163" s="76">
        <v>0</v>
      </c>
      <c r="FG163" s="76">
        <v>0</v>
      </c>
      <c r="FH163" s="76">
        <v>7960</v>
      </c>
      <c r="FI163" s="76">
        <v>45457</v>
      </c>
      <c r="FJ163" s="76">
        <v>42919</v>
      </c>
      <c r="FK163" s="76">
        <v>0</v>
      </c>
      <c r="FL163" s="76">
        <v>0</v>
      </c>
      <c r="FM163" s="76">
        <v>0</v>
      </c>
      <c r="FN163" s="76">
        <v>774</v>
      </c>
      <c r="FO163" s="76">
        <v>130</v>
      </c>
      <c r="FP163" s="76">
        <v>644</v>
      </c>
      <c r="FQ163" s="76">
        <v>0</v>
      </c>
      <c r="FR163" s="76">
        <v>0</v>
      </c>
      <c r="FS163" s="76">
        <v>0</v>
      </c>
      <c r="FT163" s="76">
        <v>334</v>
      </c>
      <c r="FU163" s="76">
        <v>56</v>
      </c>
      <c r="FV163" s="76">
        <v>278</v>
      </c>
      <c r="FW163" s="76">
        <v>0</v>
      </c>
      <c r="FX163" s="76">
        <v>0</v>
      </c>
      <c r="FY163" s="76">
        <v>0</v>
      </c>
      <c r="FZ163" s="76">
        <v>0</v>
      </c>
      <c r="GA163" s="76">
        <v>107</v>
      </c>
      <c r="GB163" s="76">
        <v>-107</v>
      </c>
      <c r="GC163" s="76">
        <v>1108</v>
      </c>
      <c r="GD163" s="76">
        <v>293</v>
      </c>
      <c r="GE163" s="76">
        <v>815</v>
      </c>
      <c r="GF163" s="76">
        <v>770</v>
      </c>
      <c r="GG163" s="76">
        <v>0</v>
      </c>
      <c r="GH163" s="76">
        <v>0</v>
      </c>
      <c r="GI163" s="76">
        <v>10277</v>
      </c>
      <c r="GJ163" s="76">
        <v>0</v>
      </c>
      <c r="GK163" s="76">
        <v>97</v>
      </c>
      <c r="GL163" s="76">
        <v>11144</v>
      </c>
      <c r="GM163" s="76">
        <v>215</v>
      </c>
      <c r="GN163" s="76">
        <v>209</v>
      </c>
      <c r="GO163" s="76">
        <v>352</v>
      </c>
      <c r="GP163" s="76">
        <v>0</v>
      </c>
      <c r="GQ163" s="76">
        <v>0</v>
      </c>
      <c r="GR163" s="76">
        <v>597</v>
      </c>
      <c r="GS163" s="76">
        <v>0</v>
      </c>
      <c r="GT163" s="76">
        <v>0</v>
      </c>
      <c r="GU163" s="76">
        <v>0</v>
      </c>
      <c r="GV163" s="76">
        <v>0</v>
      </c>
      <c r="GW163" s="76">
        <v>272</v>
      </c>
      <c r="GX163" s="76">
        <v>1645</v>
      </c>
      <c r="GY163" s="76">
        <v>0</v>
      </c>
      <c r="GZ163" s="76">
        <v>0</v>
      </c>
      <c r="HA163" s="76">
        <v>0</v>
      </c>
      <c r="HB163" s="76">
        <v>0</v>
      </c>
      <c r="HC163" s="76">
        <v>0</v>
      </c>
      <c r="HD163" s="76">
        <v>10277</v>
      </c>
      <c r="HE163" s="76">
        <v>0</v>
      </c>
      <c r="HF163" s="76">
        <v>10277</v>
      </c>
      <c r="HG163" s="76">
        <v>1340</v>
      </c>
      <c r="HH163" s="76">
        <v>0</v>
      </c>
      <c r="HI163" s="76">
        <v>39</v>
      </c>
      <c r="HJ163" s="76">
        <v>0</v>
      </c>
      <c r="HK163" s="76">
        <v>0</v>
      </c>
      <c r="HL163" s="76">
        <v>-45</v>
      </c>
      <c r="HM163" s="76">
        <v>1334</v>
      </c>
      <c r="HN163" s="76">
        <v>972</v>
      </c>
      <c r="HO163" s="76">
        <v>1285</v>
      </c>
      <c r="HP163" s="76">
        <v>0</v>
      </c>
      <c r="HQ163" s="76">
        <v>31</v>
      </c>
      <c r="HR163" s="76">
        <v>-27</v>
      </c>
      <c r="HS163" s="76">
        <v>0</v>
      </c>
      <c r="HT163" s="76">
        <v>2351</v>
      </c>
      <c r="HU163" s="76">
        <v>0</v>
      </c>
      <c r="HV163" s="76">
        <v>0</v>
      </c>
      <c r="HW163" s="76">
        <v>0</v>
      </c>
      <c r="HX163" s="76">
        <v>2</v>
      </c>
    </row>
    <row r="164" spans="1:232" x14ac:dyDescent="0.2">
      <c r="A164" s="74" t="s">
        <v>111</v>
      </c>
      <c r="B164" s="74" t="s">
        <v>110</v>
      </c>
      <c r="C164" s="75" t="s">
        <v>200</v>
      </c>
      <c r="D164" s="75">
        <v>12</v>
      </c>
      <c r="E164" s="76">
        <v>43728</v>
      </c>
      <c r="F164" s="76">
        <v>-884</v>
      </c>
      <c r="G164" s="76">
        <v>-27135</v>
      </c>
      <c r="H164" s="76">
        <v>15709</v>
      </c>
      <c r="I164" s="76">
        <v>1489</v>
      </c>
      <c r="J164" s="76">
        <v>7</v>
      </c>
      <c r="K164" s="76">
        <v>0</v>
      </c>
      <c r="L164" s="76">
        <v>0</v>
      </c>
      <c r="M164" s="76">
        <v>98</v>
      </c>
      <c r="N164" s="76">
        <v>-4300</v>
      </c>
      <c r="O164" s="76">
        <v>0</v>
      </c>
      <c r="P164" s="76">
        <v>0</v>
      </c>
      <c r="Q164" s="76">
        <v>0</v>
      </c>
      <c r="R164" s="76">
        <v>0</v>
      </c>
      <c r="S164" s="76">
        <v>13003</v>
      </c>
      <c r="T164" s="76">
        <v>0</v>
      </c>
      <c r="U164" s="76">
        <v>13003</v>
      </c>
      <c r="V164" s="76">
        <v>0</v>
      </c>
      <c r="W164" s="76">
        <v>-4814</v>
      </c>
      <c r="X164" s="76">
        <v>0</v>
      </c>
      <c r="Y164" s="76">
        <v>0</v>
      </c>
      <c r="Z164" s="76">
        <v>8189</v>
      </c>
      <c r="AA164" s="76">
        <v>37597</v>
      </c>
      <c r="AB164" s="76">
        <v>2923</v>
      </c>
      <c r="AC164" s="76">
        <v>40520</v>
      </c>
      <c r="AD164" s="76">
        <v>77</v>
      </c>
      <c r="AE164" s="76">
        <v>0</v>
      </c>
      <c r="AF164" s="76">
        <v>0</v>
      </c>
      <c r="AG164" s="76">
        <v>325</v>
      </c>
      <c r="AH164" s="76">
        <v>40922</v>
      </c>
      <c r="AI164" s="76">
        <v>7583</v>
      </c>
      <c r="AJ164" s="76">
        <v>3749</v>
      </c>
      <c r="AK164" s="76">
        <v>5545</v>
      </c>
      <c r="AL164" s="76">
        <v>1301</v>
      </c>
      <c r="AM164" s="76">
        <v>2431</v>
      </c>
      <c r="AN164" s="76">
        <v>269</v>
      </c>
      <c r="AO164" s="76">
        <v>5157</v>
      </c>
      <c r="AP164" s="76">
        <v>0</v>
      </c>
      <c r="AQ164" s="76">
        <v>0</v>
      </c>
      <c r="AR164" s="76">
        <v>26035</v>
      </c>
      <c r="AS164" s="76">
        <v>14887</v>
      </c>
      <c r="AT164" s="76">
        <v>231</v>
      </c>
      <c r="AU164" s="76">
        <v>168722</v>
      </c>
      <c r="AV164" s="76">
        <v>0</v>
      </c>
      <c r="AW164" s="76">
        <v>3727</v>
      </c>
      <c r="AX164" s="76">
        <v>785</v>
      </c>
      <c r="AY164" s="76">
        <v>0</v>
      </c>
      <c r="AZ164" s="76">
        <v>0</v>
      </c>
      <c r="BA164" s="76">
        <v>0</v>
      </c>
      <c r="BB164" s="76">
        <v>0</v>
      </c>
      <c r="BC164" s="76">
        <v>0</v>
      </c>
      <c r="BD164" s="76">
        <v>0</v>
      </c>
      <c r="BE164" s="76">
        <v>173234</v>
      </c>
      <c r="BF164" s="76">
        <v>872</v>
      </c>
      <c r="BG164" s="76">
        <v>32416</v>
      </c>
      <c r="BH164" s="76">
        <v>30766</v>
      </c>
      <c r="BI164" s="76">
        <v>1940</v>
      </c>
      <c r="BJ164" s="76">
        <v>188</v>
      </c>
      <c r="BK164" s="76">
        <v>66182</v>
      </c>
      <c r="BL164" s="76">
        <v>0</v>
      </c>
      <c r="BM164" s="76">
        <v>0</v>
      </c>
      <c r="BN164" s="76">
        <v>101</v>
      </c>
      <c r="BO164" s="76">
        <v>9447</v>
      </c>
      <c r="BP164" s="76">
        <v>9548</v>
      </c>
      <c r="BQ164" s="76">
        <v>56634</v>
      </c>
      <c r="BR164" s="76">
        <v>229868</v>
      </c>
      <c r="BS164" s="76">
        <v>114188</v>
      </c>
      <c r="BT164" s="76">
        <v>0</v>
      </c>
      <c r="BU164" s="76">
        <v>4</v>
      </c>
      <c r="BV164" s="76">
        <v>6414</v>
      </c>
      <c r="BW164" s="76">
        <v>0</v>
      </c>
      <c r="BX164" s="76">
        <v>0</v>
      </c>
      <c r="BY164" s="76">
        <v>386</v>
      </c>
      <c r="BZ164" s="76">
        <v>120992</v>
      </c>
      <c r="CA164" s="76">
        <v>11101</v>
      </c>
      <c r="CB164" s="76">
        <v>29988</v>
      </c>
      <c r="CC164" s="76">
        <v>67787</v>
      </c>
      <c r="CD164" s="76">
        <v>67467</v>
      </c>
      <c r="CE164" s="76">
        <v>0</v>
      </c>
      <c r="CF164" s="76">
        <v>320</v>
      </c>
      <c r="CG164" s="76">
        <v>0</v>
      </c>
      <c r="CH164" s="76">
        <v>0</v>
      </c>
      <c r="CI164" s="76">
        <v>67787</v>
      </c>
      <c r="CJ164" s="76">
        <v>1405</v>
      </c>
      <c r="CK164" s="76">
        <v>884</v>
      </c>
      <c r="CL164" s="76">
        <v>0</v>
      </c>
      <c r="CM164" s="76">
        <v>521</v>
      </c>
      <c r="CN164" s="76">
        <v>473</v>
      </c>
      <c r="CO164" s="76">
        <v>0</v>
      </c>
      <c r="CP164" s="76">
        <v>537</v>
      </c>
      <c r="CQ164" s="76">
        <v>-64</v>
      </c>
      <c r="CR164" s="76">
        <v>0</v>
      </c>
      <c r="CS164" s="76">
        <v>0</v>
      </c>
      <c r="CT164" s="76">
        <v>0</v>
      </c>
      <c r="CU164" s="76">
        <v>0</v>
      </c>
      <c r="CV164" s="76">
        <v>0</v>
      </c>
      <c r="CW164" s="76">
        <v>0</v>
      </c>
      <c r="CX164" s="76">
        <v>0</v>
      </c>
      <c r="CY164" s="76">
        <v>0</v>
      </c>
      <c r="CZ164" s="76">
        <v>0</v>
      </c>
      <c r="DA164" s="76">
        <v>0</v>
      </c>
      <c r="DB164" s="76">
        <v>0</v>
      </c>
      <c r="DC164" s="76">
        <v>0</v>
      </c>
      <c r="DD164" s="76">
        <v>1878</v>
      </c>
      <c r="DE164" s="76">
        <v>884</v>
      </c>
      <c r="DF164" s="76">
        <v>537</v>
      </c>
      <c r="DG164" s="76">
        <v>457</v>
      </c>
      <c r="DH164" s="76">
        <v>0</v>
      </c>
      <c r="DI164" s="76">
        <v>0</v>
      </c>
      <c r="DJ164" s="76">
        <v>0</v>
      </c>
      <c r="DK164" s="76">
        <v>0</v>
      </c>
      <c r="DL164" s="76">
        <v>0</v>
      </c>
      <c r="DM164" s="76">
        <v>0</v>
      </c>
      <c r="DN164" s="76">
        <v>0</v>
      </c>
      <c r="DO164" s="76">
        <v>0</v>
      </c>
      <c r="DP164" s="76">
        <v>0</v>
      </c>
      <c r="DQ164" s="76">
        <v>0</v>
      </c>
      <c r="DR164" s="76">
        <v>0</v>
      </c>
      <c r="DS164" s="76">
        <v>0</v>
      </c>
      <c r="DT164" s="76">
        <v>0</v>
      </c>
      <c r="DU164" s="76">
        <v>0</v>
      </c>
      <c r="DV164" s="76">
        <v>0</v>
      </c>
      <c r="DW164" s="76">
        <v>0</v>
      </c>
      <c r="DX164" s="76">
        <v>0</v>
      </c>
      <c r="DY164" s="76">
        <v>0</v>
      </c>
      <c r="DZ164" s="76">
        <v>0</v>
      </c>
      <c r="EA164" s="76">
        <v>0</v>
      </c>
      <c r="EB164" s="76">
        <v>928</v>
      </c>
      <c r="EC164" s="76">
        <v>0</v>
      </c>
      <c r="ED164" s="76">
        <v>563</v>
      </c>
      <c r="EE164" s="76">
        <v>365</v>
      </c>
      <c r="EF164" s="76">
        <v>928</v>
      </c>
      <c r="EG164" s="76">
        <v>0</v>
      </c>
      <c r="EH164" s="76">
        <v>563</v>
      </c>
      <c r="EI164" s="76">
        <v>365</v>
      </c>
      <c r="EJ164" s="76">
        <v>2806</v>
      </c>
      <c r="EK164" s="76">
        <v>884</v>
      </c>
      <c r="EL164" s="76">
        <v>1100</v>
      </c>
      <c r="EM164" s="76">
        <v>822</v>
      </c>
      <c r="EN164" s="76">
        <v>1390</v>
      </c>
      <c r="EO164" s="76">
        <v>569</v>
      </c>
      <c r="EP164" s="76">
        <v>776</v>
      </c>
      <c r="EQ164" s="76">
        <v>569</v>
      </c>
      <c r="ER164" s="76">
        <v>168987</v>
      </c>
      <c r="ES164" s="76">
        <v>0</v>
      </c>
      <c r="ET164" s="76">
        <v>168987</v>
      </c>
      <c r="EU164" s="76">
        <v>27939</v>
      </c>
      <c r="EV164" s="76">
        <v>-1362</v>
      </c>
      <c r="EW164" s="76">
        <v>0</v>
      </c>
      <c r="EX164" s="76">
        <v>0</v>
      </c>
      <c r="EY164" s="76">
        <v>-476</v>
      </c>
      <c r="EZ164" s="76">
        <v>195088</v>
      </c>
      <c r="FA164" s="76">
        <v>21642</v>
      </c>
      <c r="FB164" s="76">
        <v>4918</v>
      </c>
      <c r="FC164" s="76">
        <v>0</v>
      </c>
      <c r="FD164" s="76">
        <v>0</v>
      </c>
      <c r="FE164" s="76">
        <v>-198</v>
      </c>
      <c r="FF164" s="76">
        <v>0</v>
      </c>
      <c r="FG164" s="76">
        <v>4</v>
      </c>
      <c r="FH164" s="76">
        <v>26366</v>
      </c>
      <c r="FI164" s="76">
        <v>168722</v>
      </c>
      <c r="FJ164" s="76">
        <v>147345</v>
      </c>
      <c r="FK164" s="76">
        <v>0</v>
      </c>
      <c r="FL164" s="76">
        <v>0</v>
      </c>
      <c r="FM164" s="76">
        <v>0</v>
      </c>
      <c r="FN164" s="76">
        <v>2446</v>
      </c>
      <c r="FO164" s="76">
        <v>2206</v>
      </c>
      <c r="FP164" s="76">
        <v>240</v>
      </c>
      <c r="FQ164" s="76">
        <v>236</v>
      </c>
      <c r="FR164" s="76">
        <v>251</v>
      </c>
      <c r="FS164" s="76">
        <v>-15</v>
      </c>
      <c r="FT164" s="76">
        <v>0</v>
      </c>
      <c r="FU164" s="76">
        <v>0</v>
      </c>
      <c r="FV164" s="76">
        <v>0</v>
      </c>
      <c r="FW164" s="76">
        <v>0</v>
      </c>
      <c r="FX164" s="76">
        <v>0</v>
      </c>
      <c r="FY164" s="76">
        <v>0</v>
      </c>
      <c r="FZ164" s="76">
        <v>1861</v>
      </c>
      <c r="GA164" s="76">
        <v>597</v>
      </c>
      <c r="GB164" s="76">
        <v>1264</v>
      </c>
      <c r="GC164" s="76">
        <v>4543</v>
      </c>
      <c r="GD164" s="76">
        <v>3054</v>
      </c>
      <c r="GE164" s="76">
        <v>1489</v>
      </c>
      <c r="GF164" s="76">
        <v>0</v>
      </c>
      <c r="GG164" s="76">
        <v>0</v>
      </c>
      <c r="GH164" s="76">
        <v>0</v>
      </c>
      <c r="GI164" s="76">
        <v>0</v>
      </c>
      <c r="GJ164" s="76">
        <v>0</v>
      </c>
      <c r="GK164" s="76">
        <v>188</v>
      </c>
      <c r="GL164" s="76">
        <v>188</v>
      </c>
      <c r="GM164" s="76">
        <v>549</v>
      </c>
      <c r="GN164" s="76">
        <v>1312</v>
      </c>
      <c r="GO164" s="76">
        <v>0</v>
      </c>
      <c r="GP164" s="76">
        <v>0</v>
      </c>
      <c r="GQ164" s="76">
        <v>227</v>
      </c>
      <c r="GR164" s="76">
        <v>5069</v>
      </c>
      <c r="GS164" s="76">
        <v>18</v>
      </c>
      <c r="GT164" s="76">
        <v>0</v>
      </c>
      <c r="GU164" s="76">
        <v>0</v>
      </c>
      <c r="GV164" s="76">
        <v>0</v>
      </c>
      <c r="GW164" s="76">
        <v>2272</v>
      </c>
      <c r="GX164" s="76">
        <v>9447</v>
      </c>
      <c r="GY164" s="76">
        <v>121</v>
      </c>
      <c r="GZ164" s="76">
        <v>0</v>
      </c>
      <c r="HA164" s="76">
        <v>0</v>
      </c>
      <c r="HB164" s="76">
        <v>265</v>
      </c>
      <c r="HC164" s="76">
        <v>386</v>
      </c>
      <c r="HD164" s="76">
        <v>29482</v>
      </c>
      <c r="HE164" s="76">
        <v>506</v>
      </c>
      <c r="HF164" s="76">
        <v>29988</v>
      </c>
      <c r="HG164" s="76">
        <v>4479</v>
      </c>
      <c r="HH164" s="76">
        <v>220</v>
      </c>
      <c r="HI164" s="76">
        <v>223</v>
      </c>
      <c r="HJ164" s="76">
        <v>0</v>
      </c>
      <c r="HK164" s="76">
        <v>0</v>
      </c>
      <c r="HL164" s="76">
        <v>-622</v>
      </c>
      <c r="HM164" s="76">
        <v>4300</v>
      </c>
      <c r="HN164" s="76">
        <v>8655</v>
      </c>
      <c r="HO164" s="76">
        <v>5553</v>
      </c>
      <c r="HP164" s="76">
        <v>0</v>
      </c>
      <c r="HQ164" s="76">
        <v>131</v>
      </c>
      <c r="HR164" s="76">
        <v>-91</v>
      </c>
      <c r="HS164" s="76">
        <v>15</v>
      </c>
      <c r="HT164" s="76">
        <v>8010</v>
      </c>
      <c r="HU164" s="76">
        <v>0</v>
      </c>
      <c r="HV164" s="76">
        <v>0</v>
      </c>
      <c r="HW164" s="76">
        <v>5</v>
      </c>
      <c r="HX164" s="76">
        <v>501</v>
      </c>
    </row>
    <row r="165" spans="1:232" x14ac:dyDescent="0.2">
      <c r="A165" s="74" t="s">
        <v>511</v>
      </c>
      <c r="B165" s="74" t="s">
        <v>512</v>
      </c>
      <c r="C165" s="75" t="s">
        <v>200</v>
      </c>
      <c r="D165" s="75">
        <v>12</v>
      </c>
      <c r="E165" s="76">
        <v>43920</v>
      </c>
      <c r="F165" s="76">
        <v>-571</v>
      </c>
      <c r="G165" s="76">
        <v>-32119</v>
      </c>
      <c r="H165" s="76">
        <v>11230</v>
      </c>
      <c r="I165" s="76">
        <v>1919</v>
      </c>
      <c r="J165" s="76">
        <v>210</v>
      </c>
      <c r="K165" s="76">
        <v>0</v>
      </c>
      <c r="L165" s="76">
        <v>0</v>
      </c>
      <c r="M165" s="76">
        <v>38</v>
      </c>
      <c r="N165" s="76">
        <v>-3002</v>
      </c>
      <c r="O165" s="76">
        <v>0</v>
      </c>
      <c r="P165" s="76">
        <v>-361</v>
      </c>
      <c r="Q165" s="76">
        <v>0</v>
      </c>
      <c r="R165" s="76">
        <v>0</v>
      </c>
      <c r="S165" s="76">
        <v>10034</v>
      </c>
      <c r="T165" s="76">
        <v>0</v>
      </c>
      <c r="U165" s="76">
        <v>10034</v>
      </c>
      <c r="V165" s="76">
        <v>0</v>
      </c>
      <c r="W165" s="76">
        <v>-1995</v>
      </c>
      <c r="X165" s="76">
        <v>-595</v>
      </c>
      <c r="Y165" s="76">
        <v>0</v>
      </c>
      <c r="Z165" s="76">
        <v>7444</v>
      </c>
      <c r="AA165" s="76">
        <v>35592</v>
      </c>
      <c r="AB165" s="76">
        <v>7013</v>
      </c>
      <c r="AC165" s="76">
        <v>42605</v>
      </c>
      <c r="AD165" s="76">
        <v>16</v>
      </c>
      <c r="AE165" s="76">
        <v>0</v>
      </c>
      <c r="AF165" s="76">
        <v>0</v>
      </c>
      <c r="AG165" s="76">
        <v>23</v>
      </c>
      <c r="AH165" s="76">
        <v>42644</v>
      </c>
      <c r="AI165" s="76">
        <v>6132</v>
      </c>
      <c r="AJ165" s="76">
        <v>6749</v>
      </c>
      <c r="AK165" s="76">
        <v>9602</v>
      </c>
      <c r="AL165" s="76">
        <v>4875</v>
      </c>
      <c r="AM165" s="76">
        <v>0</v>
      </c>
      <c r="AN165" s="76">
        <v>163</v>
      </c>
      <c r="AO165" s="76">
        <v>4240</v>
      </c>
      <c r="AP165" s="76">
        <v>0</v>
      </c>
      <c r="AQ165" s="76">
        <v>2</v>
      </c>
      <c r="AR165" s="76">
        <v>31763</v>
      </c>
      <c r="AS165" s="76">
        <v>10881</v>
      </c>
      <c r="AT165" s="76">
        <v>169</v>
      </c>
      <c r="AU165" s="76">
        <v>146699</v>
      </c>
      <c r="AV165" s="76">
        <v>0</v>
      </c>
      <c r="AW165" s="76">
        <v>0</v>
      </c>
      <c r="AX165" s="76">
        <v>0</v>
      </c>
      <c r="AY165" s="76">
        <v>0</v>
      </c>
      <c r="AZ165" s="76">
        <v>0</v>
      </c>
      <c r="BA165" s="76">
        <v>0</v>
      </c>
      <c r="BB165" s="76">
        <v>0</v>
      </c>
      <c r="BC165" s="76">
        <v>933</v>
      </c>
      <c r="BD165" s="76">
        <v>109739</v>
      </c>
      <c r="BE165" s="76">
        <v>257371</v>
      </c>
      <c r="BF165" s="76">
        <v>236</v>
      </c>
      <c r="BG165" s="76">
        <v>8673</v>
      </c>
      <c r="BH165" s="76">
        <v>0</v>
      </c>
      <c r="BI165" s="76">
        <v>0</v>
      </c>
      <c r="BJ165" s="76">
        <v>12327</v>
      </c>
      <c r="BK165" s="76">
        <v>21236</v>
      </c>
      <c r="BL165" s="76">
        <v>1707</v>
      </c>
      <c r="BM165" s="76">
        <v>51</v>
      </c>
      <c r="BN165" s="76">
        <v>17</v>
      </c>
      <c r="BO165" s="76">
        <v>23024</v>
      </c>
      <c r="BP165" s="76">
        <v>24799</v>
      </c>
      <c r="BQ165" s="76">
        <v>-3563</v>
      </c>
      <c r="BR165" s="76">
        <v>253808</v>
      </c>
      <c r="BS165" s="76">
        <v>0</v>
      </c>
      <c r="BT165" s="76">
        <v>72797</v>
      </c>
      <c r="BU165" s="76">
        <v>0</v>
      </c>
      <c r="BV165" s="76">
        <v>4575</v>
      </c>
      <c r="BW165" s="76">
        <v>0</v>
      </c>
      <c r="BX165" s="76">
        <v>8853</v>
      </c>
      <c r="BY165" s="76">
        <v>108326</v>
      </c>
      <c r="BZ165" s="76">
        <v>194551</v>
      </c>
      <c r="CA165" s="76">
        <v>6477</v>
      </c>
      <c r="CB165" s="76">
        <v>1791</v>
      </c>
      <c r="CC165" s="76">
        <v>50989</v>
      </c>
      <c r="CD165" s="76">
        <v>59629</v>
      </c>
      <c r="CE165" s="76">
        <v>0</v>
      </c>
      <c r="CF165" s="76">
        <v>0</v>
      </c>
      <c r="CG165" s="76">
        <v>-8640</v>
      </c>
      <c r="CH165" s="76">
        <v>0</v>
      </c>
      <c r="CI165" s="76">
        <v>50989</v>
      </c>
      <c r="CJ165" s="76">
        <v>796</v>
      </c>
      <c r="CK165" s="76">
        <v>571</v>
      </c>
      <c r="CL165" s="76">
        <v>0</v>
      </c>
      <c r="CM165" s="76">
        <v>225</v>
      </c>
      <c r="CN165" s="76">
        <v>0</v>
      </c>
      <c r="CO165" s="76">
        <v>0</v>
      </c>
      <c r="CP165" s="76">
        <v>1</v>
      </c>
      <c r="CQ165" s="76">
        <v>-1</v>
      </c>
      <c r="CR165" s="76">
        <v>0</v>
      </c>
      <c r="CS165" s="76">
        <v>0</v>
      </c>
      <c r="CT165" s="76">
        <v>137</v>
      </c>
      <c r="CU165" s="76">
        <v>-137</v>
      </c>
      <c r="CV165" s="76">
        <v>0</v>
      </c>
      <c r="CW165" s="76">
        <v>0</v>
      </c>
      <c r="CX165" s="76">
        <v>292</v>
      </c>
      <c r="CY165" s="76">
        <v>-292</v>
      </c>
      <c r="CZ165" s="76">
        <v>0</v>
      </c>
      <c r="DA165" s="76">
        <v>0</v>
      </c>
      <c r="DB165" s="76">
        <v>0</v>
      </c>
      <c r="DC165" s="76">
        <v>0</v>
      </c>
      <c r="DD165" s="76">
        <v>796</v>
      </c>
      <c r="DE165" s="76">
        <v>571</v>
      </c>
      <c r="DF165" s="76">
        <v>430</v>
      </c>
      <c r="DG165" s="76">
        <v>-205</v>
      </c>
      <c r="DH165" s="76">
        <v>0</v>
      </c>
      <c r="DI165" s="76">
        <v>0</v>
      </c>
      <c r="DJ165" s="76">
        <v>0</v>
      </c>
      <c r="DK165" s="76">
        <v>0</v>
      </c>
      <c r="DL165" s="76">
        <v>0</v>
      </c>
      <c r="DM165" s="76">
        <v>0</v>
      </c>
      <c r="DN165" s="76">
        <v>0</v>
      </c>
      <c r="DO165" s="76">
        <v>0</v>
      </c>
      <c r="DP165" s="76">
        <v>0</v>
      </c>
      <c r="DQ165" s="76">
        <v>0</v>
      </c>
      <c r="DR165" s="76">
        <v>0</v>
      </c>
      <c r="DS165" s="76">
        <v>0</v>
      </c>
      <c r="DT165" s="76">
        <v>0</v>
      </c>
      <c r="DU165" s="76">
        <v>0</v>
      </c>
      <c r="DV165" s="76">
        <v>0</v>
      </c>
      <c r="DW165" s="76">
        <v>0</v>
      </c>
      <c r="DX165" s="76">
        <v>0</v>
      </c>
      <c r="DY165" s="76">
        <v>0</v>
      </c>
      <c r="DZ165" s="76">
        <v>0</v>
      </c>
      <c r="EA165" s="76">
        <v>0</v>
      </c>
      <c r="EB165" s="76">
        <v>480</v>
      </c>
      <c r="EC165" s="76">
        <v>0</v>
      </c>
      <c r="ED165" s="76">
        <v>-74</v>
      </c>
      <c r="EE165" s="76">
        <v>554</v>
      </c>
      <c r="EF165" s="76">
        <v>480</v>
      </c>
      <c r="EG165" s="76">
        <v>0</v>
      </c>
      <c r="EH165" s="76">
        <v>-74</v>
      </c>
      <c r="EI165" s="76">
        <v>554</v>
      </c>
      <c r="EJ165" s="76">
        <v>1276</v>
      </c>
      <c r="EK165" s="76">
        <v>571</v>
      </c>
      <c r="EL165" s="76">
        <v>356</v>
      </c>
      <c r="EM165" s="76">
        <v>349</v>
      </c>
      <c r="EN165" s="76">
        <v>1326</v>
      </c>
      <c r="EO165" s="76">
        <v>419</v>
      </c>
      <c r="EP165" s="76">
        <v>331</v>
      </c>
      <c r="EQ165" s="76">
        <v>419</v>
      </c>
      <c r="ER165" s="76">
        <v>140542</v>
      </c>
      <c r="ES165" s="76">
        <v>0</v>
      </c>
      <c r="ET165" s="76">
        <v>140542</v>
      </c>
      <c r="EU165" s="76">
        <v>25843</v>
      </c>
      <c r="EV165" s="76">
        <v>-1069</v>
      </c>
      <c r="EW165" s="76">
        <v>0</v>
      </c>
      <c r="EX165" s="76">
        <v>0</v>
      </c>
      <c r="EY165" s="76">
        <v>0</v>
      </c>
      <c r="EZ165" s="76">
        <v>165316</v>
      </c>
      <c r="FA165" s="76">
        <v>14380</v>
      </c>
      <c r="FB165" s="76">
        <v>4240</v>
      </c>
      <c r="FC165" s="76">
        <v>0</v>
      </c>
      <c r="FD165" s="76">
        <v>0</v>
      </c>
      <c r="FE165" s="76">
        <v>-3</v>
      </c>
      <c r="FF165" s="76">
        <v>0</v>
      </c>
      <c r="FG165" s="76">
        <v>0</v>
      </c>
      <c r="FH165" s="76">
        <v>18617</v>
      </c>
      <c r="FI165" s="76">
        <v>146699</v>
      </c>
      <c r="FJ165" s="76">
        <v>126162</v>
      </c>
      <c r="FK165" s="76">
        <v>0</v>
      </c>
      <c r="FL165" s="76">
        <v>0</v>
      </c>
      <c r="FM165" s="76">
        <v>0</v>
      </c>
      <c r="FN165" s="76">
        <v>7689</v>
      </c>
      <c r="FO165" s="76">
        <v>5954</v>
      </c>
      <c r="FP165" s="76">
        <v>1735</v>
      </c>
      <c r="FQ165" s="76">
        <v>0</v>
      </c>
      <c r="FR165" s="76">
        <v>0</v>
      </c>
      <c r="FS165" s="76">
        <v>0</v>
      </c>
      <c r="FT165" s="76">
        <v>0</v>
      </c>
      <c r="FU165" s="76">
        <v>0</v>
      </c>
      <c r="FV165" s="76">
        <v>0</v>
      </c>
      <c r="FW165" s="76">
        <v>0</v>
      </c>
      <c r="FX165" s="76">
        <v>0</v>
      </c>
      <c r="FY165" s="76">
        <v>0</v>
      </c>
      <c r="FZ165" s="76">
        <v>185</v>
      </c>
      <c r="GA165" s="76">
        <v>1</v>
      </c>
      <c r="GB165" s="76">
        <v>184</v>
      </c>
      <c r="GC165" s="76">
        <v>7874</v>
      </c>
      <c r="GD165" s="76">
        <v>5955</v>
      </c>
      <c r="GE165" s="76">
        <v>1919</v>
      </c>
      <c r="GF165" s="76">
        <v>6130</v>
      </c>
      <c r="GG165" s="76">
        <v>0</v>
      </c>
      <c r="GH165" s="76">
        <v>0</v>
      </c>
      <c r="GI165" s="76">
        <v>6197</v>
      </c>
      <c r="GJ165" s="76">
        <v>0</v>
      </c>
      <c r="GK165" s="76">
        <v>0</v>
      </c>
      <c r="GL165" s="76">
        <v>12327</v>
      </c>
      <c r="GM165" s="76">
        <v>0</v>
      </c>
      <c r="GN165" s="76">
        <v>1553</v>
      </c>
      <c r="GO165" s="76">
        <v>7107</v>
      </c>
      <c r="GP165" s="76">
        <v>41</v>
      </c>
      <c r="GQ165" s="76">
        <v>0</v>
      </c>
      <c r="GR165" s="76">
        <v>5197</v>
      </c>
      <c r="GS165" s="76">
        <v>0</v>
      </c>
      <c r="GT165" s="76">
        <v>6197</v>
      </c>
      <c r="GU165" s="76">
        <v>0</v>
      </c>
      <c r="GV165" s="76">
        <v>0</v>
      </c>
      <c r="GW165" s="76">
        <v>2929</v>
      </c>
      <c r="GX165" s="76">
        <v>23024</v>
      </c>
      <c r="GY165" s="76">
        <v>0</v>
      </c>
      <c r="GZ165" s="76">
        <v>0</v>
      </c>
      <c r="HA165" s="76">
        <v>0</v>
      </c>
      <c r="HB165" s="76">
        <v>108326</v>
      </c>
      <c r="HC165" s="76">
        <v>108326</v>
      </c>
      <c r="HD165" s="76">
        <v>0</v>
      </c>
      <c r="HE165" s="76">
        <v>1791</v>
      </c>
      <c r="HF165" s="76">
        <v>1791</v>
      </c>
      <c r="HG165" s="76">
        <v>2664</v>
      </c>
      <c r="HH165" s="76">
        <v>30</v>
      </c>
      <c r="HI165" s="76">
        <v>150</v>
      </c>
      <c r="HJ165" s="76">
        <v>0</v>
      </c>
      <c r="HK165" s="76">
        <v>158</v>
      </c>
      <c r="HL165" s="76">
        <v>0</v>
      </c>
      <c r="HM165" s="76">
        <v>3002</v>
      </c>
      <c r="HN165" s="76">
        <v>8487</v>
      </c>
      <c r="HO165" s="76">
        <v>4244</v>
      </c>
      <c r="HP165" s="76">
        <v>0</v>
      </c>
      <c r="HQ165" s="76">
        <v>8</v>
      </c>
      <c r="HR165" s="76">
        <v>-53</v>
      </c>
      <c r="HS165" s="76">
        <v>31</v>
      </c>
      <c r="HT165" s="76">
        <v>8800</v>
      </c>
      <c r="HU165" s="76">
        <v>0</v>
      </c>
      <c r="HV165" s="76">
        <v>0</v>
      </c>
      <c r="HW165" s="76">
        <v>0</v>
      </c>
      <c r="HX165" s="76">
        <v>1</v>
      </c>
    </row>
    <row r="166" spans="1:232" x14ac:dyDescent="0.2">
      <c r="A166" s="74" t="s">
        <v>513</v>
      </c>
      <c r="B166" s="74" t="s">
        <v>514</v>
      </c>
      <c r="C166" s="75" t="s">
        <v>200</v>
      </c>
      <c r="D166" s="75">
        <v>12</v>
      </c>
      <c r="E166" s="76">
        <v>258049</v>
      </c>
      <c r="F166" s="76">
        <v>-23403</v>
      </c>
      <c r="G166" s="76">
        <v>-138896</v>
      </c>
      <c r="H166" s="76">
        <v>95750</v>
      </c>
      <c r="I166" s="76">
        <v>17062</v>
      </c>
      <c r="J166" s="76">
        <v>0</v>
      </c>
      <c r="K166" s="76">
        <v>10576</v>
      </c>
      <c r="L166" s="76">
        <v>0</v>
      </c>
      <c r="M166" s="76">
        <v>2733</v>
      </c>
      <c r="N166" s="76">
        <v>-44757</v>
      </c>
      <c r="O166" s="76">
        <v>686</v>
      </c>
      <c r="P166" s="76">
        <v>-1557</v>
      </c>
      <c r="Q166" s="76">
        <v>0</v>
      </c>
      <c r="R166" s="76">
        <v>0</v>
      </c>
      <c r="S166" s="76">
        <v>80493</v>
      </c>
      <c r="T166" s="76">
        <v>0</v>
      </c>
      <c r="U166" s="76">
        <v>80493</v>
      </c>
      <c r="V166" s="76">
        <v>0</v>
      </c>
      <c r="W166" s="76">
        <v>-1357</v>
      </c>
      <c r="X166" s="76">
        <v>-2731</v>
      </c>
      <c r="Y166" s="76">
        <v>0</v>
      </c>
      <c r="Z166" s="76">
        <v>76405</v>
      </c>
      <c r="AA166" s="76">
        <v>163990</v>
      </c>
      <c r="AB166" s="76">
        <v>20301</v>
      </c>
      <c r="AC166" s="76">
        <v>184291</v>
      </c>
      <c r="AD166" s="76">
        <v>4401</v>
      </c>
      <c r="AE166" s="76">
        <v>0</v>
      </c>
      <c r="AF166" s="76">
        <v>0</v>
      </c>
      <c r="AG166" s="76">
        <v>1226</v>
      </c>
      <c r="AH166" s="76">
        <v>189918</v>
      </c>
      <c r="AI166" s="76">
        <v>37365</v>
      </c>
      <c r="AJ166" s="76">
        <v>25878</v>
      </c>
      <c r="AK166" s="76">
        <v>18235</v>
      </c>
      <c r="AL166" s="76">
        <v>8985</v>
      </c>
      <c r="AM166" s="76">
        <v>2964</v>
      </c>
      <c r="AN166" s="76">
        <v>1860</v>
      </c>
      <c r="AO166" s="76">
        <v>16039</v>
      </c>
      <c r="AP166" s="76">
        <v>619</v>
      </c>
      <c r="AQ166" s="76">
        <v>2209</v>
      </c>
      <c r="AR166" s="76">
        <v>114154</v>
      </c>
      <c r="AS166" s="76">
        <v>75764</v>
      </c>
      <c r="AT166" s="76">
        <v>2453</v>
      </c>
      <c r="AU166" s="76">
        <v>2791376</v>
      </c>
      <c r="AV166" s="76">
        <v>0</v>
      </c>
      <c r="AW166" s="76">
        <v>11772</v>
      </c>
      <c r="AX166" s="76">
        <v>0</v>
      </c>
      <c r="AY166" s="76">
        <v>138439</v>
      </c>
      <c r="AZ166" s="76">
        <v>47627</v>
      </c>
      <c r="BA166" s="76">
        <v>0</v>
      </c>
      <c r="BB166" s="76">
        <v>0</v>
      </c>
      <c r="BC166" s="76">
        <v>0</v>
      </c>
      <c r="BD166" s="76">
        <v>26809</v>
      </c>
      <c r="BE166" s="76">
        <v>3016023</v>
      </c>
      <c r="BF166" s="76">
        <v>33597</v>
      </c>
      <c r="BG166" s="76">
        <v>8827</v>
      </c>
      <c r="BH166" s="76">
        <v>103099</v>
      </c>
      <c r="BI166" s="76">
        <v>0</v>
      </c>
      <c r="BJ166" s="76">
        <v>114921</v>
      </c>
      <c r="BK166" s="76">
        <v>260444</v>
      </c>
      <c r="BL166" s="76">
        <v>5918</v>
      </c>
      <c r="BM166" s="76">
        <v>0</v>
      </c>
      <c r="BN166" s="76">
        <v>4855</v>
      </c>
      <c r="BO166" s="76">
        <v>123303</v>
      </c>
      <c r="BP166" s="76">
        <v>134076</v>
      </c>
      <c r="BQ166" s="76">
        <v>126368</v>
      </c>
      <c r="BR166" s="76">
        <v>3142391</v>
      </c>
      <c r="BS166" s="76">
        <v>1039676</v>
      </c>
      <c r="BT166" s="76">
        <v>0</v>
      </c>
      <c r="BU166" s="76">
        <v>613</v>
      </c>
      <c r="BV166" s="76">
        <v>154842</v>
      </c>
      <c r="BW166" s="76">
        <v>112591</v>
      </c>
      <c r="BX166" s="76">
        <v>48962</v>
      </c>
      <c r="BY166" s="76">
        <v>82876</v>
      </c>
      <c r="BZ166" s="76">
        <v>1439560</v>
      </c>
      <c r="CA166" s="76">
        <v>34412</v>
      </c>
      <c r="CB166" s="76">
        <v>9663</v>
      </c>
      <c r="CC166" s="76">
        <v>1658756</v>
      </c>
      <c r="CD166" s="76">
        <v>821821</v>
      </c>
      <c r="CE166" s="76">
        <v>850023</v>
      </c>
      <c r="CF166" s="76">
        <v>13994</v>
      </c>
      <c r="CG166" s="76">
        <v>-27082</v>
      </c>
      <c r="CH166" s="76">
        <v>0</v>
      </c>
      <c r="CI166" s="76">
        <v>1658756</v>
      </c>
      <c r="CJ166" s="76">
        <v>34806</v>
      </c>
      <c r="CK166" s="76">
        <v>23403</v>
      </c>
      <c r="CL166" s="76">
        <v>417</v>
      </c>
      <c r="CM166" s="76">
        <v>10986</v>
      </c>
      <c r="CN166" s="76">
        <v>13552</v>
      </c>
      <c r="CO166" s="76">
        <v>0</v>
      </c>
      <c r="CP166" s="76">
        <v>11702</v>
      </c>
      <c r="CQ166" s="76">
        <v>1850</v>
      </c>
      <c r="CR166" s="76">
        <v>0</v>
      </c>
      <c r="CS166" s="76">
        <v>0</v>
      </c>
      <c r="CT166" s="76">
        <v>0</v>
      </c>
      <c r="CU166" s="76">
        <v>0</v>
      </c>
      <c r="CV166" s="76">
        <v>347</v>
      </c>
      <c r="CW166" s="76">
        <v>0</v>
      </c>
      <c r="CX166" s="76">
        <v>805</v>
      </c>
      <c r="CY166" s="76">
        <v>-458</v>
      </c>
      <c r="CZ166" s="76">
        <v>7073</v>
      </c>
      <c r="DA166" s="76">
        <v>0</v>
      </c>
      <c r="DB166" s="76">
        <v>1414</v>
      </c>
      <c r="DC166" s="76">
        <v>5659</v>
      </c>
      <c r="DD166" s="76">
        <v>55778</v>
      </c>
      <c r="DE166" s="76">
        <v>23403</v>
      </c>
      <c r="DF166" s="76">
        <v>14338</v>
      </c>
      <c r="DG166" s="76">
        <v>18037</v>
      </c>
      <c r="DH166" s="76">
        <v>0</v>
      </c>
      <c r="DI166" s="76">
        <v>0</v>
      </c>
      <c r="DJ166" s="76">
        <v>0</v>
      </c>
      <c r="DK166" s="76">
        <v>0</v>
      </c>
      <c r="DL166" s="76">
        <v>0</v>
      </c>
      <c r="DM166" s="76">
        <v>0</v>
      </c>
      <c r="DN166" s="76">
        <v>0</v>
      </c>
      <c r="DO166" s="76">
        <v>0</v>
      </c>
      <c r="DP166" s="76">
        <v>5561</v>
      </c>
      <c r="DQ166" s="76">
        <v>0</v>
      </c>
      <c r="DR166" s="76">
        <v>5695</v>
      </c>
      <c r="DS166" s="76">
        <v>-134</v>
      </c>
      <c r="DT166" s="76">
        <v>2955</v>
      </c>
      <c r="DU166" s="76">
        <v>0</v>
      </c>
      <c r="DV166" s="76">
        <v>410</v>
      </c>
      <c r="DW166" s="76">
        <v>2545</v>
      </c>
      <c r="DX166" s="76">
        <v>0</v>
      </c>
      <c r="DY166" s="76">
        <v>0</v>
      </c>
      <c r="DZ166" s="76">
        <v>0</v>
      </c>
      <c r="EA166" s="76">
        <v>0</v>
      </c>
      <c r="EB166" s="76">
        <v>3838</v>
      </c>
      <c r="EC166" s="76">
        <v>0</v>
      </c>
      <c r="ED166" s="76">
        <v>4299</v>
      </c>
      <c r="EE166" s="76">
        <v>-461</v>
      </c>
      <c r="EF166" s="76">
        <v>12354</v>
      </c>
      <c r="EG166" s="76">
        <v>0</v>
      </c>
      <c r="EH166" s="76">
        <v>10404</v>
      </c>
      <c r="EI166" s="76">
        <v>1950</v>
      </c>
      <c r="EJ166" s="76">
        <v>68132</v>
      </c>
      <c r="EK166" s="76">
        <v>23403</v>
      </c>
      <c r="EL166" s="76">
        <v>24742</v>
      </c>
      <c r="EM166" s="76">
        <v>19987</v>
      </c>
      <c r="EN166" s="76">
        <v>9625</v>
      </c>
      <c r="EO166" s="76">
        <v>9135</v>
      </c>
      <c r="EP166" s="76">
        <v>2779</v>
      </c>
      <c r="EQ166" s="76">
        <v>7154</v>
      </c>
      <c r="ER166" s="76">
        <v>2568937</v>
      </c>
      <c r="ES166" s="76">
        <v>0</v>
      </c>
      <c r="ET166" s="76">
        <v>2568937</v>
      </c>
      <c r="EU166" s="76">
        <v>161727</v>
      </c>
      <c r="EV166" s="76">
        <v>-60909</v>
      </c>
      <c r="EW166" s="76">
        <v>0</v>
      </c>
      <c r="EX166" s="76">
        <v>181379</v>
      </c>
      <c r="EY166" s="76">
        <v>-4990</v>
      </c>
      <c r="EZ166" s="76">
        <v>2846144</v>
      </c>
      <c r="FA166" s="76">
        <v>57495</v>
      </c>
      <c r="FB166" s="76">
        <v>13767</v>
      </c>
      <c r="FC166" s="76">
        <v>619</v>
      </c>
      <c r="FD166" s="76">
        <v>0</v>
      </c>
      <c r="FE166" s="76">
        <v>-17113</v>
      </c>
      <c r="FF166" s="76">
        <v>0</v>
      </c>
      <c r="FG166" s="76">
        <v>0</v>
      </c>
      <c r="FH166" s="76">
        <v>54768</v>
      </c>
      <c r="FI166" s="76">
        <v>2791376</v>
      </c>
      <c r="FJ166" s="76">
        <v>2511442</v>
      </c>
      <c r="FK166" s="76">
        <v>24869</v>
      </c>
      <c r="FL166" s="76">
        <v>14638</v>
      </c>
      <c r="FM166" s="76">
        <v>10231</v>
      </c>
      <c r="FN166" s="76">
        <v>2595</v>
      </c>
      <c r="FO166" s="76">
        <v>1894</v>
      </c>
      <c r="FP166" s="76">
        <v>701</v>
      </c>
      <c r="FQ166" s="76">
        <v>853</v>
      </c>
      <c r="FR166" s="76">
        <v>747</v>
      </c>
      <c r="FS166" s="76">
        <v>106</v>
      </c>
      <c r="FT166" s="76">
        <v>0</v>
      </c>
      <c r="FU166" s="76">
        <v>0</v>
      </c>
      <c r="FV166" s="76">
        <v>0</v>
      </c>
      <c r="FW166" s="76">
        <v>0</v>
      </c>
      <c r="FX166" s="76">
        <v>0</v>
      </c>
      <c r="FY166" s="76">
        <v>0</v>
      </c>
      <c r="FZ166" s="76">
        <v>42458</v>
      </c>
      <c r="GA166" s="76">
        <v>36434</v>
      </c>
      <c r="GB166" s="76">
        <v>6024</v>
      </c>
      <c r="GC166" s="76">
        <v>70775</v>
      </c>
      <c r="GD166" s="76">
        <v>53713</v>
      </c>
      <c r="GE166" s="76">
        <v>17062</v>
      </c>
      <c r="GF166" s="76">
        <v>90778</v>
      </c>
      <c r="GG166" s="76">
        <v>61</v>
      </c>
      <c r="GH166" s="76">
        <v>27</v>
      </c>
      <c r="GI166" s="76">
        <v>8279</v>
      </c>
      <c r="GJ166" s="76">
        <v>0</v>
      </c>
      <c r="GK166" s="76">
        <v>15776</v>
      </c>
      <c r="GL166" s="76">
        <v>114921</v>
      </c>
      <c r="GM166" s="76">
        <v>5262</v>
      </c>
      <c r="GN166" s="76">
        <v>10188</v>
      </c>
      <c r="GO166" s="76">
        <v>5581</v>
      </c>
      <c r="GP166" s="76">
        <v>28702</v>
      </c>
      <c r="GQ166" s="76">
        <v>912</v>
      </c>
      <c r="GR166" s="76">
        <v>49340</v>
      </c>
      <c r="GS166" s="76">
        <v>25</v>
      </c>
      <c r="GT166" s="76">
        <v>0</v>
      </c>
      <c r="GU166" s="76">
        <v>0</v>
      </c>
      <c r="GV166" s="76">
        <v>0</v>
      </c>
      <c r="GW166" s="76">
        <v>23293</v>
      </c>
      <c r="GX166" s="76">
        <v>123303</v>
      </c>
      <c r="GY166" s="76">
        <v>73614</v>
      </c>
      <c r="GZ166" s="76">
        <v>2134</v>
      </c>
      <c r="HA166" s="76">
        <v>0</v>
      </c>
      <c r="HB166" s="76">
        <v>7128</v>
      </c>
      <c r="HC166" s="76">
        <v>82876</v>
      </c>
      <c r="HD166" s="76">
        <v>8279</v>
      </c>
      <c r="HE166" s="76">
        <v>1384</v>
      </c>
      <c r="HF166" s="76">
        <v>9663</v>
      </c>
      <c r="HG166" s="76">
        <v>47779</v>
      </c>
      <c r="HH166" s="76">
        <v>0</v>
      </c>
      <c r="HI166" s="76">
        <v>1885</v>
      </c>
      <c r="HJ166" s="76">
        <v>530</v>
      </c>
      <c r="HK166" s="76">
        <v>47</v>
      </c>
      <c r="HL166" s="76">
        <v>-5483</v>
      </c>
      <c r="HM166" s="76">
        <v>44758</v>
      </c>
      <c r="HN166" s="76">
        <v>28651</v>
      </c>
      <c r="HO166" s="76">
        <v>16039</v>
      </c>
      <c r="HP166" s="76">
        <v>-12476</v>
      </c>
      <c r="HQ166" s="76">
        <v>648</v>
      </c>
      <c r="HR166" s="76">
        <v>-180</v>
      </c>
      <c r="HS166" s="76">
        <v>776</v>
      </c>
      <c r="HT166" s="76">
        <v>31226</v>
      </c>
      <c r="HU166" s="76">
        <v>198</v>
      </c>
      <c r="HV166" s="76">
        <v>-13</v>
      </c>
      <c r="HW166" s="76">
        <v>338</v>
      </c>
      <c r="HX166" s="76">
        <v>4859</v>
      </c>
    </row>
    <row r="167" spans="1:232" x14ac:dyDescent="0.2">
      <c r="A167" s="74" t="s">
        <v>518</v>
      </c>
      <c r="B167" s="74" t="s">
        <v>517</v>
      </c>
      <c r="C167" s="75" t="s">
        <v>200</v>
      </c>
      <c r="D167" s="75">
        <v>12</v>
      </c>
      <c r="E167" s="76">
        <v>204985</v>
      </c>
      <c r="F167" s="76">
        <v>-5356</v>
      </c>
      <c r="G167" s="76">
        <v>-134475</v>
      </c>
      <c r="H167" s="76">
        <v>65154</v>
      </c>
      <c r="I167" s="76">
        <v>2666</v>
      </c>
      <c r="J167" s="76">
        <v>19</v>
      </c>
      <c r="K167" s="76">
        <v>0</v>
      </c>
      <c r="L167" s="76">
        <v>0</v>
      </c>
      <c r="M167" s="76">
        <v>648</v>
      </c>
      <c r="N167" s="76">
        <v>-30251</v>
      </c>
      <c r="O167" s="76">
        <v>0</v>
      </c>
      <c r="P167" s="76">
        <v>0</v>
      </c>
      <c r="Q167" s="76">
        <v>0</v>
      </c>
      <c r="R167" s="76">
        <v>0</v>
      </c>
      <c r="S167" s="76">
        <v>38236</v>
      </c>
      <c r="T167" s="76">
        <v>0</v>
      </c>
      <c r="U167" s="76">
        <v>38236</v>
      </c>
      <c r="V167" s="76">
        <v>0</v>
      </c>
      <c r="W167" s="76">
        <v>-2891</v>
      </c>
      <c r="X167" s="76">
        <v>0</v>
      </c>
      <c r="Y167" s="76">
        <v>0</v>
      </c>
      <c r="Z167" s="76">
        <v>35345</v>
      </c>
      <c r="AA167" s="76">
        <v>137557</v>
      </c>
      <c r="AB167" s="76">
        <v>22669</v>
      </c>
      <c r="AC167" s="76">
        <v>160226</v>
      </c>
      <c r="AD167" s="76">
        <v>7576</v>
      </c>
      <c r="AE167" s="76">
        <v>0</v>
      </c>
      <c r="AF167" s="76">
        <v>0</v>
      </c>
      <c r="AG167" s="76">
        <v>7580</v>
      </c>
      <c r="AH167" s="76">
        <v>175382</v>
      </c>
      <c r="AI167" s="76">
        <v>30642</v>
      </c>
      <c r="AJ167" s="76">
        <v>23014</v>
      </c>
      <c r="AK167" s="76">
        <v>20923</v>
      </c>
      <c r="AL167" s="76">
        <v>5771</v>
      </c>
      <c r="AM167" s="76">
        <v>4102</v>
      </c>
      <c r="AN167" s="76">
        <v>2304</v>
      </c>
      <c r="AO167" s="76">
        <v>21367</v>
      </c>
      <c r="AP167" s="76">
        <v>0</v>
      </c>
      <c r="AQ167" s="76">
        <v>-103</v>
      </c>
      <c r="AR167" s="76">
        <v>108020</v>
      </c>
      <c r="AS167" s="76">
        <v>67362</v>
      </c>
      <c r="AT167" s="76">
        <v>2536</v>
      </c>
      <c r="AU167" s="76">
        <v>1472007</v>
      </c>
      <c r="AV167" s="76">
        <v>0</v>
      </c>
      <c r="AW167" s="76">
        <v>21568</v>
      </c>
      <c r="AX167" s="76">
        <v>0</v>
      </c>
      <c r="AY167" s="76">
        <v>132</v>
      </c>
      <c r="AZ167" s="76">
        <v>0</v>
      </c>
      <c r="BA167" s="76">
        <v>0</v>
      </c>
      <c r="BB167" s="76">
        <v>0</v>
      </c>
      <c r="BC167" s="76">
        <v>0</v>
      </c>
      <c r="BD167" s="76">
        <v>9084</v>
      </c>
      <c r="BE167" s="76">
        <v>1502791</v>
      </c>
      <c r="BF167" s="76">
        <v>2862</v>
      </c>
      <c r="BG167" s="76">
        <v>5010</v>
      </c>
      <c r="BH167" s="76">
        <v>66978</v>
      </c>
      <c r="BI167" s="76">
        <v>595</v>
      </c>
      <c r="BJ167" s="76">
        <v>8070</v>
      </c>
      <c r="BK167" s="76">
        <v>83515</v>
      </c>
      <c r="BL167" s="76">
        <v>30779</v>
      </c>
      <c r="BM167" s="76">
        <v>0</v>
      </c>
      <c r="BN167" s="76">
        <v>8205</v>
      </c>
      <c r="BO167" s="76">
        <v>35712</v>
      </c>
      <c r="BP167" s="76">
        <v>74696</v>
      </c>
      <c r="BQ167" s="76">
        <v>8819</v>
      </c>
      <c r="BR167" s="76">
        <v>1511610</v>
      </c>
      <c r="BS167" s="76">
        <v>224008</v>
      </c>
      <c r="BT167" s="76">
        <v>297813</v>
      </c>
      <c r="BU167" s="76">
        <v>3995</v>
      </c>
      <c r="BV167" s="76">
        <v>711275</v>
      </c>
      <c r="BW167" s="76">
        <v>132</v>
      </c>
      <c r="BX167" s="76">
        <v>76397</v>
      </c>
      <c r="BY167" s="76">
        <v>27028</v>
      </c>
      <c r="BZ167" s="76">
        <v>1340648</v>
      </c>
      <c r="CA167" s="76">
        <v>0</v>
      </c>
      <c r="CB167" s="76">
        <v>0</v>
      </c>
      <c r="CC167" s="76">
        <v>170962</v>
      </c>
      <c r="CD167" s="76">
        <v>247359</v>
      </c>
      <c r="CE167" s="76">
        <v>0</v>
      </c>
      <c r="CF167" s="76">
        <v>0</v>
      </c>
      <c r="CG167" s="76">
        <v>-76397</v>
      </c>
      <c r="CH167" s="76">
        <v>0</v>
      </c>
      <c r="CI167" s="76">
        <v>170962</v>
      </c>
      <c r="CJ167" s="76">
        <v>6112</v>
      </c>
      <c r="CK167" s="76">
        <v>5356</v>
      </c>
      <c r="CL167" s="76">
        <v>0</v>
      </c>
      <c r="CM167" s="76">
        <v>756</v>
      </c>
      <c r="CN167" s="76">
        <v>0</v>
      </c>
      <c r="CO167" s="76">
        <v>0</v>
      </c>
      <c r="CP167" s="76">
        <v>0</v>
      </c>
      <c r="CQ167" s="76">
        <v>0</v>
      </c>
      <c r="CR167" s="76">
        <v>0</v>
      </c>
      <c r="CS167" s="76">
        <v>0</v>
      </c>
      <c r="CT167" s="76">
        <v>70</v>
      </c>
      <c r="CU167" s="76">
        <v>-70</v>
      </c>
      <c r="CV167" s="76">
        <v>140</v>
      </c>
      <c r="CW167" s="76">
        <v>0</v>
      </c>
      <c r="CX167" s="76">
        <v>410</v>
      </c>
      <c r="CY167" s="76">
        <v>-270</v>
      </c>
      <c r="CZ167" s="76">
        <v>1021</v>
      </c>
      <c r="DA167" s="76">
        <v>0</v>
      </c>
      <c r="DB167" s="76">
        <v>278</v>
      </c>
      <c r="DC167" s="76">
        <v>743</v>
      </c>
      <c r="DD167" s="76">
        <v>7273</v>
      </c>
      <c r="DE167" s="76">
        <v>5356</v>
      </c>
      <c r="DF167" s="76">
        <v>758</v>
      </c>
      <c r="DG167" s="76">
        <v>1159</v>
      </c>
      <c r="DH167" s="76">
        <v>0</v>
      </c>
      <c r="DI167" s="76">
        <v>0</v>
      </c>
      <c r="DJ167" s="76">
        <v>0</v>
      </c>
      <c r="DK167" s="76">
        <v>0</v>
      </c>
      <c r="DL167" s="76">
        <v>244</v>
      </c>
      <c r="DM167" s="76">
        <v>0</v>
      </c>
      <c r="DN167" s="76">
        <v>176</v>
      </c>
      <c r="DO167" s="76">
        <v>68</v>
      </c>
      <c r="DP167" s="76">
        <v>490</v>
      </c>
      <c r="DQ167" s="76">
        <v>0</v>
      </c>
      <c r="DR167" s="76">
        <v>708</v>
      </c>
      <c r="DS167" s="76">
        <v>-218</v>
      </c>
      <c r="DT167" s="76">
        <v>0</v>
      </c>
      <c r="DU167" s="76">
        <v>0</v>
      </c>
      <c r="DV167" s="76">
        <v>0</v>
      </c>
      <c r="DW167" s="76">
        <v>0</v>
      </c>
      <c r="DX167" s="76">
        <v>20741</v>
      </c>
      <c r="DY167" s="76">
        <v>0</v>
      </c>
      <c r="DZ167" s="76">
        <v>23035</v>
      </c>
      <c r="EA167" s="76">
        <v>-2294</v>
      </c>
      <c r="EB167" s="76">
        <v>855</v>
      </c>
      <c r="EC167" s="76">
        <v>0</v>
      </c>
      <c r="ED167" s="76">
        <v>1778</v>
      </c>
      <c r="EE167" s="76">
        <v>-923</v>
      </c>
      <c r="EF167" s="76">
        <v>22330</v>
      </c>
      <c r="EG167" s="76">
        <v>0</v>
      </c>
      <c r="EH167" s="76">
        <v>25697</v>
      </c>
      <c r="EI167" s="76">
        <v>-3367</v>
      </c>
      <c r="EJ167" s="76">
        <v>29603</v>
      </c>
      <c r="EK167" s="76">
        <v>5356</v>
      </c>
      <c r="EL167" s="76">
        <v>26455</v>
      </c>
      <c r="EM167" s="76">
        <v>-2208</v>
      </c>
      <c r="EN167" s="76">
        <v>7766</v>
      </c>
      <c r="EO167" s="76">
        <v>4708</v>
      </c>
      <c r="EP167" s="76">
        <v>2756</v>
      </c>
      <c r="EQ167" s="76">
        <v>4708</v>
      </c>
      <c r="ER167" s="76">
        <v>1682670</v>
      </c>
      <c r="ES167" s="76">
        <v>0</v>
      </c>
      <c r="ET167" s="76">
        <v>1682670</v>
      </c>
      <c r="EU167" s="76">
        <v>41077</v>
      </c>
      <c r="EV167" s="76">
        <v>-11898</v>
      </c>
      <c r="EW167" s="76">
        <v>0</v>
      </c>
      <c r="EX167" s="76">
        <v>0</v>
      </c>
      <c r="EY167" s="76">
        <v>-5221</v>
      </c>
      <c r="EZ167" s="76">
        <v>1706628</v>
      </c>
      <c r="FA167" s="76">
        <v>217312</v>
      </c>
      <c r="FB167" s="76">
        <v>21355</v>
      </c>
      <c r="FC167" s="76">
        <v>0</v>
      </c>
      <c r="FD167" s="76">
        <v>0</v>
      </c>
      <c r="FE167" s="76">
        <v>-3906</v>
      </c>
      <c r="FF167" s="76">
        <v>0</v>
      </c>
      <c r="FG167" s="76">
        <v>-140</v>
      </c>
      <c r="FH167" s="76">
        <v>234621</v>
      </c>
      <c r="FI167" s="76">
        <v>1472007</v>
      </c>
      <c r="FJ167" s="76">
        <v>1465358</v>
      </c>
      <c r="FK167" s="76">
        <v>5683</v>
      </c>
      <c r="FL167" s="76">
        <v>3859</v>
      </c>
      <c r="FM167" s="76">
        <v>1824</v>
      </c>
      <c r="FN167" s="76">
        <v>154</v>
      </c>
      <c r="FO167" s="76">
        <v>56</v>
      </c>
      <c r="FP167" s="76">
        <v>98</v>
      </c>
      <c r="FQ167" s="76">
        <v>250</v>
      </c>
      <c r="FR167" s="76">
        <v>316</v>
      </c>
      <c r="FS167" s="76">
        <v>-66</v>
      </c>
      <c r="FT167" s="76">
        <v>8460</v>
      </c>
      <c r="FU167" s="76">
        <v>7650</v>
      </c>
      <c r="FV167" s="76">
        <v>810</v>
      </c>
      <c r="FW167" s="76">
        <v>0</v>
      </c>
      <c r="FX167" s="76">
        <v>0</v>
      </c>
      <c r="FY167" s="76">
        <v>0</v>
      </c>
      <c r="FZ167" s="76">
        <v>0</v>
      </c>
      <c r="GA167" s="76">
        <v>0</v>
      </c>
      <c r="GB167" s="76">
        <v>0</v>
      </c>
      <c r="GC167" s="76">
        <v>14547</v>
      </c>
      <c r="GD167" s="76">
        <v>11881</v>
      </c>
      <c r="GE167" s="76">
        <v>2666</v>
      </c>
      <c r="GF167" s="76">
        <v>71</v>
      </c>
      <c r="GG167" s="76">
        <v>0</v>
      </c>
      <c r="GH167" s="76">
        <v>3036</v>
      </c>
      <c r="GI167" s="76">
        <v>0</v>
      </c>
      <c r="GJ167" s="76">
        <v>0</v>
      </c>
      <c r="GK167" s="76">
        <v>4963</v>
      </c>
      <c r="GL167" s="76">
        <v>8070</v>
      </c>
      <c r="GM167" s="76">
        <v>1369</v>
      </c>
      <c r="GN167" s="76">
        <v>3335</v>
      </c>
      <c r="GO167" s="76">
        <v>7829</v>
      </c>
      <c r="GP167" s="76">
        <v>3279</v>
      </c>
      <c r="GQ167" s="76">
        <v>215</v>
      </c>
      <c r="GR167" s="76">
        <v>14435</v>
      </c>
      <c r="GS167" s="76">
        <v>129</v>
      </c>
      <c r="GT167" s="76">
        <v>0</v>
      </c>
      <c r="GU167" s="76">
        <v>3319</v>
      </c>
      <c r="GV167" s="76">
        <v>0</v>
      </c>
      <c r="GW167" s="76">
        <v>1802</v>
      </c>
      <c r="GX167" s="76">
        <v>35712</v>
      </c>
      <c r="GY167" s="76">
        <v>2612</v>
      </c>
      <c r="GZ167" s="76">
        <v>290</v>
      </c>
      <c r="HA167" s="76">
        <v>22881</v>
      </c>
      <c r="HB167" s="76">
        <v>1245</v>
      </c>
      <c r="HC167" s="76">
        <v>27028</v>
      </c>
      <c r="HD167" s="76">
        <v>0</v>
      </c>
      <c r="HE167" s="76">
        <v>0</v>
      </c>
      <c r="HF167" s="76">
        <v>0</v>
      </c>
      <c r="HG167" s="76">
        <v>28561</v>
      </c>
      <c r="HH167" s="76">
        <v>758</v>
      </c>
      <c r="HI167" s="76">
        <v>1321</v>
      </c>
      <c r="HJ167" s="76">
        <v>34</v>
      </c>
      <c r="HK167" s="76">
        <v>0</v>
      </c>
      <c r="HL167" s="76">
        <v>-423</v>
      </c>
      <c r="HM167" s="76">
        <v>30251</v>
      </c>
      <c r="HN167" s="76">
        <v>13024</v>
      </c>
      <c r="HO167" s="76">
        <v>23850</v>
      </c>
      <c r="HP167" s="76">
        <v>0</v>
      </c>
      <c r="HQ167" s="76">
        <v>156</v>
      </c>
      <c r="HR167" s="76">
        <v>-155</v>
      </c>
      <c r="HS167" s="76">
        <v>-38</v>
      </c>
      <c r="HT167" s="76">
        <v>30789</v>
      </c>
      <c r="HU167" s="76">
        <v>0</v>
      </c>
      <c r="HV167" s="76">
        <v>-16</v>
      </c>
      <c r="HW167" s="76">
        <v>0</v>
      </c>
      <c r="HX167" s="76">
        <v>165</v>
      </c>
    </row>
    <row r="168" spans="1:232" x14ac:dyDescent="0.2">
      <c r="A168" s="74" t="s">
        <v>114</v>
      </c>
      <c r="B168" s="74" t="s">
        <v>112</v>
      </c>
      <c r="C168" s="75" t="s">
        <v>200</v>
      </c>
      <c r="D168" s="75">
        <v>12</v>
      </c>
      <c r="E168" s="76">
        <v>120922</v>
      </c>
      <c r="F168" s="76">
        <v>-15990</v>
      </c>
      <c r="G168" s="76">
        <v>-60928</v>
      </c>
      <c r="H168" s="76">
        <v>44004</v>
      </c>
      <c r="I168" s="76">
        <v>25384</v>
      </c>
      <c r="J168" s="76">
        <v>0</v>
      </c>
      <c r="K168" s="76">
        <v>0</v>
      </c>
      <c r="L168" s="76">
        <v>0</v>
      </c>
      <c r="M168" s="76">
        <v>103</v>
      </c>
      <c r="N168" s="76">
        <v>-20928</v>
      </c>
      <c r="O168" s="76">
        <v>0</v>
      </c>
      <c r="P168" s="76">
        <v>-762</v>
      </c>
      <c r="Q168" s="76">
        <v>0</v>
      </c>
      <c r="R168" s="76">
        <v>0</v>
      </c>
      <c r="S168" s="76">
        <v>47801</v>
      </c>
      <c r="T168" s="76">
        <v>0</v>
      </c>
      <c r="U168" s="76">
        <v>47801</v>
      </c>
      <c r="V168" s="76">
        <v>0</v>
      </c>
      <c r="W168" s="76">
        <v>-357</v>
      </c>
      <c r="X168" s="76">
        <v>-2662</v>
      </c>
      <c r="Y168" s="76">
        <v>0</v>
      </c>
      <c r="Z168" s="76">
        <v>44782</v>
      </c>
      <c r="AA168" s="76">
        <v>81600</v>
      </c>
      <c r="AB168" s="76">
        <v>8931</v>
      </c>
      <c r="AC168" s="76">
        <v>90531</v>
      </c>
      <c r="AD168" s="76">
        <v>5151</v>
      </c>
      <c r="AE168" s="76">
        <v>0</v>
      </c>
      <c r="AF168" s="76">
        <v>0</v>
      </c>
      <c r="AG168" s="76">
        <v>0</v>
      </c>
      <c r="AH168" s="76">
        <v>95682</v>
      </c>
      <c r="AI168" s="76">
        <v>15508</v>
      </c>
      <c r="AJ168" s="76">
        <v>9357</v>
      </c>
      <c r="AK168" s="76">
        <v>8838</v>
      </c>
      <c r="AL168" s="76">
        <v>3631</v>
      </c>
      <c r="AM168" s="76">
        <v>1801</v>
      </c>
      <c r="AN168" s="76">
        <v>400</v>
      </c>
      <c r="AO168" s="76">
        <v>14676</v>
      </c>
      <c r="AP168" s="76">
        <v>-125</v>
      </c>
      <c r="AQ168" s="76">
        <v>0</v>
      </c>
      <c r="AR168" s="76">
        <v>54086</v>
      </c>
      <c r="AS168" s="76">
        <v>41596</v>
      </c>
      <c r="AT168" s="76">
        <v>864</v>
      </c>
      <c r="AU168" s="76">
        <v>1267121</v>
      </c>
      <c r="AV168" s="76">
        <v>0</v>
      </c>
      <c r="AW168" s="76">
        <v>12883</v>
      </c>
      <c r="AX168" s="76">
        <v>0</v>
      </c>
      <c r="AY168" s="76">
        <v>60482</v>
      </c>
      <c r="AZ168" s="76">
        <v>458</v>
      </c>
      <c r="BA168" s="76">
        <v>0</v>
      </c>
      <c r="BB168" s="76">
        <v>0</v>
      </c>
      <c r="BC168" s="76">
        <v>0</v>
      </c>
      <c r="BD168" s="76">
        <v>50</v>
      </c>
      <c r="BE168" s="76">
        <v>1340994</v>
      </c>
      <c r="BF168" s="76">
        <v>25563</v>
      </c>
      <c r="BG168" s="76">
        <v>18997</v>
      </c>
      <c r="BH168" s="76">
        <v>25625</v>
      </c>
      <c r="BI168" s="76">
        <v>0</v>
      </c>
      <c r="BJ168" s="76">
        <v>710</v>
      </c>
      <c r="BK168" s="76">
        <v>70895</v>
      </c>
      <c r="BL168" s="76">
        <v>974</v>
      </c>
      <c r="BM168" s="76">
        <v>532</v>
      </c>
      <c r="BN168" s="76">
        <v>0</v>
      </c>
      <c r="BO168" s="76">
        <v>27783</v>
      </c>
      <c r="BP168" s="76">
        <v>29289</v>
      </c>
      <c r="BQ168" s="76">
        <v>41606</v>
      </c>
      <c r="BR168" s="76">
        <v>1382600</v>
      </c>
      <c r="BS168" s="76">
        <v>275833</v>
      </c>
      <c r="BT168" s="76">
        <v>151649</v>
      </c>
      <c r="BU168" s="76">
        <v>685</v>
      </c>
      <c r="BV168" s="76">
        <v>459179</v>
      </c>
      <c r="BW168" s="76">
        <v>52059</v>
      </c>
      <c r="BX168" s="76">
        <v>73222</v>
      </c>
      <c r="BY168" s="76">
        <v>63658</v>
      </c>
      <c r="BZ168" s="76">
        <v>1076285</v>
      </c>
      <c r="CA168" s="76">
        <v>1679</v>
      </c>
      <c r="CB168" s="76">
        <v>0</v>
      </c>
      <c r="CC168" s="76">
        <v>304636</v>
      </c>
      <c r="CD168" s="76">
        <v>360524</v>
      </c>
      <c r="CE168" s="76">
        <v>0</v>
      </c>
      <c r="CF168" s="76">
        <v>0</v>
      </c>
      <c r="CG168" s="76">
        <v>-55888</v>
      </c>
      <c r="CH168" s="76">
        <v>0</v>
      </c>
      <c r="CI168" s="76">
        <v>304636</v>
      </c>
      <c r="CJ168" s="76">
        <v>23235</v>
      </c>
      <c r="CK168" s="76">
        <v>15990</v>
      </c>
      <c r="CL168" s="76">
        <v>0</v>
      </c>
      <c r="CM168" s="76">
        <v>7245</v>
      </c>
      <c r="CN168" s="76">
        <v>0</v>
      </c>
      <c r="CO168" s="76">
        <v>0</v>
      </c>
      <c r="CP168" s="76">
        <v>0</v>
      </c>
      <c r="CQ168" s="76">
        <v>0</v>
      </c>
      <c r="CR168" s="76">
        <v>0</v>
      </c>
      <c r="CS168" s="76">
        <v>0</v>
      </c>
      <c r="CT168" s="76">
        <v>4414</v>
      </c>
      <c r="CU168" s="76">
        <v>-4414</v>
      </c>
      <c r="CV168" s="76">
        <v>620</v>
      </c>
      <c r="CW168" s="76">
        <v>0</v>
      </c>
      <c r="CX168" s="76">
        <v>611</v>
      </c>
      <c r="CY168" s="76">
        <v>9</v>
      </c>
      <c r="CZ168" s="76">
        <v>1337</v>
      </c>
      <c r="DA168" s="76">
        <v>0</v>
      </c>
      <c r="DB168" s="76">
        <v>1758</v>
      </c>
      <c r="DC168" s="76">
        <v>-421</v>
      </c>
      <c r="DD168" s="76">
        <v>25192</v>
      </c>
      <c r="DE168" s="76">
        <v>15990</v>
      </c>
      <c r="DF168" s="76">
        <v>6783</v>
      </c>
      <c r="DG168" s="76">
        <v>2419</v>
      </c>
      <c r="DH168" s="76">
        <v>0</v>
      </c>
      <c r="DI168" s="76">
        <v>0</v>
      </c>
      <c r="DJ168" s="76">
        <v>0</v>
      </c>
      <c r="DK168" s="76">
        <v>0</v>
      </c>
      <c r="DL168" s="76">
        <v>0</v>
      </c>
      <c r="DM168" s="76">
        <v>0</v>
      </c>
      <c r="DN168" s="76">
        <v>0</v>
      </c>
      <c r="DO168" s="76">
        <v>0</v>
      </c>
      <c r="DP168" s="76">
        <v>0</v>
      </c>
      <c r="DQ168" s="76">
        <v>0</v>
      </c>
      <c r="DR168" s="76">
        <v>0</v>
      </c>
      <c r="DS168" s="76">
        <v>0</v>
      </c>
      <c r="DT168" s="76">
        <v>48</v>
      </c>
      <c r="DU168" s="76">
        <v>0</v>
      </c>
      <c r="DV168" s="76">
        <v>9</v>
      </c>
      <c r="DW168" s="76">
        <v>39</v>
      </c>
      <c r="DX168" s="76">
        <v>0</v>
      </c>
      <c r="DY168" s="76">
        <v>0</v>
      </c>
      <c r="DZ168" s="76">
        <v>0</v>
      </c>
      <c r="EA168" s="76">
        <v>0</v>
      </c>
      <c r="EB168" s="76">
        <v>0</v>
      </c>
      <c r="EC168" s="76">
        <v>0</v>
      </c>
      <c r="ED168" s="76">
        <v>50</v>
      </c>
      <c r="EE168" s="76">
        <v>-50</v>
      </c>
      <c r="EF168" s="76">
        <v>48</v>
      </c>
      <c r="EG168" s="76">
        <v>0</v>
      </c>
      <c r="EH168" s="76">
        <v>59</v>
      </c>
      <c r="EI168" s="76">
        <v>-11</v>
      </c>
      <c r="EJ168" s="76">
        <v>25240</v>
      </c>
      <c r="EK168" s="76">
        <v>15990</v>
      </c>
      <c r="EL168" s="76">
        <v>6842</v>
      </c>
      <c r="EM168" s="76">
        <v>2408</v>
      </c>
      <c r="EN168" s="76">
        <v>3938</v>
      </c>
      <c r="EO168" s="76">
        <v>1808</v>
      </c>
      <c r="EP168" s="76">
        <v>1050</v>
      </c>
      <c r="EQ168" s="76">
        <v>1808</v>
      </c>
      <c r="ER168" s="76">
        <v>1365000</v>
      </c>
      <c r="ES168" s="76">
        <v>0</v>
      </c>
      <c r="ET168" s="76">
        <v>1365000</v>
      </c>
      <c r="EU168" s="76">
        <v>96814</v>
      </c>
      <c r="EV168" s="76">
        <v>-27946</v>
      </c>
      <c r="EW168" s="76">
        <v>0</v>
      </c>
      <c r="EX168" s="76">
        <v>0</v>
      </c>
      <c r="EY168" s="76">
        <v>-23562</v>
      </c>
      <c r="EZ168" s="76">
        <v>1410306</v>
      </c>
      <c r="FA168" s="76">
        <v>130767</v>
      </c>
      <c r="FB168" s="76">
        <v>14504</v>
      </c>
      <c r="FC168" s="76">
        <v>1599</v>
      </c>
      <c r="FD168" s="76">
        <v>0</v>
      </c>
      <c r="FE168" s="76">
        <v>-3685</v>
      </c>
      <c r="FF168" s="76">
        <v>0</v>
      </c>
      <c r="FG168" s="76">
        <v>0</v>
      </c>
      <c r="FH168" s="76">
        <v>143185</v>
      </c>
      <c r="FI168" s="76">
        <v>1267121</v>
      </c>
      <c r="FJ168" s="76">
        <v>1234233</v>
      </c>
      <c r="FK168" s="76">
        <v>16865</v>
      </c>
      <c r="FL168" s="76">
        <v>8833</v>
      </c>
      <c r="FM168" s="76">
        <v>8032</v>
      </c>
      <c r="FN168" s="76">
        <v>156</v>
      </c>
      <c r="FO168" s="76">
        <v>52</v>
      </c>
      <c r="FP168" s="76">
        <v>104</v>
      </c>
      <c r="FQ168" s="76">
        <v>179</v>
      </c>
      <c r="FR168" s="76">
        <v>172</v>
      </c>
      <c r="FS168" s="76">
        <v>7</v>
      </c>
      <c r="FT168" s="76">
        <v>11266</v>
      </c>
      <c r="FU168" s="76">
        <v>8019</v>
      </c>
      <c r="FV168" s="76">
        <v>3247</v>
      </c>
      <c r="FW168" s="76">
        <v>21650</v>
      </c>
      <c r="FX168" s="76">
        <v>7509</v>
      </c>
      <c r="FY168" s="76">
        <v>14141</v>
      </c>
      <c r="FZ168" s="76">
        <v>21</v>
      </c>
      <c r="GA168" s="76">
        <v>168</v>
      </c>
      <c r="GB168" s="76">
        <v>-147</v>
      </c>
      <c r="GC168" s="76">
        <v>50137</v>
      </c>
      <c r="GD168" s="76">
        <v>24753</v>
      </c>
      <c r="GE168" s="76">
        <v>25384</v>
      </c>
      <c r="GF168" s="76">
        <v>0</v>
      </c>
      <c r="GG168" s="76">
        <v>0</v>
      </c>
      <c r="GH168" s="76">
        <v>0</v>
      </c>
      <c r="GI168" s="76">
        <v>0</v>
      </c>
      <c r="GJ168" s="76">
        <v>0</v>
      </c>
      <c r="GK168" s="76">
        <v>710</v>
      </c>
      <c r="GL168" s="76">
        <v>710</v>
      </c>
      <c r="GM168" s="76">
        <v>672</v>
      </c>
      <c r="GN168" s="76">
        <v>2526</v>
      </c>
      <c r="GO168" s="76">
        <v>2195</v>
      </c>
      <c r="GP168" s="76">
        <v>3891</v>
      </c>
      <c r="GQ168" s="76">
        <v>0</v>
      </c>
      <c r="GR168" s="76">
        <v>14627</v>
      </c>
      <c r="GS168" s="76">
        <v>142</v>
      </c>
      <c r="GT168" s="76">
        <v>0</v>
      </c>
      <c r="GU168" s="76">
        <v>881</v>
      </c>
      <c r="GV168" s="76">
        <v>0</v>
      </c>
      <c r="GW168" s="76">
        <v>2849</v>
      </c>
      <c r="GX168" s="76">
        <v>27783</v>
      </c>
      <c r="GY168" s="76">
        <v>53544</v>
      </c>
      <c r="GZ168" s="76">
        <v>1157</v>
      </c>
      <c r="HA168" s="76">
        <v>6416</v>
      </c>
      <c r="HB168" s="76">
        <v>2541</v>
      </c>
      <c r="HC168" s="76">
        <v>63658</v>
      </c>
      <c r="HD168" s="76">
        <v>0</v>
      </c>
      <c r="HE168" s="76">
        <v>0</v>
      </c>
      <c r="HF168" s="76">
        <v>0</v>
      </c>
      <c r="HG168" s="76">
        <v>22793</v>
      </c>
      <c r="HH168" s="76">
        <v>58</v>
      </c>
      <c r="HI168" s="76">
        <v>197</v>
      </c>
      <c r="HJ168" s="76">
        <v>188</v>
      </c>
      <c r="HK168" s="76">
        <v>222</v>
      </c>
      <c r="HL168" s="76">
        <v>-2530</v>
      </c>
      <c r="HM168" s="76">
        <v>20928</v>
      </c>
      <c r="HN168" s="76">
        <v>2453</v>
      </c>
      <c r="HO168" s="76">
        <v>15802</v>
      </c>
      <c r="HP168" s="76">
        <v>1599</v>
      </c>
      <c r="HQ168" s="76">
        <v>406</v>
      </c>
      <c r="HR168" s="76">
        <v>-287</v>
      </c>
      <c r="HS168" s="76">
        <v>-239</v>
      </c>
      <c r="HT168" s="76">
        <v>19468</v>
      </c>
      <c r="HU168" s="76">
        <v>0</v>
      </c>
      <c r="HV168" s="76">
        <v>-3</v>
      </c>
      <c r="HW168" s="76">
        <v>2</v>
      </c>
      <c r="HX168" s="76">
        <v>1001</v>
      </c>
    </row>
    <row r="169" spans="1:232" x14ac:dyDescent="0.2">
      <c r="A169" s="74" t="s">
        <v>519</v>
      </c>
      <c r="B169" s="74" t="s">
        <v>520</v>
      </c>
      <c r="C169" s="75" t="s">
        <v>200</v>
      </c>
      <c r="D169" s="75">
        <v>12</v>
      </c>
      <c r="E169" s="76">
        <v>25162</v>
      </c>
      <c r="F169" s="76">
        <v>-706</v>
      </c>
      <c r="G169" s="76">
        <v>-16724</v>
      </c>
      <c r="H169" s="76">
        <v>7732</v>
      </c>
      <c r="I169" s="76">
        <v>818</v>
      </c>
      <c r="J169" s="76">
        <v>175</v>
      </c>
      <c r="K169" s="76">
        <v>0</v>
      </c>
      <c r="L169" s="76">
        <v>0</v>
      </c>
      <c r="M169" s="76">
        <v>195</v>
      </c>
      <c r="N169" s="76">
        <v>-4081</v>
      </c>
      <c r="O169" s="76">
        <v>0</v>
      </c>
      <c r="P169" s="76">
        <v>-148</v>
      </c>
      <c r="Q169" s="76">
        <v>0</v>
      </c>
      <c r="R169" s="76">
        <v>0</v>
      </c>
      <c r="S169" s="76">
        <v>4691</v>
      </c>
      <c r="T169" s="76">
        <v>0</v>
      </c>
      <c r="U169" s="76">
        <v>4691</v>
      </c>
      <c r="V169" s="76">
        <v>0</v>
      </c>
      <c r="W169" s="76">
        <v>259</v>
      </c>
      <c r="X169" s="76">
        <v>23</v>
      </c>
      <c r="Y169" s="76">
        <v>0</v>
      </c>
      <c r="Z169" s="76">
        <v>4973</v>
      </c>
      <c r="AA169" s="76">
        <v>20652</v>
      </c>
      <c r="AB169" s="76">
        <v>2954</v>
      </c>
      <c r="AC169" s="76">
        <v>23606</v>
      </c>
      <c r="AD169" s="76">
        <v>53</v>
      </c>
      <c r="AE169" s="76">
        <v>0</v>
      </c>
      <c r="AF169" s="76">
        <v>0</v>
      </c>
      <c r="AG169" s="76">
        <v>14</v>
      </c>
      <c r="AH169" s="76">
        <v>23673</v>
      </c>
      <c r="AI169" s="76">
        <v>3930</v>
      </c>
      <c r="AJ169" s="76">
        <v>3267</v>
      </c>
      <c r="AK169" s="76">
        <v>4831</v>
      </c>
      <c r="AL169" s="76">
        <v>1998</v>
      </c>
      <c r="AM169" s="76">
        <v>0</v>
      </c>
      <c r="AN169" s="76">
        <v>74</v>
      </c>
      <c r="AO169" s="76">
        <v>2197</v>
      </c>
      <c r="AP169" s="76">
        <v>0</v>
      </c>
      <c r="AQ169" s="76">
        <v>69</v>
      </c>
      <c r="AR169" s="76">
        <v>16366</v>
      </c>
      <c r="AS169" s="76">
        <v>7307</v>
      </c>
      <c r="AT169" s="76">
        <v>397</v>
      </c>
      <c r="AU169" s="76">
        <v>128029</v>
      </c>
      <c r="AV169" s="76">
        <v>0</v>
      </c>
      <c r="AW169" s="76">
        <v>6318</v>
      </c>
      <c r="AX169" s="76">
        <v>0</v>
      </c>
      <c r="AY169" s="76">
        <v>0</v>
      </c>
      <c r="AZ169" s="76">
        <v>0</v>
      </c>
      <c r="BA169" s="76">
        <v>0</v>
      </c>
      <c r="BB169" s="76">
        <v>0</v>
      </c>
      <c r="BC169" s="76">
        <v>9768</v>
      </c>
      <c r="BD169" s="76">
        <v>9119</v>
      </c>
      <c r="BE169" s="76">
        <v>153234</v>
      </c>
      <c r="BF169" s="76">
        <v>2532</v>
      </c>
      <c r="BG169" s="76">
        <v>766</v>
      </c>
      <c r="BH169" s="76">
        <v>0</v>
      </c>
      <c r="BI169" s="76">
        <v>0</v>
      </c>
      <c r="BJ169" s="76">
        <v>13065</v>
      </c>
      <c r="BK169" s="76">
        <v>16363</v>
      </c>
      <c r="BL169" s="76">
        <v>3127</v>
      </c>
      <c r="BM169" s="76">
        <v>4</v>
      </c>
      <c r="BN169" s="76">
        <v>57</v>
      </c>
      <c r="BO169" s="76">
        <v>9527</v>
      </c>
      <c r="BP169" s="76">
        <v>12715</v>
      </c>
      <c r="BQ169" s="76">
        <v>3648</v>
      </c>
      <c r="BR169" s="76">
        <v>156882</v>
      </c>
      <c r="BS169" s="76">
        <v>0</v>
      </c>
      <c r="BT169" s="76">
        <v>108187</v>
      </c>
      <c r="BU169" s="76">
        <v>0</v>
      </c>
      <c r="BV169" s="76">
        <v>8592</v>
      </c>
      <c r="BW169" s="76">
        <v>0</v>
      </c>
      <c r="BX169" s="76">
        <v>10089</v>
      </c>
      <c r="BY169" s="76">
        <v>8802</v>
      </c>
      <c r="BZ169" s="76">
        <v>135670</v>
      </c>
      <c r="CA169" s="76">
        <v>401</v>
      </c>
      <c r="CB169" s="76">
        <v>521</v>
      </c>
      <c r="CC169" s="76">
        <v>20290</v>
      </c>
      <c r="CD169" s="76">
        <v>30838</v>
      </c>
      <c r="CE169" s="76">
        <v>0</v>
      </c>
      <c r="CF169" s="76">
        <v>0</v>
      </c>
      <c r="CG169" s="76">
        <v>-10548</v>
      </c>
      <c r="CH169" s="76">
        <v>0</v>
      </c>
      <c r="CI169" s="76">
        <v>20290</v>
      </c>
      <c r="CJ169" s="76">
        <v>1152</v>
      </c>
      <c r="CK169" s="76">
        <v>706</v>
      </c>
      <c r="CL169" s="76">
        <v>0</v>
      </c>
      <c r="CM169" s="76">
        <v>446</v>
      </c>
      <c r="CN169" s="76">
        <v>0</v>
      </c>
      <c r="CO169" s="76">
        <v>0</v>
      </c>
      <c r="CP169" s="76">
        <v>0</v>
      </c>
      <c r="CQ169" s="76">
        <v>0</v>
      </c>
      <c r="CR169" s="76">
        <v>0</v>
      </c>
      <c r="CS169" s="76">
        <v>0</v>
      </c>
      <c r="CT169" s="76">
        <v>70</v>
      </c>
      <c r="CU169" s="76">
        <v>-70</v>
      </c>
      <c r="CV169" s="76">
        <v>0</v>
      </c>
      <c r="CW169" s="76">
        <v>0</v>
      </c>
      <c r="CX169" s="76">
        <v>147</v>
      </c>
      <c r="CY169" s="76">
        <v>-147</v>
      </c>
      <c r="CZ169" s="76">
        <v>0</v>
      </c>
      <c r="DA169" s="76">
        <v>0</v>
      </c>
      <c r="DB169" s="76">
        <v>0</v>
      </c>
      <c r="DC169" s="76">
        <v>0</v>
      </c>
      <c r="DD169" s="76">
        <v>1152</v>
      </c>
      <c r="DE169" s="76">
        <v>706</v>
      </c>
      <c r="DF169" s="76">
        <v>217</v>
      </c>
      <c r="DG169" s="76">
        <v>229</v>
      </c>
      <c r="DH169" s="76">
        <v>0</v>
      </c>
      <c r="DI169" s="76">
        <v>0</v>
      </c>
      <c r="DJ169" s="76">
        <v>0</v>
      </c>
      <c r="DK169" s="76">
        <v>0</v>
      </c>
      <c r="DL169" s="76">
        <v>0</v>
      </c>
      <c r="DM169" s="76">
        <v>0</v>
      </c>
      <c r="DN169" s="76">
        <v>0</v>
      </c>
      <c r="DO169" s="76">
        <v>0</v>
      </c>
      <c r="DP169" s="76">
        <v>0</v>
      </c>
      <c r="DQ169" s="76">
        <v>0</v>
      </c>
      <c r="DR169" s="76">
        <v>0</v>
      </c>
      <c r="DS169" s="76">
        <v>0</v>
      </c>
      <c r="DT169" s="76">
        <v>0</v>
      </c>
      <c r="DU169" s="76">
        <v>0</v>
      </c>
      <c r="DV169" s="76">
        <v>18</v>
      </c>
      <c r="DW169" s="76">
        <v>-18</v>
      </c>
      <c r="DX169" s="76">
        <v>0</v>
      </c>
      <c r="DY169" s="76">
        <v>0</v>
      </c>
      <c r="DZ169" s="76">
        <v>0</v>
      </c>
      <c r="EA169" s="76">
        <v>0</v>
      </c>
      <c r="EB169" s="76">
        <v>337</v>
      </c>
      <c r="EC169" s="76">
        <v>0</v>
      </c>
      <c r="ED169" s="76">
        <v>123</v>
      </c>
      <c r="EE169" s="76">
        <v>214</v>
      </c>
      <c r="EF169" s="76">
        <v>337</v>
      </c>
      <c r="EG169" s="76">
        <v>0</v>
      </c>
      <c r="EH169" s="76">
        <v>141</v>
      </c>
      <c r="EI169" s="76">
        <v>196</v>
      </c>
      <c r="EJ169" s="76">
        <v>1489</v>
      </c>
      <c r="EK169" s="76">
        <v>706</v>
      </c>
      <c r="EL169" s="76">
        <v>358</v>
      </c>
      <c r="EM169" s="76">
        <v>425</v>
      </c>
      <c r="EN169" s="76">
        <v>273</v>
      </c>
      <c r="EO169" s="76">
        <v>368</v>
      </c>
      <c r="EP169" s="76">
        <v>45</v>
      </c>
      <c r="EQ169" s="76">
        <v>368</v>
      </c>
      <c r="ER169" s="76">
        <v>132390</v>
      </c>
      <c r="ES169" s="76">
        <v>0</v>
      </c>
      <c r="ET169" s="76">
        <v>132390</v>
      </c>
      <c r="EU169" s="76">
        <v>11651</v>
      </c>
      <c r="EV169" s="76">
        <v>-490</v>
      </c>
      <c r="EW169" s="76">
        <v>0</v>
      </c>
      <c r="EX169" s="76">
        <v>0</v>
      </c>
      <c r="EY169" s="76">
        <v>-222</v>
      </c>
      <c r="EZ169" s="76">
        <v>143329</v>
      </c>
      <c r="FA169" s="76">
        <v>13356</v>
      </c>
      <c r="FB169" s="76">
        <v>2029</v>
      </c>
      <c r="FC169" s="76">
        <v>0</v>
      </c>
      <c r="FD169" s="76">
        <v>0</v>
      </c>
      <c r="FE169" s="76">
        <v>-37</v>
      </c>
      <c r="FF169" s="76">
        <v>0</v>
      </c>
      <c r="FG169" s="76">
        <v>-48</v>
      </c>
      <c r="FH169" s="76">
        <v>15300</v>
      </c>
      <c r="FI169" s="76">
        <v>128029</v>
      </c>
      <c r="FJ169" s="76">
        <v>119034</v>
      </c>
      <c r="FK169" s="76">
        <v>414</v>
      </c>
      <c r="FL169" s="76">
        <v>249</v>
      </c>
      <c r="FM169" s="76">
        <v>165</v>
      </c>
      <c r="FN169" s="76">
        <v>1424</v>
      </c>
      <c r="FO169" s="76">
        <v>1266</v>
      </c>
      <c r="FP169" s="76">
        <v>158</v>
      </c>
      <c r="FQ169" s="76">
        <v>245</v>
      </c>
      <c r="FR169" s="76">
        <v>246</v>
      </c>
      <c r="FS169" s="76">
        <v>-1</v>
      </c>
      <c r="FT169" s="76">
        <v>0</v>
      </c>
      <c r="FU169" s="76">
        <v>0</v>
      </c>
      <c r="FV169" s="76">
        <v>0</v>
      </c>
      <c r="FW169" s="76">
        <v>525</v>
      </c>
      <c r="FX169" s="76">
        <v>32</v>
      </c>
      <c r="FY169" s="76">
        <v>493</v>
      </c>
      <c r="FZ169" s="76">
        <v>3</v>
      </c>
      <c r="GA169" s="76">
        <v>0</v>
      </c>
      <c r="GB169" s="76">
        <v>3</v>
      </c>
      <c r="GC169" s="76">
        <v>2611</v>
      </c>
      <c r="GD169" s="76">
        <v>1793</v>
      </c>
      <c r="GE169" s="76">
        <v>818</v>
      </c>
      <c r="GF169" s="76">
        <v>10044</v>
      </c>
      <c r="GG169" s="76">
        <v>0</v>
      </c>
      <c r="GH169" s="76">
        <v>0</v>
      </c>
      <c r="GI169" s="76">
        <v>3021</v>
      </c>
      <c r="GJ169" s="76">
        <v>0</v>
      </c>
      <c r="GK169" s="76">
        <v>0</v>
      </c>
      <c r="GL169" s="76">
        <v>13065</v>
      </c>
      <c r="GM169" s="76">
        <v>5</v>
      </c>
      <c r="GN169" s="76">
        <v>1028</v>
      </c>
      <c r="GO169" s="76">
        <v>1682</v>
      </c>
      <c r="GP169" s="76">
        <v>0</v>
      </c>
      <c r="GQ169" s="76">
        <v>110</v>
      </c>
      <c r="GR169" s="76">
        <v>2014</v>
      </c>
      <c r="GS169" s="76">
        <v>0</v>
      </c>
      <c r="GT169" s="76">
        <v>3021</v>
      </c>
      <c r="GU169" s="76">
        <v>0</v>
      </c>
      <c r="GV169" s="76">
        <v>0</v>
      </c>
      <c r="GW169" s="76">
        <v>1667</v>
      </c>
      <c r="GX169" s="76">
        <v>9527</v>
      </c>
      <c r="GY169" s="76">
        <v>59</v>
      </c>
      <c r="GZ169" s="76">
        <v>227</v>
      </c>
      <c r="HA169" s="76">
        <v>0</v>
      </c>
      <c r="HB169" s="76">
        <v>8516</v>
      </c>
      <c r="HC169" s="76">
        <v>8802</v>
      </c>
      <c r="HD169" s="76">
        <v>0</v>
      </c>
      <c r="HE169" s="76">
        <v>521</v>
      </c>
      <c r="HF169" s="76">
        <v>521</v>
      </c>
      <c r="HG169" s="76">
        <v>4277</v>
      </c>
      <c r="HH169" s="76">
        <v>-26</v>
      </c>
      <c r="HI169" s="76">
        <v>23</v>
      </c>
      <c r="HJ169" s="76">
        <v>1</v>
      </c>
      <c r="HK169" s="76">
        <v>183</v>
      </c>
      <c r="HL169" s="76">
        <v>-377</v>
      </c>
      <c r="HM169" s="76">
        <v>4081</v>
      </c>
      <c r="HN169" s="76">
        <v>2154</v>
      </c>
      <c r="HO169" s="76">
        <v>2273</v>
      </c>
      <c r="HP169" s="76">
        <v>0</v>
      </c>
      <c r="HQ169" s="76">
        <v>24</v>
      </c>
      <c r="HR169" s="76">
        <v>-13</v>
      </c>
      <c r="HS169" s="76">
        <v>3</v>
      </c>
      <c r="HT169" s="76">
        <v>4014</v>
      </c>
      <c r="HU169" s="76">
        <v>0</v>
      </c>
      <c r="HV169" s="76">
        <v>0</v>
      </c>
      <c r="HW169" s="76">
        <v>0</v>
      </c>
      <c r="HX169" s="76">
        <v>0</v>
      </c>
    </row>
    <row r="170" spans="1:232" x14ac:dyDescent="0.2">
      <c r="A170" s="71" t="s">
        <v>521</v>
      </c>
      <c r="B170" s="71" t="s">
        <v>522</v>
      </c>
      <c r="C170" s="72" t="s">
        <v>200</v>
      </c>
      <c r="D170" s="72">
        <v>12</v>
      </c>
      <c r="E170" s="73">
        <v>13520</v>
      </c>
      <c r="F170" s="73">
        <v>0</v>
      </c>
      <c r="G170" s="73">
        <v>-8261</v>
      </c>
      <c r="H170" s="73">
        <v>5259</v>
      </c>
      <c r="I170" s="73">
        <v>441</v>
      </c>
      <c r="J170" s="73">
        <v>0</v>
      </c>
      <c r="K170" s="73">
        <v>0</v>
      </c>
      <c r="L170" s="73">
        <v>0</v>
      </c>
      <c r="M170" s="73">
        <v>116</v>
      </c>
      <c r="N170" s="73">
        <v>-1360</v>
      </c>
      <c r="O170" s="73">
        <v>0</v>
      </c>
      <c r="P170" s="73">
        <v>0</v>
      </c>
      <c r="Q170" s="73">
        <v>0</v>
      </c>
      <c r="R170" s="73">
        <v>0</v>
      </c>
      <c r="S170" s="73">
        <v>4456</v>
      </c>
      <c r="T170" s="73">
        <v>0</v>
      </c>
      <c r="U170" s="73">
        <v>4456</v>
      </c>
      <c r="V170" s="73">
        <v>0</v>
      </c>
      <c r="W170" s="73">
        <v>-209</v>
      </c>
      <c r="X170" s="73">
        <v>0</v>
      </c>
      <c r="Y170" s="73">
        <v>0</v>
      </c>
      <c r="Z170" s="73">
        <v>4247</v>
      </c>
      <c r="AA170" s="73">
        <v>12309</v>
      </c>
      <c r="AB170" s="73">
        <v>318</v>
      </c>
      <c r="AC170" s="73">
        <v>12627</v>
      </c>
      <c r="AD170" s="73">
        <v>99</v>
      </c>
      <c r="AE170" s="73">
        <v>0</v>
      </c>
      <c r="AF170" s="73">
        <v>0</v>
      </c>
      <c r="AG170" s="73">
        <v>360</v>
      </c>
      <c r="AH170" s="73">
        <v>13086</v>
      </c>
      <c r="AI170" s="73">
        <v>4027</v>
      </c>
      <c r="AJ170" s="73">
        <v>377</v>
      </c>
      <c r="AK170" s="73">
        <v>1432</v>
      </c>
      <c r="AL170" s="73">
        <v>759</v>
      </c>
      <c r="AM170" s="73">
        <v>207</v>
      </c>
      <c r="AN170" s="73">
        <v>126</v>
      </c>
      <c r="AO170" s="73">
        <v>945</v>
      </c>
      <c r="AP170" s="73">
        <v>0</v>
      </c>
      <c r="AQ170" s="73">
        <v>59</v>
      </c>
      <c r="AR170" s="73">
        <v>7932</v>
      </c>
      <c r="AS170" s="73">
        <v>5154</v>
      </c>
      <c r="AT170" s="73">
        <v>178</v>
      </c>
      <c r="AU170" s="73">
        <v>48894</v>
      </c>
      <c r="AV170" s="73">
        <v>0</v>
      </c>
      <c r="AW170" s="73">
        <v>300</v>
      </c>
      <c r="AX170" s="73">
        <v>0</v>
      </c>
      <c r="AY170" s="73">
        <v>0</v>
      </c>
      <c r="AZ170" s="73">
        <v>11</v>
      </c>
      <c r="BA170" s="73">
        <v>0</v>
      </c>
      <c r="BB170" s="73">
        <v>0</v>
      </c>
      <c r="BC170" s="73">
        <v>0</v>
      </c>
      <c r="BD170" s="73">
        <v>0</v>
      </c>
      <c r="BE170" s="73">
        <v>49205</v>
      </c>
      <c r="BF170" s="73">
        <v>0</v>
      </c>
      <c r="BG170" s="73">
        <v>422</v>
      </c>
      <c r="BH170" s="73">
        <v>2677</v>
      </c>
      <c r="BI170" s="73">
        <v>5000</v>
      </c>
      <c r="BJ170" s="73">
        <v>146</v>
      </c>
      <c r="BK170" s="73">
        <v>8245</v>
      </c>
      <c r="BL170" s="73">
        <v>0</v>
      </c>
      <c r="BM170" s="73">
        <v>0</v>
      </c>
      <c r="BN170" s="73">
        <v>84</v>
      </c>
      <c r="BO170" s="73">
        <v>1903</v>
      </c>
      <c r="BP170" s="73">
        <v>1987</v>
      </c>
      <c r="BQ170" s="73">
        <v>6258</v>
      </c>
      <c r="BR170" s="73">
        <v>55463</v>
      </c>
      <c r="BS170" s="73">
        <v>33936</v>
      </c>
      <c r="BT170" s="73">
        <v>0</v>
      </c>
      <c r="BU170" s="73">
        <v>0</v>
      </c>
      <c r="BV170" s="73">
        <v>7528</v>
      </c>
      <c r="BW170" s="73">
        <v>0</v>
      </c>
      <c r="BX170" s="73">
        <v>0</v>
      </c>
      <c r="BY170" s="73">
        <v>463</v>
      </c>
      <c r="BZ170" s="73">
        <v>41927</v>
      </c>
      <c r="CA170" s="73">
        <v>5024</v>
      </c>
      <c r="CB170" s="73">
        <v>3</v>
      </c>
      <c r="CC170" s="73">
        <v>8509</v>
      </c>
      <c r="CD170" s="73">
        <v>8509</v>
      </c>
      <c r="CE170" s="73">
        <v>0</v>
      </c>
      <c r="CF170" s="73">
        <v>0</v>
      </c>
      <c r="CG170" s="73">
        <v>0</v>
      </c>
      <c r="CH170" s="73">
        <v>0</v>
      </c>
      <c r="CI170" s="73">
        <v>8509</v>
      </c>
      <c r="CJ170" s="73">
        <v>0</v>
      </c>
      <c r="CK170" s="73">
        <v>0</v>
      </c>
      <c r="CL170" s="73">
        <v>0</v>
      </c>
      <c r="CM170" s="73">
        <v>0</v>
      </c>
      <c r="CN170" s="73">
        <v>0</v>
      </c>
      <c r="CO170" s="73">
        <v>0</v>
      </c>
      <c r="CP170" s="73">
        <v>0</v>
      </c>
      <c r="CQ170" s="73">
        <v>0</v>
      </c>
      <c r="CR170" s="73">
        <v>0</v>
      </c>
      <c r="CS170" s="73">
        <v>0</v>
      </c>
      <c r="CT170" s="73">
        <v>0</v>
      </c>
      <c r="CU170" s="73">
        <v>0</v>
      </c>
      <c r="CV170" s="73">
        <v>0</v>
      </c>
      <c r="CW170" s="73">
        <v>0</v>
      </c>
      <c r="CX170" s="73">
        <v>0</v>
      </c>
      <c r="CY170" s="73">
        <v>0</v>
      </c>
      <c r="CZ170" s="73">
        <v>285</v>
      </c>
      <c r="DA170" s="73">
        <v>0</v>
      </c>
      <c r="DB170" s="73">
        <v>268</v>
      </c>
      <c r="DC170" s="73">
        <v>17</v>
      </c>
      <c r="DD170" s="73">
        <v>285</v>
      </c>
      <c r="DE170" s="73">
        <v>0</v>
      </c>
      <c r="DF170" s="73">
        <v>268</v>
      </c>
      <c r="DG170" s="73">
        <v>17</v>
      </c>
      <c r="DH170" s="73">
        <v>0</v>
      </c>
      <c r="DI170" s="73">
        <v>0</v>
      </c>
      <c r="DJ170" s="73">
        <v>0</v>
      </c>
      <c r="DK170" s="73">
        <v>0</v>
      </c>
      <c r="DL170" s="73">
        <v>0</v>
      </c>
      <c r="DM170" s="73">
        <v>0</v>
      </c>
      <c r="DN170" s="73">
        <v>0</v>
      </c>
      <c r="DO170" s="73">
        <v>0</v>
      </c>
      <c r="DP170" s="73">
        <v>0</v>
      </c>
      <c r="DQ170" s="73">
        <v>0</v>
      </c>
      <c r="DR170" s="73">
        <v>0</v>
      </c>
      <c r="DS170" s="73">
        <v>0</v>
      </c>
      <c r="DT170" s="73">
        <v>149</v>
      </c>
      <c r="DU170" s="73">
        <v>0</v>
      </c>
      <c r="DV170" s="73">
        <v>61</v>
      </c>
      <c r="DW170" s="73">
        <v>88</v>
      </c>
      <c r="DX170" s="73">
        <v>0</v>
      </c>
      <c r="DY170" s="73">
        <v>0</v>
      </c>
      <c r="DZ170" s="73">
        <v>0</v>
      </c>
      <c r="EA170" s="73">
        <v>0</v>
      </c>
      <c r="EB170" s="73">
        <v>0</v>
      </c>
      <c r="EC170" s="73">
        <v>0</v>
      </c>
      <c r="ED170" s="73">
        <v>0</v>
      </c>
      <c r="EE170" s="73">
        <v>0</v>
      </c>
      <c r="EF170" s="73">
        <v>149</v>
      </c>
      <c r="EG170" s="73">
        <v>0</v>
      </c>
      <c r="EH170" s="73">
        <v>61</v>
      </c>
      <c r="EI170" s="73">
        <v>88</v>
      </c>
      <c r="EJ170" s="73">
        <v>434</v>
      </c>
      <c r="EK170" s="73">
        <v>0</v>
      </c>
      <c r="EL170" s="73">
        <v>329</v>
      </c>
      <c r="EM170" s="73">
        <v>105</v>
      </c>
      <c r="EN170" s="73">
        <v>533</v>
      </c>
      <c r="EO170" s="73">
        <v>181</v>
      </c>
      <c r="EP170" s="73">
        <v>111</v>
      </c>
      <c r="EQ170" s="73">
        <v>181</v>
      </c>
      <c r="ER170" s="73">
        <v>59053</v>
      </c>
      <c r="ES170" s="73">
        <v>0</v>
      </c>
      <c r="ET170" s="73">
        <v>59053</v>
      </c>
      <c r="EU170" s="73">
        <v>2254</v>
      </c>
      <c r="EV170" s="73">
        <v>-1304</v>
      </c>
      <c r="EW170" s="73">
        <v>0</v>
      </c>
      <c r="EX170" s="73">
        <v>0</v>
      </c>
      <c r="EY170" s="73">
        <v>0</v>
      </c>
      <c r="EZ170" s="73">
        <v>60003</v>
      </c>
      <c r="FA170" s="73">
        <v>10446</v>
      </c>
      <c r="FB170" s="73">
        <v>851</v>
      </c>
      <c r="FC170" s="73">
        <v>0</v>
      </c>
      <c r="FD170" s="73">
        <v>0</v>
      </c>
      <c r="FE170" s="73">
        <v>-188</v>
      </c>
      <c r="FF170" s="73">
        <v>0</v>
      </c>
      <c r="FG170" s="73">
        <v>0</v>
      </c>
      <c r="FH170" s="73">
        <v>11109</v>
      </c>
      <c r="FI170" s="73">
        <v>48894</v>
      </c>
      <c r="FJ170" s="73">
        <v>48607</v>
      </c>
      <c r="FK170" s="73">
        <v>62</v>
      </c>
      <c r="FL170" s="73">
        <v>53</v>
      </c>
      <c r="FM170" s="73">
        <v>9</v>
      </c>
      <c r="FN170" s="73">
        <v>599</v>
      </c>
      <c r="FO170" s="73">
        <v>201</v>
      </c>
      <c r="FP170" s="73">
        <v>398</v>
      </c>
      <c r="FQ170" s="73">
        <v>180</v>
      </c>
      <c r="FR170" s="73">
        <v>155</v>
      </c>
      <c r="FS170" s="73">
        <v>25</v>
      </c>
      <c r="FT170" s="73">
        <v>130</v>
      </c>
      <c r="FU170" s="73">
        <v>121</v>
      </c>
      <c r="FV170" s="73">
        <v>9</v>
      </c>
      <c r="FW170" s="73">
        <v>0</v>
      </c>
      <c r="FX170" s="73">
        <v>0</v>
      </c>
      <c r="FY170" s="73">
        <v>0</v>
      </c>
      <c r="FZ170" s="73">
        <v>0</v>
      </c>
      <c r="GA170" s="73">
        <v>0</v>
      </c>
      <c r="GB170" s="73">
        <v>0</v>
      </c>
      <c r="GC170" s="73">
        <v>971</v>
      </c>
      <c r="GD170" s="73">
        <v>530</v>
      </c>
      <c r="GE170" s="73">
        <v>441</v>
      </c>
      <c r="GF170" s="73">
        <v>52</v>
      </c>
      <c r="GG170" s="73">
        <v>0</v>
      </c>
      <c r="GH170" s="73">
        <v>0</v>
      </c>
      <c r="GI170" s="73">
        <v>0</v>
      </c>
      <c r="GJ170" s="73">
        <v>0</v>
      </c>
      <c r="GK170" s="73">
        <v>94</v>
      </c>
      <c r="GL170" s="73">
        <v>146</v>
      </c>
      <c r="GM170" s="73">
        <v>145</v>
      </c>
      <c r="GN170" s="73">
        <v>324</v>
      </c>
      <c r="GO170" s="73">
        <v>355</v>
      </c>
      <c r="GP170" s="73">
        <v>0</v>
      </c>
      <c r="GQ170" s="73">
        <v>453</v>
      </c>
      <c r="GR170" s="73">
        <v>626</v>
      </c>
      <c r="GS170" s="73">
        <v>0</v>
      </c>
      <c r="GT170" s="73">
        <v>0</v>
      </c>
      <c r="GU170" s="73">
        <v>0</v>
      </c>
      <c r="GV170" s="73">
        <v>0</v>
      </c>
      <c r="GW170" s="73">
        <v>0</v>
      </c>
      <c r="GX170" s="73">
        <v>1903</v>
      </c>
      <c r="GY170" s="73">
        <v>78</v>
      </c>
      <c r="GZ170" s="73">
        <v>385</v>
      </c>
      <c r="HA170" s="73">
        <v>0</v>
      </c>
      <c r="HB170" s="73">
        <v>0</v>
      </c>
      <c r="HC170" s="73">
        <v>463</v>
      </c>
      <c r="HD170" s="73">
        <v>0</v>
      </c>
      <c r="HE170" s="73">
        <v>3</v>
      </c>
      <c r="HF170" s="73">
        <v>3</v>
      </c>
      <c r="HG170" s="73">
        <v>1195</v>
      </c>
      <c r="HH170" s="73">
        <v>0</v>
      </c>
      <c r="HI170" s="73">
        <v>165</v>
      </c>
      <c r="HJ170" s="73">
        <v>0</v>
      </c>
      <c r="HK170" s="73">
        <v>0</v>
      </c>
      <c r="HL170" s="73">
        <v>0</v>
      </c>
      <c r="HM170" s="73">
        <v>1360</v>
      </c>
      <c r="HN170" s="73">
        <v>2254</v>
      </c>
      <c r="HO170" s="73">
        <v>1130</v>
      </c>
      <c r="HP170" s="73">
        <v>0</v>
      </c>
      <c r="HQ170" s="73">
        <v>1</v>
      </c>
      <c r="HR170" s="73">
        <v>-20</v>
      </c>
      <c r="HS170" s="73">
        <v>30</v>
      </c>
      <c r="HT170" s="73">
        <v>2775</v>
      </c>
      <c r="HU170" s="73">
        <v>0</v>
      </c>
      <c r="HV170" s="73">
        <v>0</v>
      </c>
      <c r="HW170" s="73">
        <v>0</v>
      </c>
      <c r="HX170" s="73">
        <v>8</v>
      </c>
    </row>
    <row r="171" spans="1:232" x14ac:dyDescent="0.2">
      <c r="A171" s="71" t="s">
        <v>523</v>
      </c>
      <c r="B171" s="71" t="s">
        <v>524</v>
      </c>
      <c r="C171" s="72" t="s">
        <v>200</v>
      </c>
      <c r="D171" s="72">
        <v>12</v>
      </c>
      <c r="E171" s="73">
        <v>4912</v>
      </c>
      <c r="F171" s="73">
        <v>0</v>
      </c>
      <c r="G171" s="73">
        <v>-3368</v>
      </c>
      <c r="H171" s="73">
        <v>1544</v>
      </c>
      <c r="I171" s="73">
        <v>59</v>
      </c>
      <c r="J171" s="73">
        <v>0</v>
      </c>
      <c r="K171" s="73">
        <v>0</v>
      </c>
      <c r="L171" s="73">
        <v>0</v>
      </c>
      <c r="M171" s="73">
        <v>15</v>
      </c>
      <c r="N171" s="73">
        <v>-1011</v>
      </c>
      <c r="O171" s="73">
        <v>0</v>
      </c>
      <c r="P171" s="73">
        <v>0</v>
      </c>
      <c r="Q171" s="73">
        <v>0</v>
      </c>
      <c r="R171" s="73">
        <v>0</v>
      </c>
      <c r="S171" s="73">
        <v>607</v>
      </c>
      <c r="T171" s="73">
        <v>0</v>
      </c>
      <c r="U171" s="73">
        <v>607</v>
      </c>
      <c r="V171" s="73">
        <v>0</v>
      </c>
      <c r="W171" s="73">
        <v>0</v>
      </c>
      <c r="X171" s="73">
        <v>0</v>
      </c>
      <c r="Y171" s="73">
        <v>0</v>
      </c>
      <c r="Z171" s="73">
        <v>607</v>
      </c>
      <c r="AA171" s="73">
        <v>4722</v>
      </c>
      <c r="AB171" s="73">
        <v>54</v>
      </c>
      <c r="AC171" s="73">
        <v>4776</v>
      </c>
      <c r="AD171" s="73">
        <v>16</v>
      </c>
      <c r="AE171" s="73">
        <v>0</v>
      </c>
      <c r="AF171" s="73">
        <v>0</v>
      </c>
      <c r="AG171" s="73">
        <v>120</v>
      </c>
      <c r="AH171" s="73">
        <v>4912</v>
      </c>
      <c r="AI171" s="73">
        <v>710</v>
      </c>
      <c r="AJ171" s="73">
        <v>25</v>
      </c>
      <c r="AK171" s="73">
        <v>838</v>
      </c>
      <c r="AL171" s="73">
        <v>304</v>
      </c>
      <c r="AM171" s="73">
        <v>0</v>
      </c>
      <c r="AN171" s="73">
        <v>55</v>
      </c>
      <c r="AO171" s="73">
        <v>1419</v>
      </c>
      <c r="AP171" s="73">
        <v>0</v>
      </c>
      <c r="AQ171" s="73">
        <v>17</v>
      </c>
      <c r="AR171" s="73">
        <v>3368</v>
      </c>
      <c r="AS171" s="73">
        <v>1544</v>
      </c>
      <c r="AT171" s="73">
        <v>15</v>
      </c>
      <c r="AU171" s="73">
        <v>26962</v>
      </c>
      <c r="AV171" s="73">
        <v>0</v>
      </c>
      <c r="AW171" s="73">
        <v>61</v>
      </c>
      <c r="AX171" s="73">
        <v>0</v>
      </c>
      <c r="AY171" s="73">
        <v>0</v>
      </c>
      <c r="AZ171" s="73">
        <v>0</v>
      </c>
      <c r="BA171" s="73">
        <v>0</v>
      </c>
      <c r="BB171" s="73">
        <v>0</v>
      </c>
      <c r="BC171" s="73">
        <v>0</v>
      </c>
      <c r="BD171" s="73">
        <v>0</v>
      </c>
      <c r="BE171" s="73">
        <v>27023</v>
      </c>
      <c r="BF171" s="73">
        <v>0</v>
      </c>
      <c r="BG171" s="73">
        <v>273</v>
      </c>
      <c r="BH171" s="73">
        <v>3075</v>
      </c>
      <c r="BI171" s="73">
        <v>0</v>
      </c>
      <c r="BJ171" s="73">
        <v>36</v>
      </c>
      <c r="BK171" s="73">
        <v>3384</v>
      </c>
      <c r="BL171" s="73">
        <v>902</v>
      </c>
      <c r="BM171" s="73">
        <v>0</v>
      </c>
      <c r="BN171" s="73">
        <v>17</v>
      </c>
      <c r="BO171" s="73">
        <v>470</v>
      </c>
      <c r="BP171" s="73">
        <v>1389</v>
      </c>
      <c r="BQ171" s="73">
        <v>1995</v>
      </c>
      <c r="BR171" s="73">
        <v>29018</v>
      </c>
      <c r="BS171" s="73">
        <v>26046</v>
      </c>
      <c r="BT171" s="73">
        <v>0</v>
      </c>
      <c r="BU171" s="73">
        <v>0</v>
      </c>
      <c r="BV171" s="73">
        <v>1343</v>
      </c>
      <c r="BW171" s="73">
        <v>0</v>
      </c>
      <c r="BX171" s="73">
        <v>0</v>
      </c>
      <c r="BY171" s="73">
        <v>83</v>
      </c>
      <c r="BZ171" s="73">
        <v>27472</v>
      </c>
      <c r="CA171" s="73">
        <v>0</v>
      </c>
      <c r="CB171" s="73">
        <v>0</v>
      </c>
      <c r="CC171" s="73">
        <v>1546</v>
      </c>
      <c r="CD171" s="73">
        <v>1546</v>
      </c>
      <c r="CE171" s="73">
        <v>0</v>
      </c>
      <c r="CF171" s="73">
        <v>0</v>
      </c>
      <c r="CG171" s="73">
        <v>0</v>
      </c>
      <c r="CH171" s="73">
        <v>0</v>
      </c>
      <c r="CI171" s="73">
        <v>1546</v>
      </c>
      <c r="CJ171" s="73">
        <v>0</v>
      </c>
      <c r="CK171" s="73">
        <v>0</v>
      </c>
      <c r="CL171" s="73">
        <v>0</v>
      </c>
      <c r="CM171" s="73">
        <v>0</v>
      </c>
      <c r="CN171" s="73">
        <v>0</v>
      </c>
      <c r="CO171" s="73">
        <v>0</v>
      </c>
      <c r="CP171" s="73">
        <v>0</v>
      </c>
      <c r="CQ171" s="73">
        <v>0</v>
      </c>
      <c r="CR171" s="73">
        <v>0</v>
      </c>
      <c r="CS171" s="73">
        <v>0</v>
      </c>
      <c r="CT171" s="73">
        <v>0</v>
      </c>
      <c r="CU171" s="73">
        <v>0</v>
      </c>
      <c r="CV171" s="73">
        <v>0</v>
      </c>
      <c r="CW171" s="73">
        <v>0</v>
      </c>
      <c r="CX171" s="73">
        <v>0</v>
      </c>
      <c r="CY171" s="73">
        <v>0</v>
      </c>
      <c r="CZ171" s="73">
        <v>0</v>
      </c>
      <c r="DA171" s="73">
        <v>0</v>
      </c>
      <c r="DB171" s="73">
        <v>0</v>
      </c>
      <c r="DC171" s="73">
        <v>0</v>
      </c>
      <c r="DD171" s="73">
        <v>0</v>
      </c>
      <c r="DE171" s="73">
        <v>0</v>
      </c>
      <c r="DF171" s="73">
        <v>0</v>
      </c>
      <c r="DG171" s="73">
        <v>0</v>
      </c>
      <c r="DH171" s="73">
        <v>0</v>
      </c>
      <c r="DI171" s="73">
        <v>0</v>
      </c>
      <c r="DJ171" s="73">
        <v>0</v>
      </c>
      <c r="DK171" s="73">
        <v>0</v>
      </c>
      <c r="DL171" s="73">
        <v>0</v>
      </c>
      <c r="DM171" s="73">
        <v>0</v>
      </c>
      <c r="DN171" s="73">
        <v>0</v>
      </c>
      <c r="DO171" s="73">
        <v>0</v>
      </c>
      <c r="DP171" s="73">
        <v>0</v>
      </c>
      <c r="DQ171" s="73">
        <v>0</v>
      </c>
      <c r="DR171" s="73">
        <v>0</v>
      </c>
      <c r="DS171" s="73">
        <v>0</v>
      </c>
      <c r="DT171" s="73">
        <v>0</v>
      </c>
      <c r="DU171" s="73">
        <v>0</v>
      </c>
      <c r="DV171" s="73">
        <v>0</v>
      </c>
      <c r="DW171" s="73">
        <v>0</v>
      </c>
      <c r="DX171" s="73">
        <v>0</v>
      </c>
      <c r="DY171" s="73">
        <v>0</v>
      </c>
      <c r="DZ171" s="73">
        <v>0</v>
      </c>
      <c r="EA171" s="73">
        <v>0</v>
      </c>
      <c r="EB171" s="73">
        <v>0</v>
      </c>
      <c r="EC171" s="73">
        <v>0</v>
      </c>
      <c r="ED171" s="73">
        <v>0</v>
      </c>
      <c r="EE171" s="73">
        <v>0</v>
      </c>
      <c r="EF171" s="73">
        <v>0</v>
      </c>
      <c r="EG171" s="73">
        <v>0</v>
      </c>
      <c r="EH171" s="73">
        <v>0</v>
      </c>
      <c r="EI171" s="73">
        <v>0</v>
      </c>
      <c r="EJ171" s="73">
        <v>0</v>
      </c>
      <c r="EK171" s="73">
        <v>0</v>
      </c>
      <c r="EL171" s="73">
        <v>0</v>
      </c>
      <c r="EM171" s="73">
        <v>0</v>
      </c>
      <c r="EN171" s="73">
        <v>269</v>
      </c>
      <c r="EO171" s="73">
        <v>81</v>
      </c>
      <c r="EP171" s="73">
        <v>31</v>
      </c>
      <c r="EQ171" s="73">
        <v>77</v>
      </c>
      <c r="ER171" s="73">
        <v>35229</v>
      </c>
      <c r="ES171" s="73">
        <v>0</v>
      </c>
      <c r="ET171" s="73">
        <v>35229</v>
      </c>
      <c r="EU171" s="73">
        <v>163</v>
      </c>
      <c r="EV171" s="73">
        <v>-160</v>
      </c>
      <c r="EW171" s="73">
        <v>0</v>
      </c>
      <c r="EX171" s="73">
        <v>1096</v>
      </c>
      <c r="EY171" s="73">
        <v>-32</v>
      </c>
      <c r="EZ171" s="73">
        <v>36296</v>
      </c>
      <c r="FA171" s="73">
        <v>7976</v>
      </c>
      <c r="FB171" s="73">
        <v>1409</v>
      </c>
      <c r="FC171" s="73">
        <v>0</v>
      </c>
      <c r="FD171" s="73">
        <v>0</v>
      </c>
      <c r="FE171" s="73">
        <v>-45</v>
      </c>
      <c r="FF171" s="73">
        <v>0</v>
      </c>
      <c r="FG171" s="73">
        <v>-6</v>
      </c>
      <c r="FH171" s="73">
        <v>9334</v>
      </c>
      <c r="FI171" s="73">
        <v>26962</v>
      </c>
      <c r="FJ171" s="73">
        <v>27253</v>
      </c>
      <c r="FK171" s="73">
        <v>0</v>
      </c>
      <c r="FL171" s="73">
        <v>0</v>
      </c>
      <c r="FM171" s="73">
        <v>0</v>
      </c>
      <c r="FN171" s="73">
        <v>269</v>
      </c>
      <c r="FO171" s="73">
        <v>210</v>
      </c>
      <c r="FP171" s="73">
        <v>59</v>
      </c>
      <c r="FQ171" s="73">
        <v>0</v>
      </c>
      <c r="FR171" s="73">
        <v>0</v>
      </c>
      <c r="FS171" s="73">
        <v>0</v>
      </c>
      <c r="FT171" s="73">
        <v>0</v>
      </c>
      <c r="FU171" s="73">
        <v>0</v>
      </c>
      <c r="FV171" s="73">
        <v>0</v>
      </c>
      <c r="FW171" s="73">
        <v>0</v>
      </c>
      <c r="FX171" s="73">
        <v>0</v>
      </c>
      <c r="FY171" s="73">
        <v>0</v>
      </c>
      <c r="FZ171" s="73">
        <v>0</v>
      </c>
      <c r="GA171" s="73">
        <v>0</v>
      </c>
      <c r="GB171" s="73">
        <v>0</v>
      </c>
      <c r="GC171" s="73">
        <v>269</v>
      </c>
      <c r="GD171" s="73">
        <v>210</v>
      </c>
      <c r="GE171" s="73">
        <v>59</v>
      </c>
      <c r="GF171" s="73">
        <v>0</v>
      </c>
      <c r="GG171" s="73">
        <v>0</v>
      </c>
      <c r="GH171" s="73">
        <v>0</v>
      </c>
      <c r="GI171" s="73">
        <v>0</v>
      </c>
      <c r="GJ171" s="73">
        <v>0</v>
      </c>
      <c r="GK171" s="73">
        <v>36</v>
      </c>
      <c r="GL171" s="73">
        <v>36</v>
      </c>
      <c r="GM171" s="73">
        <v>65</v>
      </c>
      <c r="GN171" s="73">
        <v>143</v>
      </c>
      <c r="GO171" s="73">
        <v>22</v>
      </c>
      <c r="GP171" s="73">
        <v>0</v>
      </c>
      <c r="GQ171" s="73">
        <v>0</v>
      </c>
      <c r="GR171" s="73">
        <v>239</v>
      </c>
      <c r="GS171" s="73">
        <v>0</v>
      </c>
      <c r="GT171" s="73">
        <v>0</v>
      </c>
      <c r="GU171" s="73">
        <v>0</v>
      </c>
      <c r="GV171" s="73">
        <v>0</v>
      </c>
      <c r="GW171" s="73">
        <v>1</v>
      </c>
      <c r="GX171" s="73">
        <v>470</v>
      </c>
      <c r="GY171" s="73">
        <v>0</v>
      </c>
      <c r="GZ171" s="73">
        <v>0</v>
      </c>
      <c r="HA171" s="73">
        <v>0</v>
      </c>
      <c r="HB171" s="73">
        <v>83</v>
      </c>
      <c r="HC171" s="73">
        <v>83</v>
      </c>
      <c r="HD171" s="73">
        <v>0</v>
      </c>
      <c r="HE171" s="73">
        <v>0</v>
      </c>
      <c r="HF171" s="73">
        <v>0</v>
      </c>
      <c r="HG171" s="73">
        <v>1011</v>
      </c>
      <c r="HH171" s="73">
        <v>0</v>
      </c>
      <c r="HI171" s="73">
        <v>0</v>
      </c>
      <c r="HJ171" s="73">
        <v>0</v>
      </c>
      <c r="HK171" s="73">
        <v>0</v>
      </c>
      <c r="HL171" s="73">
        <v>0</v>
      </c>
      <c r="HM171" s="73">
        <v>1011</v>
      </c>
      <c r="HN171" s="73">
        <v>163</v>
      </c>
      <c r="HO171" s="73">
        <v>1420</v>
      </c>
      <c r="HP171" s="73">
        <v>0</v>
      </c>
      <c r="HQ171" s="73">
        <v>0</v>
      </c>
      <c r="HR171" s="73">
        <v>-5</v>
      </c>
      <c r="HS171" s="73">
        <v>11</v>
      </c>
      <c r="HT171" s="73">
        <v>1238</v>
      </c>
      <c r="HU171" s="73">
        <v>0</v>
      </c>
      <c r="HV171" s="73">
        <v>0</v>
      </c>
      <c r="HW171" s="73">
        <v>0</v>
      </c>
      <c r="HX171" s="73">
        <v>0</v>
      </c>
    </row>
    <row r="172" spans="1:232" x14ac:dyDescent="0.2">
      <c r="A172" s="74" t="s">
        <v>527</v>
      </c>
      <c r="B172" s="74" t="s">
        <v>526</v>
      </c>
      <c r="C172" s="75" t="s">
        <v>200</v>
      </c>
      <c r="D172" s="75">
        <v>12</v>
      </c>
      <c r="E172" s="76">
        <v>19061</v>
      </c>
      <c r="F172" s="76">
        <v>0</v>
      </c>
      <c r="G172" s="76">
        <v>-12479</v>
      </c>
      <c r="H172" s="76">
        <v>6582</v>
      </c>
      <c r="I172" s="76">
        <v>397</v>
      </c>
      <c r="J172" s="76">
        <v>0</v>
      </c>
      <c r="K172" s="76">
        <v>0</v>
      </c>
      <c r="L172" s="76">
        <v>0</v>
      </c>
      <c r="M172" s="76">
        <v>41</v>
      </c>
      <c r="N172" s="76">
        <v>-3127</v>
      </c>
      <c r="O172" s="76">
        <v>0</v>
      </c>
      <c r="P172" s="76">
        <v>0</v>
      </c>
      <c r="Q172" s="76">
        <v>0</v>
      </c>
      <c r="R172" s="76">
        <v>0</v>
      </c>
      <c r="S172" s="76">
        <v>3893</v>
      </c>
      <c r="T172" s="76">
        <v>0</v>
      </c>
      <c r="U172" s="76">
        <v>3893</v>
      </c>
      <c r="V172" s="76">
        <v>0</v>
      </c>
      <c r="W172" s="76">
        <v>0</v>
      </c>
      <c r="X172" s="76">
        <v>0</v>
      </c>
      <c r="Y172" s="76">
        <v>0</v>
      </c>
      <c r="Z172" s="76">
        <v>3893</v>
      </c>
      <c r="AA172" s="76">
        <v>16066</v>
      </c>
      <c r="AB172" s="76">
        <v>998</v>
      </c>
      <c r="AC172" s="76">
        <v>17064</v>
      </c>
      <c r="AD172" s="76">
        <v>999</v>
      </c>
      <c r="AE172" s="76">
        <v>13</v>
      </c>
      <c r="AF172" s="76">
        <v>0</v>
      </c>
      <c r="AG172" s="76">
        <v>168</v>
      </c>
      <c r="AH172" s="76">
        <v>18244</v>
      </c>
      <c r="AI172" s="76">
        <v>2869</v>
      </c>
      <c r="AJ172" s="76">
        <v>1231</v>
      </c>
      <c r="AK172" s="76">
        <v>3743</v>
      </c>
      <c r="AL172" s="76">
        <v>851</v>
      </c>
      <c r="AM172" s="76">
        <v>127</v>
      </c>
      <c r="AN172" s="76">
        <v>145</v>
      </c>
      <c r="AO172" s="76">
        <v>2868</v>
      </c>
      <c r="AP172" s="76">
        <v>0</v>
      </c>
      <c r="AQ172" s="76">
        <v>155</v>
      </c>
      <c r="AR172" s="76">
        <v>11989</v>
      </c>
      <c r="AS172" s="76">
        <v>6255</v>
      </c>
      <c r="AT172" s="76">
        <v>88</v>
      </c>
      <c r="AU172" s="76">
        <v>161599</v>
      </c>
      <c r="AV172" s="76">
        <v>0</v>
      </c>
      <c r="AW172" s="76">
        <v>2278</v>
      </c>
      <c r="AX172" s="76">
        <v>0</v>
      </c>
      <c r="AY172" s="76">
        <v>0</v>
      </c>
      <c r="AZ172" s="76">
        <v>0</v>
      </c>
      <c r="BA172" s="76">
        <v>10</v>
      </c>
      <c r="BB172" s="76">
        <v>0</v>
      </c>
      <c r="BC172" s="76">
        <v>0</v>
      </c>
      <c r="BD172" s="76">
        <v>0</v>
      </c>
      <c r="BE172" s="76">
        <v>163887</v>
      </c>
      <c r="BF172" s="76">
        <v>102</v>
      </c>
      <c r="BG172" s="76">
        <v>863</v>
      </c>
      <c r="BH172" s="76">
        <v>3538</v>
      </c>
      <c r="BI172" s="76">
        <v>0</v>
      </c>
      <c r="BJ172" s="76">
        <v>765</v>
      </c>
      <c r="BK172" s="76">
        <v>5268</v>
      </c>
      <c r="BL172" s="76">
        <v>1423</v>
      </c>
      <c r="BM172" s="76">
        <v>0</v>
      </c>
      <c r="BN172" s="76">
        <v>1038</v>
      </c>
      <c r="BO172" s="76">
        <v>3972</v>
      </c>
      <c r="BP172" s="76">
        <v>6433</v>
      </c>
      <c r="BQ172" s="76">
        <v>-1165</v>
      </c>
      <c r="BR172" s="76">
        <v>162722</v>
      </c>
      <c r="BS172" s="76">
        <v>53053</v>
      </c>
      <c r="BT172" s="76">
        <v>0</v>
      </c>
      <c r="BU172" s="76">
        <v>0</v>
      </c>
      <c r="BV172" s="76">
        <v>88654</v>
      </c>
      <c r="BW172" s="76">
        <v>0</v>
      </c>
      <c r="BX172" s="76">
        <v>0</v>
      </c>
      <c r="BY172" s="76">
        <v>2925</v>
      </c>
      <c r="BZ172" s="76">
        <v>144632</v>
      </c>
      <c r="CA172" s="76">
        <v>0</v>
      </c>
      <c r="CB172" s="76">
        <v>0</v>
      </c>
      <c r="CC172" s="76">
        <v>18090</v>
      </c>
      <c r="CD172" s="76">
        <v>17955</v>
      </c>
      <c r="CE172" s="76">
        <v>0</v>
      </c>
      <c r="CF172" s="76">
        <v>0</v>
      </c>
      <c r="CG172" s="76">
        <v>0</v>
      </c>
      <c r="CH172" s="76">
        <v>135</v>
      </c>
      <c r="CI172" s="76">
        <v>18090</v>
      </c>
      <c r="CJ172" s="76">
        <v>0</v>
      </c>
      <c r="CK172" s="76">
        <v>0</v>
      </c>
      <c r="CL172" s="76">
        <v>0</v>
      </c>
      <c r="CM172" s="76">
        <v>0</v>
      </c>
      <c r="CN172" s="76">
        <v>0</v>
      </c>
      <c r="CO172" s="76">
        <v>0</v>
      </c>
      <c r="CP172" s="76">
        <v>0</v>
      </c>
      <c r="CQ172" s="76">
        <v>0</v>
      </c>
      <c r="CR172" s="76">
        <v>0</v>
      </c>
      <c r="CS172" s="76">
        <v>0</v>
      </c>
      <c r="CT172" s="76">
        <v>0</v>
      </c>
      <c r="CU172" s="76">
        <v>0</v>
      </c>
      <c r="CV172" s="76">
        <v>0</v>
      </c>
      <c r="CW172" s="76">
        <v>0</v>
      </c>
      <c r="CX172" s="76">
        <v>0</v>
      </c>
      <c r="CY172" s="76">
        <v>0</v>
      </c>
      <c r="CZ172" s="76">
        <v>131</v>
      </c>
      <c r="DA172" s="76">
        <v>0</v>
      </c>
      <c r="DB172" s="76">
        <v>378</v>
      </c>
      <c r="DC172" s="76">
        <v>-247</v>
      </c>
      <c r="DD172" s="76">
        <v>131</v>
      </c>
      <c r="DE172" s="76">
        <v>0</v>
      </c>
      <c r="DF172" s="76">
        <v>378</v>
      </c>
      <c r="DG172" s="76">
        <v>-247</v>
      </c>
      <c r="DH172" s="76">
        <v>0</v>
      </c>
      <c r="DI172" s="76">
        <v>0</v>
      </c>
      <c r="DJ172" s="76">
        <v>0</v>
      </c>
      <c r="DK172" s="76">
        <v>0</v>
      </c>
      <c r="DL172" s="76">
        <v>0</v>
      </c>
      <c r="DM172" s="76">
        <v>0</v>
      </c>
      <c r="DN172" s="76">
        <v>0</v>
      </c>
      <c r="DO172" s="76">
        <v>0</v>
      </c>
      <c r="DP172" s="76">
        <v>0</v>
      </c>
      <c r="DQ172" s="76">
        <v>0</v>
      </c>
      <c r="DR172" s="76">
        <v>0</v>
      </c>
      <c r="DS172" s="76">
        <v>0</v>
      </c>
      <c r="DT172" s="76">
        <v>0</v>
      </c>
      <c r="DU172" s="76">
        <v>0</v>
      </c>
      <c r="DV172" s="76">
        <v>0</v>
      </c>
      <c r="DW172" s="76">
        <v>0</v>
      </c>
      <c r="DX172" s="76">
        <v>0</v>
      </c>
      <c r="DY172" s="76">
        <v>0</v>
      </c>
      <c r="DZ172" s="76">
        <v>0</v>
      </c>
      <c r="EA172" s="76">
        <v>0</v>
      </c>
      <c r="EB172" s="76">
        <v>685</v>
      </c>
      <c r="EC172" s="76">
        <v>0</v>
      </c>
      <c r="ED172" s="76">
        <v>112</v>
      </c>
      <c r="EE172" s="76">
        <v>573</v>
      </c>
      <c r="EF172" s="76">
        <v>685</v>
      </c>
      <c r="EG172" s="76">
        <v>0</v>
      </c>
      <c r="EH172" s="76">
        <v>112</v>
      </c>
      <c r="EI172" s="76">
        <v>573</v>
      </c>
      <c r="EJ172" s="76">
        <v>816</v>
      </c>
      <c r="EK172" s="76">
        <v>0</v>
      </c>
      <c r="EL172" s="76">
        <v>490</v>
      </c>
      <c r="EM172" s="76">
        <v>326</v>
      </c>
      <c r="EN172" s="76">
        <v>676</v>
      </c>
      <c r="EO172" s="76">
        <v>222</v>
      </c>
      <c r="EP172" s="76">
        <v>89</v>
      </c>
      <c r="EQ172" s="76">
        <v>211</v>
      </c>
      <c r="ER172" s="76">
        <v>193571</v>
      </c>
      <c r="ES172" s="76">
        <v>0</v>
      </c>
      <c r="ET172" s="76">
        <v>193571</v>
      </c>
      <c r="EU172" s="76">
        <v>4000</v>
      </c>
      <c r="EV172" s="76">
        <v>-230</v>
      </c>
      <c r="EW172" s="76">
        <v>0</v>
      </c>
      <c r="EX172" s="76">
        <v>-1107</v>
      </c>
      <c r="EY172" s="76">
        <v>-917</v>
      </c>
      <c r="EZ172" s="76">
        <v>195317</v>
      </c>
      <c r="FA172" s="76">
        <v>31699</v>
      </c>
      <c r="FB172" s="76">
        <v>2779</v>
      </c>
      <c r="FC172" s="76">
        <v>0</v>
      </c>
      <c r="FD172" s="76">
        <v>0</v>
      </c>
      <c r="FE172" s="76">
        <v>-22</v>
      </c>
      <c r="FF172" s="76">
        <v>-12</v>
      </c>
      <c r="FG172" s="76">
        <v>-726</v>
      </c>
      <c r="FH172" s="76">
        <v>33718</v>
      </c>
      <c r="FI172" s="76">
        <v>161599</v>
      </c>
      <c r="FJ172" s="76">
        <v>161872</v>
      </c>
      <c r="FK172" s="76">
        <v>74</v>
      </c>
      <c r="FL172" s="76">
        <v>116</v>
      </c>
      <c r="FM172" s="76">
        <v>-42</v>
      </c>
      <c r="FN172" s="76">
        <v>76</v>
      </c>
      <c r="FO172" s="76">
        <v>47</v>
      </c>
      <c r="FP172" s="76">
        <v>29</v>
      </c>
      <c r="FQ172" s="76">
        <v>0</v>
      </c>
      <c r="FR172" s="76">
        <v>0</v>
      </c>
      <c r="FS172" s="76">
        <v>0</v>
      </c>
      <c r="FT172" s="76">
        <v>783</v>
      </c>
      <c r="FU172" s="76">
        <v>253</v>
      </c>
      <c r="FV172" s="76">
        <v>530</v>
      </c>
      <c r="FW172" s="76">
        <v>1107</v>
      </c>
      <c r="FX172" s="76">
        <v>1107</v>
      </c>
      <c r="FY172" s="76">
        <v>0</v>
      </c>
      <c r="FZ172" s="76">
        <v>43</v>
      </c>
      <c r="GA172" s="76">
        <v>163</v>
      </c>
      <c r="GB172" s="76">
        <v>-120</v>
      </c>
      <c r="GC172" s="76">
        <v>2083</v>
      </c>
      <c r="GD172" s="76">
        <v>1686</v>
      </c>
      <c r="GE172" s="76">
        <v>397</v>
      </c>
      <c r="GF172" s="76">
        <v>52</v>
      </c>
      <c r="GG172" s="76">
        <v>0</v>
      </c>
      <c r="GH172" s="76">
        <v>0</v>
      </c>
      <c r="GI172" s="76">
        <v>0</v>
      </c>
      <c r="GJ172" s="76">
        <v>0</v>
      </c>
      <c r="GK172" s="76">
        <v>713</v>
      </c>
      <c r="GL172" s="76">
        <v>765</v>
      </c>
      <c r="GM172" s="76">
        <v>1418</v>
      </c>
      <c r="GN172" s="76">
        <v>619</v>
      </c>
      <c r="GO172" s="76">
        <v>0</v>
      </c>
      <c r="GP172" s="76">
        <v>0</v>
      </c>
      <c r="GQ172" s="76">
        <v>0</v>
      </c>
      <c r="GR172" s="76">
        <v>1330</v>
      </c>
      <c r="GS172" s="76">
        <v>0</v>
      </c>
      <c r="GT172" s="76">
        <v>0</v>
      </c>
      <c r="GU172" s="76">
        <v>390</v>
      </c>
      <c r="GV172" s="76">
        <v>0</v>
      </c>
      <c r="GW172" s="76">
        <v>215</v>
      </c>
      <c r="GX172" s="76">
        <v>3972</v>
      </c>
      <c r="GY172" s="76">
        <v>0</v>
      </c>
      <c r="GZ172" s="76">
        <v>0</v>
      </c>
      <c r="HA172" s="76">
        <v>2533</v>
      </c>
      <c r="HB172" s="76">
        <v>392</v>
      </c>
      <c r="HC172" s="76">
        <v>2925</v>
      </c>
      <c r="HD172" s="76">
        <v>0</v>
      </c>
      <c r="HE172" s="76">
        <v>0</v>
      </c>
      <c r="HF172" s="76">
        <v>0</v>
      </c>
      <c r="HG172" s="76">
        <v>2779</v>
      </c>
      <c r="HH172" s="76">
        <v>293</v>
      </c>
      <c r="HI172" s="76">
        <v>61</v>
      </c>
      <c r="HJ172" s="76">
        <v>2</v>
      </c>
      <c r="HK172" s="76">
        <v>0</v>
      </c>
      <c r="HL172" s="76">
        <v>-8</v>
      </c>
      <c r="HM172" s="76">
        <v>3127</v>
      </c>
      <c r="HN172" s="76">
        <v>2427</v>
      </c>
      <c r="HO172" s="76">
        <v>3228</v>
      </c>
      <c r="HP172" s="76">
        <v>0</v>
      </c>
      <c r="HQ172" s="76">
        <v>0</v>
      </c>
      <c r="HR172" s="76">
        <v>-9</v>
      </c>
      <c r="HS172" s="76">
        <v>-20</v>
      </c>
      <c r="HT172" s="76">
        <v>3680</v>
      </c>
      <c r="HU172" s="76">
        <v>0</v>
      </c>
      <c r="HV172" s="76">
        <v>0</v>
      </c>
      <c r="HW172" s="76">
        <v>0</v>
      </c>
      <c r="HX172" s="76">
        <v>0</v>
      </c>
    </row>
    <row r="173" spans="1:232" x14ac:dyDescent="0.2">
      <c r="A173" s="74" t="s">
        <v>528</v>
      </c>
      <c r="B173" s="74" t="s">
        <v>529</v>
      </c>
      <c r="C173" s="75" t="s">
        <v>200</v>
      </c>
      <c r="D173" s="75">
        <v>12</v>
      </c>
      <c r="E173" s="76">
        <v>9620</v>
      </c>
      <c r="F173" s="76">
        <v>-171</v>
      </c>
      <c r="G173" s="76">
        <v>-6719</v>
      </c>
      <c r="H173" s="76">
        <v>2730</v>
      </c>
      <c r="I173" s="76">
        <v>480</v>
      </c>
      <c r="J173" s="76">
        <v>0</v>
      </c>
      <c r="K173" s="76">
        <v>1367</v>
      </c>
      <c r="L173" s="76">
        <v>0</v>
      </c>
      <c r="M173" s="76">
        <v>27</v>
      </c>
      <c r="N173" s="76">
        <v>-3078</v>
      </c>
      <c r="O173" s="76">
        <v>0</v>
      </c>
      <c r="P173" s="76">
        <v>0</v>
      </c>
      <c r="Q173" s="76">
        <v>0</v>
      </c>
      <c r="R173" s="76">
        <v>0</v>
      </c>
      <c r="S173" s="76">
        <v>1526</v>
      </c>
      <c r="T173" s="76">
        <v>0</v>
      </c>
      <c r="U173" s="76">
        <v>1526</v>
      </c>
      <c r="V173" s="76">
        <v>0</v>
      </c>
      <c r="W173" s="76">
        <v>0</v>
      </c>
      <c r="X173" s="76">
        <v>0</v>
      </c>
      <c r="Y173" s="76">
        <v>0</v>
      </c>
      <c r="Z173" s="76">
        <v>1526</v>
      </c>
      <c r="AA173" s="76">
        <v>7976</v>
      </c>
      <c r="AB173" s="76">
        <v>935</v>
      </c>
      <c r="AC173" s="76">
        <v>8911</v>
      </c>
      <c r="AD173" s="76">
        <v>199</v>
      </c>
      <c r="AE173" s="76">
        <v>0</v>
      </c>
      <c r="AF173" s="76">
        <v>0</v>
      </c>
      <c r="AG173" s="76">
        <v>0</v>
      </c>
      <c r="AH173" s="76">
        <v>9110</v>
      </c>
      <c r="AI173" s="76">
        <v>1663</v>
      </c>
      <c r="AJ173" s="76">
        <v>977</v>
      </c>
      <c r="AK173" s="76">
        <v>756</v>
      </c>
      <c r="AL173" s="76">
        <v>898</v>
      </c>
      <c r="AM173" s="76">
        <v>483</v>
      </c>
      <c r="AN173" s="76">
        <v>33</v>
      </c>
      <c r="AO173" s="76">
        <v>1257</v>
      </c>
      <c r="AP173" s="76">
        <v>0</v>
      </c>
      <c r="AQ173" s="76">
        <v>119</v>
      </c>
      <c r="AR173" s="76">
        <v>6186</v>
      </c>
      <c r="AS173" s="76">
        <v>2924</v>
      </c>
      <c r="AT173" s="76">
        <v>165</v>
      </c>
      <c r="AU173" s="76">
        <v>95542</v>
      </c>
      <c r="AV173" s="76">
        <v>0</v>
      </c>
      <c r="AW173" s="76">
        <v>2745</v>
      </c>
      <c r="AX173" s="76">
        <v>0</v>
      </c>
      <c r="AY173" s="76">
        <v>0</v>
      </c>
      <c r="AZ173" s="76">
        <v>0</v>
      </c>
      <c r="BA173" s="76">
        <v>0</v>
      </c>
      <c r="BB173" s="76">
        <v>0</v>
      </c>
      <c r="BC173" s="76">
        <v>0</v>
      </c>
      <c r="BD173" s="76">
        <v>0</v>
      </c>
      <c r="BE173" s="76">
        <v>98287</v>
      </c>
      <c r="BF173" s="76">
        <v>1115</v>
      </c>
      <c r="BG173" s="76">
        <v>531</v>
      </c>
      <c r="BH173" s="76">
        <v>3010</v>
      </c>
      <c r="BI173" s="76">
        <v>14311</v>
      </c>
      <c r="BJ173" s="76">
        <v>0</v>
      </c>
      <c r="BK173" s="76">
        <v>18967</v>
      </c>
      <c r="BL173" s="76">
        <v>38</v>
      </c>
      <c r="BM173" s="76">
        <v>0</v>
      </c>
      <c r="BN173" s="76">
        <v>199</v>
      </c>
      <c r="BO173" s="76">
        <v>3414</v>
      </c>
      <c r="BP173" s="76">
        <v>3651</v>
      </c>
      <c r="BQ173" s="76">
        <v>15316</v>
      </c>
      <c r="BR173" s="76">
        <v>113603</v>
      </c>
      <c r="BS173" s="76">
        <v>71673</v>
      </c>
      <c r="BT173" s="76">
        <v>0</v>
      </c>
      <c r="BU173" s="76">
        <v>0</v>
      </c>
      <c r="BV173" s="76">
        <v>21162</v>
      </c>
      <c r="BW173" s="76">
        <v>0</v>
      </c>
      <c r="BX173" s="76">
        <v>0</v>
      </c>
      <c r="BY173" s="76">
        <v>156</v>
      </c>
      <c r="BZ173" s="76">
        <v>92991</v>
      </c>
      <c r="CA173" s="76">
        <v>534</v>
      </c>
      <c r="CB173" s="76">
        <v>0</v>
      </c>
      <c r="CC173" s="76">
        <v>20078</v>
      </c>
      <c r="CD173" s="76">
        <v>20078</v>
      </c>
      <c r="CE173" s="76">
        <v>0</v>
      </c>
      <c r="CF173" s="76">
        <v>0</v>
      </c>
      <c r="CG173" s="76">
        <v>0</v>
      </c>
      <c r="CH173" s="76">
        <v>0</v>
      </c>
      <c r="CI173" s="76">
        <v>20078</v>
      </c>
      <c r="CJ173" s="76">
        <v>279</v>
      </c>
      <c r="CK173" s="76">
        <v>171</v>
      </c>
      <c r="CL173" s="76">
        <v>0</v>
      </c>
      <c r="CM173" s="76">
        <v>108</v>
      </c>
      <c r="CN173" s="76">
        <v>117</v>
      </c>
      <c r="CO173" s="76">
        <v>0</v>
      </c>
      <c r="CP173" s="76">
        <v>135</v>
      </c>
      <c r="CQ173" s="76">
        <v>-18</v>
      </c>
      <c r="CR173" s="76">
        <v>0</v>
      </c>
      <c r="CS173" s="76">
        <v>0</v>
      </c>
      <c r="CT173" s="76">
        <v>278</v>
      </c>
      <c r="CU173" s="76">
        <v>-278</v>
      </c>
      <c r="CV173" s="76">
        <v>0</v>
      </c>
      <c r="CW173" s="76">
        <v>0</v>
      </c>
      <c r="CX173" s="76">
        <v>0</v>
      </c>
      <c r="CY173" s="76">
        <v>0</v>
      </c>
      <c r="CZ173" s="76">
        <v>114</v>
      </c>
      <c r="DA173" s="76">
        <v>0</v>
      </c>
      <c r="DB173" s="76">
        <v>120</v>
      </c>
      <c r="DC173" s="76">
        <v>-6</v>
      </c>
      <c r="DD173" s="76">
        <v>510</v>
      </c>
      <c r="DE173" s="76">
        <v>171</v>
      </c>
      <c r="DF173" s="76">
        <v>533</v>
      </c>
      <c r="DG173" s="76">
        <v>-194</v>
      </c>
      <c r="DH173" s="76">
        <v>0</v>
      </c>
      <c r="DI173" s="76">
        <v>0</v>
      </c>
      <c r="DJ173" s="76">
        <v>0</v>
      </c>
      <c r="DK173" s="76">
        <v>0</v>
      </c>
      <c r="DL173" s="76">
        <v>0</v>
      </c>
      <c r="DM173" s="76">
        <v>0</v>
      </c>
      <c r="DN173" s="76">
        <v>0</v>
      </c>
      <c r="DO173" s="76">
        <v>0</v>
      </c>
      <c r="DP173" s="76">
        <v>0</v>
      </c>
      <c r="DQ173" s="76">
        <v>0</v>
      </c>
      <c r="DR173" s="76">
        <v>0</v>
      </c>
      <c r="DS173" s="76">
        <v>0</v>
      </c>
      <c r="DT173" s="76">
        <v>0</v>
      </c>
      <c r="DU173" s="76">
        <v>0</v>
      </c>
      <c r="DV173" s="76">
        <v>0</v>
      </c>
      <c r="DW173" s="76">
        <v>0</v>
      </c>
      <c r="DX173" s="76">
        <v>0</v>
      </c>
      <c r="DY173" s="76">
        <v>0</v>
      </c>
      <c r="DZ173" s="76">
        <v>0</v>
      </c>
      <c r="EA173" s="76">
        <v>0</v>
      </c>
      <c r="EB173" s="76">
        <v>0</v>
      </c>
      <c r="EC173" s="76">
        <v>0</v>
      </c>
      <c r="ED173" s="76">
        <v>0</v>
      </c>
      <c r="EE173" s="76">
        <v>0</v>
      </c>
      <c r="EF173" s="76">
        <v>0</v>
      </c>
      <c r="EG173" s="76">
        <v>0</v>
      </c>
      <c r="EH173" s="76">
        <v>0</v>
      </c>
      <c r="EI173" s="76">
        <v>0</v>
      </c>
      <c r="EJ173" s="76">
        <v>510</v>
      </c>
      <c r="EK173" s="76">
        <v>171</v>
      </c>
      <c r="EL173" s="76">
        <v>533</v>
      </c>
      <c r="EM173" s="76">
        <v>-194</v>
      </c>
      <c r="EN173" s="76">
        <v>304</v>
      </c>
      <c r="EO173" s="76">
        <v>89</v>
      </c>
      <c r="EP173" s="76">
        <v>117</v>
      </c>
      <c r="EQ173" s="76">
        <v>89</v>
      </c>
      <c r="ER173" s="76">
        <v>101445</v>
      </c>
      <c r="ES173" s="76">
        <v>0</v>
      </c>
      <c r="ET173" s="76">
        <v>101445</v>
      </c>
      <c r="EU173" s="76">
        <v>4764</v>
      </c>
      <c r="EV173" s="76">
        <v>-877</v>
      </c>
      <c r="EW173" s="76">
        <v>0</v>
      </c>
      <c r="EX173" s="76">
        <v>0</v>
      </c>
      <c r="EY173" s="76">
        <v>1320</v>
      </c>
      <c r="EZ173" s="76">
        <v>106652</v>
      </c>
      <c r="FA173" s="76">
        <v>9917</v>
      </c>
      <c r="FB173" s="76">
        <v>1257</v>
      </c>
      <c r="FC173" s="76">
        <v>0</v>
      </c>
      <c r="FD173" s="76">
        <v>0</v>
      </c>
      <c r="FE173" s="76">
        <v>-64</v>
      </c>
      <c r="FF173" s="76">
        <v>0</v>
      </c>
      <c r="FG173" s="76">
        <v>0</v>
      </c>
      <c r="FH173" s="76">
        <v>11110</v>
      </c>
      <c r="FI173" s="76">
        <v>95542</v>
      </c>
      <c r="FJ173" s="76">
        <v>91528</v>
      </c>
      <c r="FK173" s="76">
        <v>1301</v>
      </c>
      <c r="FL173" s="76">
        <v>679</v>
      </c>
      <c r="FM173" s="76">
        <v>622</v>
      </c>
      <c r="FN173" s="76">
        <v>0</v>
      </c>
      <c r="FO173" s="76">
        <v>0</v>
      </c>
      <c r="FP173" s="76">
        <v>0</v>
      </c>
      <c r="FQ173" s="76">
        <v>0</v>
      </c>
      <c r="FR173" s="76">
        <v>0</v>
      </c>
      <c r="FS173" s="76">
        <v>0</v>
      </c>
      <c r="FT173" s="76">
        <v>0</v>
      </c>
      <c r="FU173" s="76">
        <v>142</v>
      </c>
      <c r="FV173" s="76">
        <v>-142</v>
      </c>
      <c r="FW173" s="76">
        <v>0</v>
      </c>
      <c r="FX173" s="76">
        <v>0</v>
      </c>
      <c r="FY173" s="76">
        <v>0</v>
      </c>
      <c r="FZ173" s="76">
        <v>0</v>
      </c>
      <c r="GA173" s="76">
        <v>0</v>
      </c>
      <c r="GB173" s="76">
        <v>0</v>
      </c>
      <c r="GC173" s="76">
        <v>1301</v>
      </c>
      <c r="GD173" s="76">
        <v>821</v>
      </c>
      <c r="GE173" s="76">
        <v>480</v>
      </c>
      <c r="GF173" s="76">
        <v>0</v>
      </c>
      <c r="GG173" s="76">
        <v>0</v>
      </c>
      <c r="GH173" s="76">
        <v>0</v>
      </c>
      <c r="GI173" s="76">
        <v>0</v>
      </c>
      <c r="GJ173" s="76">
        <v>0</v>
      </c>
      <c r="GK173" s="76">
        <v>0</v>
      </c>
      <c r="GL173" s="76">
        <v>0</v>
      </c>
      <c r="GM173" s="76">
        <v>1637</v>
      </c>
      <c r="GN173" s="76">
        <v>280</v>
      </c>
      <c r="GO173" s="76">
        <v>0</v>
      </c>
      <c r="GP173" s="76">
        <v>243</v>
      </c>
      <c r="GQ173" s="76">
        <v>0</v>
      </c>
      <c r="GR173" s="76">
        <v>890</v>
      </c>
      <c r="GS173" s="76">
        <v>0</v>
      </c>
      <c r="GT173" s="76">
        <v>0</v>
      </c>
      <c r="GU173" s="76">
        <v>84</v>
      </c>
      <c r="GV173" s="76">
        <v>0</v>
      </c>
      <c r="GW173" s="76">
        <v>280</v>
      </c>
      <c r="GX173" s="76">
        <v>3414</v>
      </c>
      <c r="GY173" s="76">
        <v>156</v>
      </c>
      <c r="GZ173" s="76">
        <v>0</v>
      </c>
      <c r="HA173" s="76">
        <v>0</v>
      </c>
      <c r="HB173" s="76">
        <v>0</v>
      </c>
      <c r="HC173" s="76">
        <v>156</v>
      </c>
      <c r="HD173" s="76">
        <v>0</v>
      </c>
      <c r="HE173" s="76">
        <v>0</v>
      </c>
      <c r="HF173" s="76">
        <v>0</v>
      </c>
      <c r="HG173" s="76">
        <v>2938</v>
      </c>
      <c r="HH173" s="76">
        <v>186</v>
      </c>
      <c r="HI173" s="76">
        <v>13</v>
      </c>
      <c r="HJ173" s="76">
        <v>0</v>
      </c>
      <c r="HK173" s="76">
        <v>0</v>
      </c>
      <c r="HL173" s="76">
        <v>-59</v>
      </c>
      <c r="HM173" s="76">
        <v>3078</v>
      </c>
      <c r="HN173" s="76">
        <v>839</v>
      </c>
      <c r="HO173" s="76">
        <v>1398</v>
      </c>
      <c r="HP173" s="76">
        <v>83</v>
      </c>
      <c r="HQ173" s="76">
        <v>0</v>
      </c>
      <c r="HR173" s="76">
        <v>-5</v>
      </c>
      <c r="HS173" s="76">
        <v>-17</v>
      </c>
      <c r="HT173" s="76">
        <v>1442</v>
      </c>
      <c r="HU173" s="76">
        <v>0</v>
      </c>
      <c r="HV173" s="76">
        <v>0</v>
      </c>
      <c r="HW173" s="76">
        <v>0</v>
      </c>
      <c r="HX173" s="76">
        <v>0</v>
      </c>
    </row>
    <row r="174" spans="1:232" x14ac:dyDescent="0.2">
      <c r="A174" s="74" t="s">
        <v>117</v>
      </c>
      <c r="B174" s="74" t="s">
        <v>115</v>
      </c>
      <c r="C174" s="75" t="s">
        <v>200</v>
      </c>
      <c r="D174" s="75">
        <v>12</v>
      </c>
      <c r="E174" s="76">
        <v>30293</v>
      </c>
      <c r="F174" s="76">
        <v>-1880</v>
      </c>
      <c r="G174" s="76">
        <v>-19878</v>
      </c>
      <c r="H174" s="76">
        <v>8535</v>
      </c>
      <c r="I174" s="76">
        <v>380</v>
      </c>
      <c r="J174" s="76">
        <v>55</v>
      </c>
      <c r="K174" s="76">
        <v>0</v>
      </c>
      <c r="L174" s="76">
        <v>0</v>
      </c>
      <c r="M174" s="76">
        <v>18</v>
      </c>
      <c r="N174" s="76">
        <v>-2763</v>
      </c>
      <c r="O174" s="76">
        <v>0</v>
      </c>
      <c r="P174" s="76">
        <v>0</v>
      </c>
      <c r="Q174" s="76">
        <v>0</v>
      </c>
      <c r="R174" s="76">
        <v>0</v>
      </c>
      <c r="S174" s="76">
        <v>6225</v>
      </c>
      <c r="T174" s="76">
        <v>0</v>
      </c>
      <c r="U174" s="76">
        <v>6225</v>
      </c>
      <c r="V174" s="76">
        <v>0</v>
      </c>
      <c r="W174" s="76">
        <v>0</v>
      </c>
      <c r="X174" s="76">
        <v>0</v>
      </c>
      <c r="Y174" s="76">
        <v>0</v>
      </c>
      <c r="Z174" s="76">
        <v>6225</v>
      </c>
      <c r="AA174" s="76">
        <v>24293</v>
      </c>
      <c r="AB174" s="76">
        <v>2468</v>
      </c>
      <c r="AC174" s="76">
        <v>26761</v>
      </c>
      <c r="AD174" s="76">
        <v>1134</v>
      </c>
      <c r="AE174" s="76">
        <v>0</v>
      </c>
      <c r="AF174" s="76">
        <v>154</v>
      </c>
      <c r="AG174" s="76">
        <v>0</v>
      </c>
      <c r="AH174" s="76">
        <v>28049</v>
      </c>
      <c r="AI174" s="76">
        <v>4615</v>
      </c>
      <c r="AJ174" s="76">
        <v>3061</v>
      </c>
      <c r="AK174" s="76">
        <v>3675</v>
      </c>
      <c r="AL174" s="76">
        <v>816</v>
      </c>
      <c r="AM174" s="76">
        <v>2355</v>
      </c>
      <c r="AN174" s="76">
        <v>293</v>
      </c>
      <c r="AO174" s="76">
        <v>4350</v>
      </c>
      <c r="AP174" s="76">
        <v>0</v>
      </c>
      <c r="AQ174" s="76">
        <v>33</v>
      </c>
      <c r="AR174" s="76">
        <v>19198</v>
      </c>
      <c r="AS174" s="76">
        <v>8851</v>
      </c>
      <c r="AT174" s="76">
        <v>376</v>
      </c>
      <c r="AU174" s="76">
        <v>209642</v>
      </c>
      <c r="AV174" s="76">
        <v>0</v>
      </c>
      <c r="AW174" s="76">
        <v>3116</v>
      </c>
      <c r="AX174" s="76">
        <v>0</v>
      </c>
      <c r="AY174" s="76">
        <v>0</v>
      </c>
      <c r="AZ174" s="76">
        <v>0</v>
      </c>
      <c r="BA174" s="76">
        <v>0</v>
      </c>
      <c r="BB174" s="76">
        <v>0</v>
      </c>
      <c r="BC174" s="76">
        <v>0</v>
      </c>
      <c r="BD174" s="76">
        <v>1099</v>
      </c>
      <c r="BE174" s="76">
        <v>213857</v>
      </c>
      <c r="BF174" s="76">
        <v>1396</v>
      </c>
      <c r="BG174" s="76">
        <v>1102</v>
      </c>
      <c r="BH174" s="76">
        <v>158</v>
      </c>
      <c r="BI174" s="76">
        <v>12822</v>
      </c>
      <c r="BJ174" s="76">
        <v>551</v>
      </c>
      <c r="BK174" s="76">
        <v>16029</v>
      </c>
      <c r="BL174" s="76">
        <v>659</v>
      </c>
      <c r="BM174" s="76">
        <v>0</v>
      </c>
      <c r="BN174" s="76">
        <v>1143</v>
      </c>
      <c r="BO174" s="76">
        <v>5196</v>
      </c>
      <c r="BP174" s="76">
        <v>6998</v>
      </c>
      <c r="BQ174" s="76">
        <v>9031</v>
      </c>
      <c r="BR174" s="76">
        <v>222888</v>
      </c>
      <c r="BS174" s="76">
        <v>73026</v>
      </c>
      <c r="BT174" s="76">
        <v>0</v>
      </c>
      <c r="BU174" s="76">
        <v>0</v>
      </c>
      <c r="BV174" s="76">
        <v>87664</v>
      </c>
      <c r="BW174" s="76">
        <v>0</v>
      </c>
      <c r="BX174" s="76">
        <v>0</v>
      </c>
      <c r="BY174" s="76">
        <v>4426</v>
      </c>
      <c r="BZ174" s="76">
        <v>165116</v>
      </c>
      <c r="CA174" s="76">
        <v>0</v>
      </c>
      <c r="CB174" s="76">
        <v>0</v>
      </c>
      <c r="CC174" s="76">
        <v>57772</v>
      </c>
      <c r="CD174" s="76">
        <v>57772</v>
      </c>
      <c r="CE174" s="76">
        <v>0</v>
      </c>
      <c r="CF174" s="76">
        <v>0</v>
      </c>
      <c r="CG174" s="76">
        <v>0</v>
      </c>
      <c r="CH174" s="76">
        <v>0</v>
      </c>
      <c r="CI174" s="76">
        <v>57772</v>
      </c>
      <c r="CJ174" s="76">
        <v>1889</v>
      </c>
      <c r="CK174" s="76">
        <v>1880</v>
      </c>
      <c r="CL174" s="76">
        <v>0</v>
      </c>
      <c r="CM174" s="76">
        <v>9</v>
      </c>
      <c r="CN174" s="76">
        <v>0</v>
      </c>
      <c r="CO174" s="76">
        <v>0</v>
      </c>
      <c r="CP174" s="76">
        <v>0</v>
      </c>
      <c r="CQ174" s="76">
        <v>0</v>
      </c>
      <c r="CR174" s="76">
        <v>0</v>
      </c>
      <c r="CS174" s="76">
        <v>0</v>
      </c>
      <c r="CT174" s="76">
        <v>508</v>
      </c>
      <c r="CU174" s="76">
        <v>-508</v>
      </c>
      <c r="CV174" s="76">
        <v>0</v>
      </c>
      <c r="CW174" s="76">
        <v>0</v>
      </c>
      <c r="CX174" s="76">
        <v>0</v>
      </c>
      <c r="CY174" s="76">
        <v>0</v>
      </c>
      <c r="CZ174" s="76">
        <v>262</v>
      </c>
      <c r="DA174" s="76">
        <v>0</v>
      </c>
      <c r="DB174" s="76">
        <v>79</v>
      </c>
      <c r="DC174" s="76">
        <v>183</v>
      </c>
      <c r="DD174" s="76">
        <v>2151</v>
      </c>
      <c r="DE174" s="76">
        <v>1880</v>
      </c>
      <c r="DF174" s="76">
        <v>587</v>
      </c>
      <c r="DG174" s="76">
        <v>-316</v>
      </c>
      <c r="DH174" s="76">
        <v>0</v>
      </c>
      <c r="DI174" s="76">
        <v>0</v>
      </c>
      <c r="DJ174" s="76">
        <v>0</v>
      </c>
      <c r="DK174" s="76">
        <v>0</v>
      </c>
      <c r="DL174" s="76">
        <v>0</v>
      </c>
      <c r="DM174" s="76">
        <v>0</v>
      </c>
      <c r="DN174" s="76">
        <v>0</v>
      </c>
      <c r="DO174" s="76">
        <v>0</v>
      </c>
      <c r="DP174" s="76">
        <v>0</v>
      </c>
      <c r="DQ174" s="76">
        <v>0</v>
      </c>
      <c r="DR174" s="76">
        <v>0</v>
      </c>
      <c r="DS174" s="76">
        <v>0</v>
      </c>
      <c r="DT174" s="76">
        <v>0</v>
      </c>
      <c r="DU174" s="76">
        <v>0</v>
      </c>
      <c r="DV174" s="76">
        <v>0</v>
      </c>
      <c r="DW174" s="76">
        <v>0</v>
      </c>
      <c r="DX174" s="76">
        <v>0</v>
      </c>
      <c r="DY174" s="76">
        <v>0</v>
      </c>
      <c r="DZ174" s="76">
        <v>0</v>
      </c>
      <c r="EA174" s="76">
        <v>0</v>
      </c>
      <c r="EB174" s="76">
        <v>93</v>
      </c>
      <c r="EC174" s="76">
        <v>0</v>
      </c>
      <c r="ED174" s="76">
        <v>93</v>
      </c>
      <c r="EE174" s="76">
        <v>0</v>
      </c>
      <c r="EF174" s="76">
        <v>93</v>
      </c>
      <c r="EG174" s="76">
        <v>0</v>
      </c>
      <c r="EH174" s="76">
        <v>93</v>
      </c>
      <c r="EI174" s="76">
        <v>0</v>
      </c>
      <c r="EJ174" s="76">
        <v>2244</v>
      </c>
      <c r="EK174" s="76">
        <v>1880</v>
      </c>
      <c r="EL174" s="76">
        <v>680</v>
      </c>
      <c r="EM174" s="76">
        <v>-316</v>
      </c>
      <c r="EN174" s="76">
        <v>1709</v>
      </c>
      <c r="EO174" s="76">
        <v>0</v>
      </c>
      <c r="EP174" s="76">
        <v>607</v>
      </c>
      <c r="EQ174" s="76">
        <v>0</v>
      </c>
      <c r="ER174" s="76">
        <v>252128</v>
      </c>
      <c r="ES174" s="76">
        <v>0</v>
      </c>
      <c r="ET174" s="76">
        <v>252128</v>
      </c>
      <c r="EU174" s="76">
        <v>8408</v>
      </c>
      <c r="EV174" s="76">
        <v>-1456</v>
      </c>
      <c r="EW174" s="76">
        <v>0</v>
      </c>
      <c r="EX174" s="76">
        <v>0</v>
      </c>
      <c r="EY174" s="76">
        <v>0</v>
      </c>
      <c r="EZ174" s="76">
        <v>259080</v>
      </c>
      <c r="FA174" s="76">
        <v>45983</v>
      </c>
      <c r="FB174" s="76">
        <v>4350</v>
      </c>
      <c r="FC174" s="76">
        <v>0</v>
      </c>
      <c r="FD174" s="76">
        <v>0</v>
      </c>
      <c r="FE174" s="76">
        <v>-895</v>
      </c>
      <c r="FF174" s="76">
        <v>0</v>
      </c>
      <c r="FG174" s="76">
        <v>0</v>
      </c>
      <c r="FH174" s="76">
        <v>49438</v>
      </c>
      <c r="FI174" s="76">
        <v>209642</v>
      </c>
      <c r="FJ174" s="76">
        <v>206145</v>
      </c>
      <c r="FK174" s="76">
        <v>405</v>
      </c>
      <c r="FL174" s="76">
        <v>312</v>
      </c>
      <c r="FM174" s="76">
        <v>93</v>
      </c>
      <c r="FN174" s="76">
        <v>30</v>
      </c>
      <c r="FO174" s="76">
        <v>27</v>
      </c>
      <c r="FP174" s="76">
        <v>3</v>
      </c>
      <c r="FQ174" s="76">
        <v>260</v>
      </c>
      <c r="FR174" s="76">
        <v>260</v>
      </c>
      <c r="FS174" s="76">
        <v>0</v>
      </c>
      <c r="FT174" s="76">
        <v>462</v>
      </c>
      <c r="FU174" s="76">
        <v>179</v>
      </c>
      <c r="FV174" s="76">
        <v>283</v>
      </c>
      <c r="FW174" s="76">
        <v>0</v>
      </c>
      <c r="FX174" s="76">
        <v>0</v>
      </c>
      <c r="FY174" s="76">
        <v>0</v>
      </c>
      <c r="FZ174" s="76">
        <v>1</v>
      </c>
      <c r="GA174" s="76">
        <v>0</v>
      </c>
      <c r="GB174" s="76">
        <v>1</v>
      </c>
      <c r="GC174" s="76">
        <v>1158</v>
      </c>
      <c r="GD174" s="76">
        <v>778</v>
      </c>
      <c r="GE174" s="76">
        <v>380</v>
      </c>
      <c r="GF174" s="76">
        <v>57</v>
      </c>
      <c r="GG174" s="76">
        <v>0</v>
      </c>
      <c r="GH174" s="76">
        <v>0</v>
      </c>
      <c r="GI174" s="76">
        <v>0</v>
      </c>
      <c r="GJ174" s="76">
        <v>0</v>
      </c>
      <c r="GK174" s="76">
        <v>494</v>
      </c>
      <c r="GL174" s="76">
        <v>551</v>
      </c>
      <c r="GM174" s="76">
        <v>128</v>
      </c>
      <c r="GN174" s="76">
        <v>982</v>
      </c>
      <c r="GO174" s="76">
        <v>360</v>
      </c>
      <c r="GP174" s="76">
        <v>380</v>
      </c>
      <c r="GQ174" s="76">
        <v>9</v>
      </c>
      <c r="GR174" s="76">
        <v>2806</v>
      </c>
      <c r="GS174" s="76">
        <v>0</v>
      </c>
      <c r="GT174" s="76">
        <v>0</v>
      </c>
      <c r="GU174" s="76">
        <v>499</v>
      </c>
      <c r="GV174" s="76">
        <v>0</v>
      </c>
      <c r="GW174" s="76">
        <v>32</v>
      </c>
      <c r="GX174" s="76">
        <v>5196</v>
      </c>
      <c r="GY174" s="76">
        <v>453</v>
      </c>
      <c r="GZ174" s="76">
        <v>181</v>
      </c>
      <c r="HA174" s="76">
        <v>3311</v>
      </c>
      <c r="HB174" s="76">
        <v>481</v>
      </c>
      <c r="HC174" s="76">
        <v>4426</v>
      </c>
      <c r="HD174" s="76">
        <v>0</v>
      </c>
      <c r="HE174" s="76">
        <v>0</v>
      </c>
      <c r="HF174" s="76">
        <v>0</v>
      </c>
      <c r="HG174" s="76">
        <v>2721</v>
      </c>
      <c r="HH174" s="76">
        <v>122</v>
      </c>
      <c r="HI174" s="76">
        <v>80</v>
      </c>
      <c r="HJ174" s="76">
        <v>0</v>
      </c>
      <c r="HK174" s="76">
        <v>0</v>
      </c>
      <c r="HL174" s="76">
        <v>-160</v>
      </c>
      <c r="HM174" s="76">
        <v>2763</v>
      </c>
      <c r="HN174" s="76">
        <v>2751</v>
      </c>
      <c r="HO174" s="76">
        <v>4889</v>
      </c>
      <c r="HP174" s="76">
        <v>0</v>
      </c>
      <c r="HQ174" s="76">
        <v>80</v>
      </c>
      <c r="HR174" s="76">
        <v>-17</v>
      </c>
      <c r="HS174" s="76">
        <v>-16</v>
      </c>
      <c r="HT174" s="76">
        <v>5322</v>
      </c>
      <c r="HU174" s="76">
        <v>0</v>
      </c>
      <c r="HV174" s="76">
        <v>0</v>
      </c>
      <c r="HW174" s="76">
        <v>6</v>
      </c>
      <c r="HX174" s="76">
        <v>137</v>
      </c>
    </row>
    <row r="175" spans="1:232" x14ac:dyDescent="0.2">
      <c r="A175" s="74" t="s">
        <v>530</v>
      </c>
      <c r="B175" s="74" t="s">
        <v>531</v>
      </c>
      <c r="C175" s="75" t="s">
        <v>200</v>
      </c>
      <c r="D175" s="75">
        <v>12</v>
      </c>
      <c r="E175" s="76">
        <v>6255</v>
      </c>
      <c r="F175" s="76">
        <v>0</v>
      </c>
      <c r="G175" s="76">
        <v>-4291</v>
      </c>
      <c r="H175" s="76">
        <v>1964</v>
      </c>
      <c r="I175" s="76">
        <v>67</v>
      </c>
      <c r="J175" s="76">
        <v>0</v>
      </c>
      <c r="K175" s="76">
        <v>0</v>
      </c>
      <c r="L175" s="76">
        <v>0</v>
      </c>
      <c r="M175" s="76">
        <v>3</v>
      </c>
      <c r="N175" s="76">
        <v>-915</v>
      </c>
      <c r="O175" s="76">
        <v>0</v>
      </c>
      <c r="P175" s="76">
        <v>0</v>
      </c>
      <c r="Q175" s="76">
        <v>0</v>
      </c>
      <c r="R175" s="76">
        <v>0</v>
      </c>
      <c r="S175" s="76">
        <v>1119</v>
      </c>
      <c r="T175" s="76">
        <v>0</v>
      </c>
      <c r="U175" s="76">
        <v>1119</v>
      </c>
      <c r="V175" s="76">
        <v>0</v>
      </c>
      <c r="W175" s="76">
        <v>0</v>
      </c>
      <c r="X175" s="76">
        <v>0</v>
      </c>
      <c r="Y175" s="76">
        <v>0</v>
      </c>
      <c r="Z175" s="76">
        <v>1119</v>
      </c>
      <c r="AA175" s="76">
        <v>5046</v>
      </c>
      <c r="AB175" s="76">
        <v>815</v>
      </c>
      <c r="AC175" s="76">
        <v>5861</v>
      </c>
      <c r="AD175" s="76">
        <v>326</v>
      </c>
      <c r="AE175" s="76">
        <v>0</v>
      </c>
      <c r="AF175" s="76">
        <v>0</v>
      </c>
      <c r="AG175" s="76">
        <v>0</v>
      </c>
      <c r="AH175" s="76">
        <v>6187</v>
      </c>
      <c r="AI175" s="76">
        <v>1190</v>
      </c>
      <c r="AJ175" s="76">
        <v>852</v>
      </c>
      <c r="AK175" s="76">
        <v>647</v>
      </c>
      <c r="AL175" s="76">
        <v>570</v>
      </c>
      <c r="AM175" s="76">
        <v>0</v>
      </c>
      <c r="AN175" s="76">
        <v>14</v>
      </c>
      <c r="AO175" s="76">
        <v>620</v>
      </c>
      <c r="AP175" s="76">
        <v>0</v>
      </c>
      <c r="AQ175" s="76">
        <v>191</v>
      </c>
      <c r="AR175" s="76">
        <v>4084</v>
      </c>
      <c r="AS175" s="76">
        <v>2103</v>
      </c>
      <c r="AT175" s="76">
        <v>14</v>
      </c>
      <c r="AU175" s="76">
        <v>66317</v>
      </c>
      <c r="AV175" s="76">
        <v>0</v>
      </c>
      <c r="AW175" s="76">
        <v>1226</v>
      </c>
      <c r="AX175" s="76">
        <v>0</v>
      </c>
      <c r="AY175" s="76">
        <v>0</v>
      </c>
      <c r="AZ175" s="76">
        <v>0</v>
      </c>
      <c r="BA175" s="76">
        <v>0</v>
      </c>
      <c r="BB175" s="76">
        <v>0</v>
      </c>
      <c r="BC175" s="76">
        <v>0</v>
      </c>
      <c r="BD175" s="76">
        <v>0</v>
      </c>
      <c r="BE175" s="76">
        <v>67543</v>
      </c>
      <c r="BF175" s="76">
        <v>0</v>
      </c>
      <c r="BG175" s="76">
        <v>419</v>
      </c>
      <c r="BH175" s="76">
        <v>3338</v>
      </c>
      <c r="BI175" s="76">
        <v>0</v>
      </c>
      <c r="BJ175" s="76">
        <v>19</v>
      </c>
      <c r="BK175" s="76">
        <v>3776</v>
      </c>
      <c r="BL175" s="76">
        <v>610</v>
      </c>
      <c r="BM175" s="76">
        <v>0</v>
      </c>
      <c r="BN175" s="76">
        <v>331</v>
      </c>
      <c r="BO175" s="76">
        <v>658</v>
      </c>
      <c r="BP175" s="76">
        <v>1599</v>
      </c>
      <c r="BQ175" s="76">
        <v>2177</v>
      </c>
      <c r="BR175" s="76">
        <v>69720</v>
      </c>
      <c r="BS175" s="76">
        <v>26316</v>
      </c>
      <c r="BT175" s="76">
        <v>0</v>
      </c>
      <c r="BU175" s="76">
        <v>0</v>
      </c>
      <c r="BV175" s="76">
        <v>30345</v>
      </c>
      <c r="BW175" s="76">
        <v>0</v>
      </c>
      <c r="BX175" s="76">
        <v>0</v>
      </c>
      <c r="BY175" s="76">
        <v>341</v>
      </c>
      <c r="BZ175" s="76">
        <v>57002</v>
      </c>
      <c r="CA175" s="76">
        <v>707</v>
      </c>
      <c r="CB175" s="76">
        <v>0</v>
      </c>
      <c r="CC175" s="76">
        <v>12011</v>
      </c>
      <c r="CD175" s="76">
        <v>12011</v>
      </c>
      <c r="CE175" s="76">
        <v>0</v>
      </c>
      <c r="CF175" s="76">
        <v>0</v>
      </c>
      <c r="CG175" s="76">
        <v>0</v>
      </c>
      <c r="CH175" s="76">
        <v>0</v>
      </c>
      <c r="CI175" s="76">
        <v>12011</v>
      </c>
      <c r="CJ175" s="76">
        <v>0</v>
      </c>
      <c r="CK175" s="76">
        <v>0</v>
      </c>
      <c r="CL175" s="76">
        <v>0</v>
      </c>
      <c r="CM175" s="76">
        <v>0</v>
      </c>
      <c r="CN175" s="76">
        <v>0</v>
      </c>
      <c r="CO175" s="76">
        <v>0</v>
      </c>
      <c r="CP175" s="76">
        <v>0</v>
      </c>
      <c r="CQ175" s="76">
        <v>0</v>
      </c>
      <c r="CR175" s="76">
        <v>0</v>
      </c>
      <c r="CS175" s="76">
        <v>0</v>
      </c>
      <c r="CT175" s="76">
        <v>0</v>
      </c>
      <c r="CU175" s="76">
        <v>0</v>
      </c>
      <c r="CV175" s="76">
        <v>0</v>
      </c>
      <c r="CW175" s="76">
        <v>0</v>
      </c>
      <c r="CX175" s="76">
        <v>0</v>
      </c>
      <c r="CY175" s="76">
        <v>0</v>
      </c>
      <c r="CZ175" s="76">
        <v>0</v>
      </c>
      <c r="DA175" s="76">
        <v>0</v>
      </c>
      <c r="DB175" s="76">
        <v>207</v>
      </c>
      <c r="DC175" s="76">
        <v>-207</v>
      </c>
      <c r="DD175" s="76">
        <v>0</v>
      </c>
      <c r="DE175" s="76">
        <v>0</v>
      </c>
      <c r="DF175" s="76">
        <v>207</v>
      </c>
      <c r="DG175" s="76">
        <v>-207</v>
      </c>
      <c r="DH175" s="76">
        <v>0</v>
      </c>
      <c r="DI175" s="76">
        <v>0</v>
      </c>
      <c r="DJ175" s="76">
        <v>0</v>
      </c>
      <c r="DK175" s="76">
        <v>0</v>
      </c>
      <c r="DL175" s="76">
        <v>0</v>
      </c>
      <c r="DM175" s="76">
        <v>0</v>
      </c>
      <c r="DN175" s="76">
        <v>0</v>
      </c>
      <c r="DO175" s="76">
        <v>0</v>
      </c>
      <c r="DP175" s="76">
        <v>0</v>
      </c>
      <c r="DQ175" s="76">
        <v>0</v>
      </c>
      <c r="DR175" s="76">
        <v>0</v>
      </c>
      <c r="DS175" s="76">
        <v>0</v>
      </c>
      <c r="DT175" s="76">
        <v>14</v>
      </c>
      <c r="DU175" s="76">
        <v>0</v>
      </c>
      <c r="DV175" s="76">
        <v>0</v>
      </c>
      <c r="DW175" s="76">
        <v>14</v>
      </c>
      <c r="DX175" s="76">
        <v>0</v>
      </c>
      <c r="DY175" s="76">
        <v>0</v>
      </c>
      <c r="DZ175" s="76">
        <v>0</v>
      </c>
      <c r="EA175" s="76">
        <v>0</v>
      </c>
      <c r="EB175" s="76">
        <v>55</v>
      </c>
      <c r="EC175" s="76">
        <v>0</v>
      </c>
      <c r="ED175" s="76">
        <v>0</v>
      </c>
      <c r="EE175" s="76">
        <v>55</v>
      </c>
      <c r="EF175" s="76">
        <v>69</v>
      </c>
      <c r="EG175" s="76">
        <v>0</v>
      </c>
      <c r="EH175" s="76">
        <v>0</v>
      </c>
      <c r="EI175" s="76">
        <v>69</v>
      </c>
      <c r="EJ175" s="76">
        <v>69</v>
      </c>
      <c r="EK175" s="76">
        <v>0</v>
      </c>
      <c r="EL175" s="76">
        <v>207</v>
      </c>
      <c r="EM175" s="76">
        <v>-138</v>
      </c>
      <c r="EN175" s="76">
        <v>243</v>
      </c>
      <c r="EO175" s="76">
        <v>34</v>
      </c>
      <c r="EP175" s="76">
        <v>77</v>
      </c>
      <c r="EQ175" s="76">
        <v>34</v>
      </c>
      <c r="ER175" s="76">
        <v>68934</v>
      </c>
      <c r="ES175" s="76">
        <v>0</v>
      </c>
      <c r="ET175" s="76">
        <v>68934</v>
      </c>
      <c r="EU175" s="76">
        <v>1660</v>
      </c>
      <c r="EV175" s="76">
        <v>-130</v>
      </c>
      <c r="EW175" s="76">
        <v>0</v>
      </c>
      <c r="EX175" s="76">
        <v>0</v>
      </c>
      <c r="EY175" s="76">
        <v>0</v>
      </c>
      <c r="EZ175" s="76">
        <v>70464</v>
      </c>
      <c r="FA175" s="76">
        <v>3540</v>
      </c>
      <c r="FB175" s="76">
        <v>613</v>
      </c>
      <c r="FC175" s="76">
        <v>0</v>
      </c>
      <c r="FD175" s="76">
        <v>0</v>
      </c>
      <c r="FE175" s="76">
        <v>-6</v>
      </c>
      <c r="FF175" s="76">
        <v>0</v>
      </c>
      <c r="FG175" s="76">
        <v>0</v>
      </c>
      <c r="FH175" s="76">
        <v>4147</v>
      </c>
      <c r="FI175" s="76">
        <v>66317</v>
      </c>
      <c r="FJ175" s="76">
        <v>65394</v>
      </c>
      <c r="FK175" s="76">
        <v>0</v>
      </c>
      <c r="FL175" s="76">
        <v>0</v>
      </c>
      <c r="FM175" s="76">
        <v>0</v>
      </c>
      <c r="FN175" s="76">
        <v>0</v>
      </c>
      <c r="FO175" s="76">
        <v>0</v>
      </c>
      <c r="FP175" s="76">
        <v>0</v>
      </c>
      <c r="FQ175" s="76">
        <v>0</v>
      </c>
      <c r="FR175" s="76">
        <v>0</v>
      </c>
      <c r="FS175" s="76">
        <v>0</v>
      </c>
      <c r="FT175" s="76">
        <v>169</v>
      </c>
      <c r="FU175" s="76">
        <v>129</v>
      </c>
      <c r="FV175" s="76">
        <v>40</v>
      </c>
      <c r="FW175" s="76">
        <v>190</v>
      </c>
      <c r="FX175" s="76">
        <v>163</v>
      </c>
      <c r="FY175" s="76">
        <v>27</v>
      </c>
      <c r="FZ175" s="76">
        <v>0</v>
      </c>
      <c r="GA175" s="76">
        <v>0</v>
      </c>
      <c r="GB175" s="76">
        <v>0</v>
      </c>
      <c r="GC175" s="76">
        <v>359</v>
      </c>
      <c r="GD175" s="76">
        <v>292</v>
      </c>
      <c r="GE175" s="76">
        <v>67</v>
      </c>
      <c r="GF175" s="76">
        <v>0</v>
      </c>
      <c r="GG175" s="76">
        <v>0</v>
      </c>
      <c r="GH175" s="76">
        <v>0</v>
      </c>
      <c r="GI175" s="76">
        <v>0</v>
      </c>
      <c r="GJ175" s="76">
        <v>0</v>
      </c>
      <c r="GK175" s="76">
        <v>19</v>
      </c>
      <c r="GL175" s="76">
        <v>19</v>
      </c>
      <c r="GM175" s="76">
        <v>349</v>
      </c>
      <c r="GN175" s="76">
        <v>186</v>
      </c>
      <c r="GO175" s="76">
        <v>0</v>
      </c>
      <c r="GP175" s="76">
        <v>0</v>
      </c>
      <c r="GQ175" s="76">
        <v>0</v>
      </c>
      <c r="GR175" s="76">
        <v>32</v>
      </c>
      <c r="GS175" s="76">
        <v>63</v>
      </c>
      <c r="GT175" s="76">
        <v>0</v>
      </c>
      <c r="GU175" s="76">
        <v>0</v>
      </c>
      <c r="GV175" s="76">
        <v>0</v>
      </c>
      <c r="GW175" s="76">
        <v>28</v>
      </c>
      <c r="GX175" s="76">
        <v>658</v>
      </c>
      <c r="GY175" s="76">
        <v>0</v>
      </c>
      <c r="GZ175" s="76">
        <v>0</v>
      </c>
      <c r="HA175" s="76">
        <v>0</v>
      </c>
      <c r="HB175" s="76">
        <v>341</v>
      </c>
      <c r="HC175" s="76">
        <v>341</v>
      </c>
      <c r="HD175" s="76">
        <v>0</v>
      </c>
      <c r="HE175" s="76">
        <v>0</v>
      </c>
      <c r="HF175" s="76">
        <v>0</v>
      </c>
      <c r="HG175" s="76">
        <v>914</v>
      </c>
      <c r="HH175" s="76">
        <v>0</v>
      </c>
      <c r="HI175" s="76">
        <v>0</v>
      </c>
      <c r="HJ175" s="76">
        <v>0</v>
      </c>
      <c r="HK175" s="76">
        <v>0</v>
      </c>
      <c r="HL175" s="76">
        <v>0</v>
      </c>
      <c r="HM175" s="76">
        <v>914</v>
      </c>
      <c r="HN175" s="76">
        <v>422</v>
      </c>
      <c r="HO175" s="76">
        <v>665</v>
      </c>
      <c r="HP175" s="76">
        <v>0</v>
      </c>
      <c r="HQ175" s="76">
        <v>8</v>
      </c>
      <c r="HR175" s="76">
        <v>-8</v>
      </c>
      <c r="HS175" s="76">
        <v>0</v>
      </c>
      <c r="HT175" s="76">
        <v>1083</v>
      </c>
      <c r="HU175" s="76">
        <v>0</v>
      </c>
      <c r="HV175" s="76">
        <v>0</v>
      </c>
      <c r="HW175" s="76">
        <v>0</v>
      </c>
      <c r="HX175" s="76">
        <v>0</v>
      </c>
    </row>
    <row r="176" spans="1:232" x14ac:dyDescent="0.2">
      <c r="A176" s="74" t="s">
        <v>532</v>
      </c>
      <c r="B176" s="74" t="s">
        <v>533</v>
      </c>
      <c r="C176" s="75" t="s">
        <v>200</v>
      </c>
      <c r="D176" s="75">
        <v>12</v>
      </c>
      <c r="E176" s="76">
        <v>179165</v>
      </c>
      <c r="F176" s="76">
        <v>-19670</v>
      </c>
      <c r="G176" s="76">
        <v>-108886</v>
      </c>
      <c r="H176" s="76">
        <v>50609</v>
      </c>
      <c r="I176" s="76">
        <v>7325</v>
      </c>
      <c r="J176" s="76">
        <v>21604</v>
      </c>
      <c r="K176" s="76">
        <v>0</v>
      </c>
      <c r="L176" s="76">
        <v>0</v>
      </c>
      <c r="M176" s="76">
        <v>415</v>
      </c>
      <c r="N176" s="76">
        <v>-28245</v>
      </c>
      <c r="O176" s="76">
        <v>-460</v>
      </c>
      <c r="P176" s="76">
        <v>8720</v>
      </c>
      <c r="Q176" s="76">
        <v>0</v>
      </c>
      <c r="R176" s="76">
        <v>0</v>
      </c>
      <c r="S176" s="76">
        <v>59968</v>
      </c>
      <c r="T176" s="76">
        <v>0</v>
      </c>
      <c r="U176" s="76">
        <v>59968</v>
      </c>
      <c r="V176" s="76">
        <v>0</v>
      </c>
      <c r="W176" s="76">
        <v>-658</v>
      </c>
      <c r="X176" s="76">
        <v>0</v>
      </c>
      <c r="Y176" s="76">
        <v>0</v>
      </c>
      <c r="Z176" s="76">
        <v>59310</v>
      </c>
      <c r="AA176" s="76">
        <v>118627</v>
      </c>
      <c r="AB176" s="76">
        <v>10560</v>
      </c>
      <c r="AC176" s="76">
        <v>129187</v>
      </c>
      <c r="AD176" s="76">
        <v>9611</v>
      </c>
      <c r="AE176" s="76">
        <v>0</v>
      </c>
      <c r="AF176" s="76">
        <v>0</v>
      </c>
      <c r="AG176" s="76">
        <v>53</v>
      </c>
      <c r="AH176" s="76">
        <v>138851</v>
      </c>
      <c r="AI176" s="76">
        <v>29535</v>
      </c>
      <c r="AJ176" s="76">
        <v>11939</v>
      </c>
      <c r="AK176" s="76">
        <v>14817</v>
      </c>
      <c r="AL176" s="76">
        <v>0</v>
      </c>
      <c r="AM176" s="76">
        <v>8233</v>
      </c>
      <c r="AN176" s="76">
        <v>1074</v>
      </c>
      <c r="AO176" s="76">
        <v>18236</v>
      </c>
      <c r="AP176" s="76">
        <v>-275</v>
      </c>
      <c r="AQ176" s="76">
        <v>18223</v>
      </c>
      <c r="AR176" s="76">
        <v>101782</v>
      </c>
      <c r="AS176" s="76">
        <v>37069</v>
      </c>
      <c r="AT176" s="76">
        <v>2585</v>
      </c>
      <c r="AU176" s="76">
        <v>1524146</v>
      </c>
      <c r="AV176" s="76">
        <v>0</v>
      </c>
      <c r="AW176" s="76">
        <v>24745</v>
      </c>
      <c r="AX176" s="76">
        <v>1542</v>
      </c>
      <c r="AY176" s="76">
        <v>0</v>
      </c>
      <c r="AZ176" s="76">
        <v>25537</v>
      </c>
      <c r="BA176" s="76">
        <v>0</v>
      </c>
      <c r="BB176" s="76">
        <v>65000</v>
      </c>
      <c r="BC176" s="76">
        <v>0</v>
      </c>
      <c r="BD176" s="76">
        <v>14095</v>
      </c>
      <c r="BE176" s="76">
        <v>1655065</v>
      </c>
      <c r="BF176" s="76">
        <v>14142</v>
      </c>
      <c r="BG176" s="76">
        <v>16151</v>
      </c>
      <c r="BH176" s="76">
        <v>68527</v>
      </c>
      <c r="BI176" s="76">
        <v>0</v>
      </c>
      <c r="BJ176" s="76">
        <v>31302</v>
      </c>
      <c r="BK176" s="76">
        <v>130122</v>
      </c>
      <c r="BL176" s="76">
        <v>5065</v>
      </c>
      <c r="BM176" s="76">
        <v>0</v>
      </c>
      <c r="BN176" s="76">
        <v>0</v>
      </c>
      <c r="BO176" s="76">
        <v>69678</v>
      </c>
      <c r="BP176" s="76">
        <v>74743</v>
      </c>
      <c r="BQ176" s="76">
        <v>55379</v>
      </c>
      <c r="BR176" s="76">
        <v>1710444</v>
      </c>
      <c r="BS176" s="76">
        <v>331288</v>
      </c>
      <c r="BT176" s="76">
        <v>425522</v>
      </c>
      <c r="BU176" s="76">
        <v>0</v>
      </c>
      <c r="BV176" s="76">
        <v>568082</v>
      </c>
      <c r="BW176" s="76">
        <v>0</v>
      </c>
      <c r="BX176" s="76">
        <v>0</v>
      </c>
      <c r="BY176" s="76">
        <v>24083</v>
      </c>
      <c r="BZ176" s="76">
        <v>1348975</v>
      </c>
      <c r="CA176" s="76">
        <v>784</v>
      </c>
      <c r="CB176" s="76">
        <v>11012</v>
      </c>
      <c r="CC176" s="76">
        <v>349673</v>
      </c>
      <c r="CD176" s="76">
        <v>349673</v>
      </c>
      <c r="CE176" s="76">
        <v>0</v>
      </c>
      <c r="CF176" s="76">
        <v>0</v>
      </c>
      <c r="CG176" s="76">
        <v>0</v>
      </c>
      <c r="CH176" s="76">
        <v>0</v>
      </c>
      <c r="CI176" s="76">
        <v>349673</v>
      </c>
      <c r="CJ176" s="76">
        <v>31711</v>
      </c>
      <c r="CK176" s="76">
        <v>18682</v>
      </c>
      <c r="CL176" s="76">
        <v>1400</v>
      </c>
      <c r="CM176" s="76">
        <v>11629</v>
      </c>
      <c r="CN176" s="76">
        <v>236</v>
      </c>
      <c r="CO176" s="76">
        <v>0</v>
      </c>
      <c r="CP176" s="76">
        <v>236</v>
      </c>
      <c r="CQ176" s="76">
        <v>0</v>
      </c>
      <c r="CR176" s="76">
        <v>3155</v>
      </c>
      <c r="CS176" s="76">
        <v>0</v>
      </c>
      <c r="CT176" s="76">
        <v>4140</v>
      </c>
      <c r="CU176" s="76">
        <v>-985</v>
      </c>
      <c r="CV176" s="76">
        <v>0</v>
      </c>
      <c r="CW176" s="76">
        <v>0</v>
      </c>
      <c r="CX176" s="76">
        <v>663</v>
      </c>
      <c r="CY176" s="76">
        <v>-663</v>
      </c>
      <c r="CZ176" s="76">
        <v>2016</v>
      </c>
      <c r="DA176" s="76">
        <v>0</v>
      </c>
      <c r="DB176" s="76">
        <v>0</v>
      </c>
      <c r="DC176" s="76">
        <v>2016</v>
      </c>
      <c r="DD176" s="76">
        <v>37118</v>
      </c>
      <c r="DE176" s="76">
        <v>18682</v>
      </c>
      <c r="DF176" s="76">
        <v>6439</v>
      </c>
      <c r="DG176" s="76">
        <v>11997</v>
      </c>
      <c r="DH176" s="76">
        <v>971</v>
      </c>
      <c r="DI176" s="76">
        <v>988</v>
      </c>
      <c r="DJ176" s="76">
        <v>2</v>
      </c>
      <c r="DK176" s="76">
        <v>-19</v>
      </c>
      <c r="DL176" s="76">
        <v>0</v>
      </c>
      <c r="DM176" s="76">
        <v>0</v>
      </c>
      <c r="DN176" s="76">
        <v>0</v>
      </c>
      <c r="DO176" s="76">
        <v>0</v>
      </c>
      <c r="DP176" s="76">
        <v>0</v>
      </c>
      <c r="DQ176" s="76">
        <v>0</v>
      </c>
      <c r="DR176" s="76">
        <v>0</v>
      </c>
      <c r="DS176" s="76">
        <v>0</v>
      </c>
      <c r="DT176" s="76">
        <v>0</v>
      </c>
      <c r="DU176" s="76">
        <v>0</v>
      </c>
      <c r="DV176" s="76">
        <v>0</v>
      </c>
      <c r="DW176" s="76">
        <v>0</v>
      </c>
      <c r="DX176" s="76">
        <v>0</v>
      </c>
      <c r="DY176" s="76">
        <v>0</v>
      </c>
      <c r="DZ176" s="76">
        <v>0</v>
      </c>
      <c r="EA176" s="76">
        <v>0</v>
      </c>
      <c r="EB176" s="76">
        <v>2225</v>
      </c>
      <c r="EC176" s="76">
        <v>0</v>
      </c>
      <c r="ED176" s="76">
        <v>663</v>
      </c>
      <c r="EE176" s="76">
        <v>1562</v>
      </c>
      <c r="EF176" s="76">
        <v>3196</v>
      </c>
      <c r="EG176" s="76">
        <v>988</v>
      </c>
      <c r="EH176" s="76">
        <v>665</v>
      </c>
      <c r="EI176" s="76">
        <v>1543</v>
      </c>
      <c r="EJ176" s="76">
        <v>40314</v>
      </c>
      <c r="EK176" s="76">
        <v>19670</v>
      </c>
      <c r="EL176" s="76">
        <v>7104</v>
      </c>
      <c r="EM176" s="76">
        <v>13540</v>
      </c>
      <c r="EN176" s="76">
        <v>7027</v>
      </c>
      <c r="EO176" s="76">
        <v>4160</v>
      </c>
      <c r="EP176" s="76">
        <v>1388</v>
      </c>
      <c r="EQ176" s="76">
        <v>4020</v>
      </c>
      <c r="ER176" s="76">
        <v>1536299</v>
      </c>
      <c r="ES176" s="76">
        <v>0</v>
      </c>
      <c r="ET176" s="76">
        <v>1536299</v>
      </c>
      <c r="EU176" s="76">
        <v>131169</v>
      </c>
      <c r="EV176" s="76">
        <v>-14155</v>
      </c>
      <c r="EW176" s="76">
        <v>0</v>
      </c>
      <c r="EX176" s="76">
        <v>0</v>
      </c>
      <c r="EY176" s="76">
        <v>16723</v>
      </c>
      <c r="EZ176" s="76">
        <v>1670036</v>
      </c>
      <c r="FA176" s="76">
        <v>130527</v>
      </c>
      <c r="FB176" s="76">
        <v>17914</v>
      </c>
      <c r="FC176" s="76">
        <v>542</v>
      </c>
      <c r="FD176" s="76">
        <v>0</v>
      </c>
      <c r="FE176" s="76">
        <v>-5667</v>
      </c>
      <c r="FF176" s="76">
        <v>0</v>
      </c>
      <c r="FG176" s="76">
        <v>2574</v>
      </c>
      <c r="FH176" s="76">
        <v>145890</v>
      </c>
      <c r="FI176" s="76">
        <v>1524146</v>
      </c>
      <c r="FJ176" s="76">
        <v>1405772</v>
      </c>
      <c r="FK176" s="76">
        <v>12425</v>
      </c>
      <c r="FL176" s="76">
        <v>5834</v>
      </c>
      <c r="FM176" s="76">
        <v>6591</v>
      </c>
      <c r="FN176" s="76">
        <v>4127</v>
      </c>
      <c r="FO176" s="76">
        <v>3593</v>
      </c>
      <c r="FP176" s="76">
        <v>534</v>
      </c>
      <c r="FQ176" s="76">
        <v>514</v>
      </c>
      <c r="FR176" s="76">
        <v>314</v>
      </c>
      <c r="FS176" s="76">
        <v>200</v>
      </c>
      <c r="FT176" s="76">
        <v>0</v>
      </c>
      <c r="FU176" s="76">
        <v>0</v>
      </c>
      <c r="FV176" s="76">
        <v>0</v>
      </c>
      <c r="FW176" s="76">
        <v>0</v>
      </c>
      <c r="FX176" s="76">
        <v>0</v>
      </c>
      <c r="FY176" s="76">
        <v>0</v>
      </c>
      <c r="FZ176" s="76">
        <v>0</v>
      </c>
      <c r="GA176" s="76">
        <v>0</v>
      </c>
      <c r="GB176" s="76">
        <v>0</v>
      </c>
      <c r="GC176" s="76">
        <v>17066</v>
      </c>
      <c r="GD176" s="76">
        <v>9741</v>
      </c>
      <c r="GE176" s="76">
        <v>7325</v>
      </c>
      <c r="GF176" s="76">
        <v>21711</v>
      </c>
      <c r="GG176" s="76">
        <v>0</v>
      </c>
      <c r="GH176" s="76">
        <v>0</v>
      </c>
      <c r="GI176" s="76">
        <v>6062</v>
      </c>
      <c r="GJ176" s="76">
        <v>0</v>
      </c>
      <c r="GK176" s="76">
        <v>3529</v>
      </c>
      <c r="GL176" s="76">
        <v>31302</v>
      </c>
      <c r="GM176" s="76">
        <v>847</v>
      </c>
      <c r="GN176" s="76">
        <v>7426</v>
      </c>
      <c r="GO176" s="76">
        <v>35831</v>
      </c>
      <c r="GP176" s="76">
        <v>0</v>
      </c>
      <c r="GQ176" s="76">
        <v>0</v>
      </c>
      <c r="GR176" s="76">
        <v>19521</v>
      </c>
      <c r="GS176" s="76">
        <v>0</v>
      </c>
      <c r="GT176" s="76">
        <v>0</v>
      </c>
      <c r="GU176" s="76">
        <v>1601</v>
      </c>
      <c r="GV176" s="76">
        <v>0</v>
      </c>
      <c r="GW176" s="76">
        <v>4452</v>
      </c>
      <c r="GX176" s="76">
        <v>69678</v>
      </c>
      <c r="GY176" s="76">
        <v>12830</v>
      </c>
      <c r="GZ176" s="76">
        <v>484</v>
      </c>
      <c r="HA176" s="76">
        <v>10196</v>
      </c>
      <c r="HB176" s="76">
        <v>573</v>
      </c>
      <c r="HC176" s="76">
        <v>24083</v>
      </c>
      <c r="HD176" s="76">
        <v>7045</v>
      </c>
      <c r="HE176" s="76">
        <v>3967</v>
      </c>
      <c r="HF176" s="76">
        <v>11012</v>
      </c>
      <c r="HG176" s="76">
        <v>31599</v>
      </c>
      <c r="HH176" s="76">
        <v>479</v>
      </c>
      <c r="HI176" s="76">
        <v>245</v>
      </c>
      <c r="HJ176" s="76">
        <v>0</v>
      </c>
      <c r="HK176" s="76">
        <v>613</v>
      </c>
      <c r="HL176" s="76">
        <v>-4691</v>
      </c>
      <c r="HM176" s="76">
        <v>28245</v>
      </c>
      <c r="HN176" s="76">
        <v>16240</v>
      </c>
      <c r="HO176" s="76">
        <v>19138</v>
      </c>
      <c r="HP176" s="76">
        <v>542</v>
      </c>
      <c r="HQ176" s="76">
        <v>471</v>
      </c>
      <c r="HR176" s="76">
        <v>-315</v>
      </c>
      <c r="HS176" s="76">
        <v>-243</v>
      </c>
      <c r="HT176" s="76">
        <v>18609</v>
      </c>
      <c r="HU176" s="76">
        <v>46</v>
      </c>
      <c r="HV176" s="76">
        <v>0</v>
      </c>
      <c r="HW176" s="76">
        <v>188</v>
      </c>
      <c r="HX176" s="76">
        <v>692</v>
      </c>
    </row>
    <row r="177" spans="1:232" x14ac:dyDescent="0.2">
      <c r="A177" s="71" t="s">
        <v>535</v>
      </c>
      <c r="B177" s="71" t="s">
        <v>536</v>
      </c>
      <c r="C177" s="72" t="s">
        <v>200</v>
      </c>
      <c r="D177" s="72">
        <v>12</v>
      </c>
      <c r="E177" s="73">
        <v>72554</v>
      </c>
      <c r="F177" s="73">
        <v>0</v>
      </c>
      <c r="G177" s="73">
        <v>-49083</v>
      </c>
      <c r="H177" s="73">
        <v>23471</v>
      </c>
      <c r="I177" s="73">
        <v>200</v>
      </c>
      <c r="J177" s="73">
        <v>0</v>
      </c>
      <c r="K177" s="73">
        <v>0</v>
      </c>
      <c r="L177" s="73">
        <v>0</v>
      </c>
      <c r="M177" s="73">
        <v>54</v>
      </c>
      <c r="N177" s="73">
        <v>-17885</v>
      </c>
      <c r="O177" s="73">
        <v>0</v>
      </c>
      <c r="P177" s="73">
        <v>0</v>
      </c>
      <c r="Q177" s="73">
        <v>0</v>
      </c>
      <c r="R177" s="73">
        <v>0</v>
      </c>
      <c r="S177" s="73">
        <v>5840</v>
      </c>
      <c r="T177" s="73">
        <v>0</v>
      </c>
      <c r="U177" s="73">
        <v>5840</v>
      </c>
      <c r="V177" s="73">
        <v>0</v>
      </c>
      <c r="W177" s="73">
        <v>0</v>
      </c>
      <c r="X177" s="73">
        <v>0</v>
      </c>
      <c r="Y177" s="73">
        <v>0</v>
      </c>
      <c r="Z177" s="73">
        <v>5840</v>
      </c>
      <c r="AA177" s="73">
        <v>66048</v>
      </c>
      <c r="AB177" s="73">
        <v>4102</v>
      </c>
      <c r="AC177" s="73">
        <v>70150</v>
      </c>
      <c r="AD177" s="73">
        <v>0</v>
      </c>
      <c r="AE177" s="73">
        <v>0</v>
      </c>
      <c r="AF177" s="73">
        <v>0</v>
      </c>
      <c r="AG177" s="73">
        <v>0</v>
      </c>
      <c r="AH177" s="73">
        <v>70150</v>
      </c>
      <c r="AI177" s="73">
        <v>16183</v>
      </c>
      <c r="AJ177" s="73">
        <v>3428</v>
      </c>
      <c r="AK177" s="73">
        <v>9942</v>
      </c>
      <c r="AL177" s="73">
        <v>2017</v>
      </c>
      <c r="AM177" s="73">
        <v>2321</v>
      </c>
      <c r="AN177" s="73">
        <v>932</v>
      </c>
      <c r="AO177" s="73">
        <v>12565</v>
      </c>
      <c r="AP177" s="73">
        <v>0</v>
      </c>
      <c r="AQ177" s="73">
        <v>147</v>
      </c>
      <c r="AR177" s="73">
        <v>47535</v>
      </c>
      <c r="AS177" s="73">
        <v>22615</v>
      </c>
      <c r="AT177" s="73">
        <v>965</v>
      </c>
      <c r="AU177" s="73">
        <v>468398</v>
      </c>
      <c r="AV177" s="73">
        <v>0</v>
      </c>
      <c r="AW177" s="73">
        <v>8865</v>
      </c>
      <c r="AX177" s="73">
        <v>0</v>
      </c>
      <c r="AY177" s="73">
        <v>0</v>
      </c>
      <c r="AZ177" s="73">
        <v>0</v>
      </c>
      <c r="BA177" s="73">
        <v>0</v>
      </c>
      <c r="BB177" s="73">
        <v>0</v>
      </c>
      <c r="BC177" s="73">
        <v>0</v>
      </c>
      <c r="BD177" s="73">
        <v>0</v>
      </c>
      <c r="BE177" s="73">
        <v>477263</v>
      </c>
      <c r="BF177" s="73">
        <v>456</v>
      </c>
      <c r="BG177" s="73">
        <v>5773</v>
      </c>
      <c r="BH177" s="73">
        <v>11420</v>
      </c>
      <c r="BI177" s="73">
        <v>0</v>
      </c>
      <c r="BJ177" s="73">
        <v>10023</v>
      </c>
      <c r="BK177" s="73">
        <v>27672</v>
      </c>
      <c r="BL177" s="73">
        <v>0</v>
      </c>
      <c r="BM177" s="73">
        <v>0</v>
      </c>
      <c r="BN177" s="73">
        <v>80</v>
      </c>
      <c r="BO177" s="73">
        <v>12270</v>
      </c>
      <c r="BP177" s="73">
        <v>12350</v>
      </c>
      <c r="BQ177" s="73">
        <v>15322</v>
      </c>
      <c r="BR177" s="73">
        <v>492585</v>
      </c>
      <c r="BS177" s="73">
        <v>324550</v>
      </c>
      <c r="BT177" s="73">
        <v>0</v>
      </c>
      <c r="BU177" s="73">
        <v>0</v>
      </c>
      <c r="BV177" s="73">
        <v>0</v>
      </c>
      <c r="BW177" s="73">
        <v>0</v>
      </c>
      <c r="BX177" s="73">
        <v>0</v>
      </c>
      <c r="BY177" s="73">
        <v>9650</v>
      </c>
      <c r="BZ177" s="73">
        <v>334200</v>
      </c>
      <c r="CA177" s="73">
        <v>0</v>
      </c>
      <c r="CB177" s="73">
        <v>0</v>
      </c>
      <c r="CC177" s="73">
        <v>158385</v>
      </c>
      <c r="CD177" s="73">
        <v>158385</v>
      </c>
      <c r="CE177" s="73">
        <v>0</v>
      </c>
      <c r="CF177" s="73">
        <v>0</v>
      </c>
      <c r="CG177" s="73">
        <v>0</v>
      </c>
      <c r="CH177" s="73">
        <v>0</v>
      </c>
      <c r="CI177" s="73">
        <v>158385</v>
      </c>
      <c r="CJ177" s="73">
        <v>0</v>
      </c>
      <c r="CK177" s="73">
        <v>0</v>
      </c>
      <c r="CL177" s="73">
        <v>0</v>
      </c>
      <c r="CM177" s="73">
        <v>0</v>
      </c>
      <c r="CN177" s="73">
        <v>0</v>
      </c>
      <c r="CO177" s="73">
        <v>0</v>
      </c>
      <c r="CP177" s="73">
        <v>0</v>
      </c>
      <c r="CQ177" s="73">
        <v>0</v>
      </c>
      <c r="CR177" s="73">
        <v>0</v>
      </c>
      <c r="CS177" s="73">
        <v>0</v>
      </c>
      <c r="CT177" s="73">
        <v>0</v>
      </c>
      <c r="CU177" s="73">
        <v>0</v>
      </c>
      <c r="CV177" s="73">
        <v>0</v>
      </c>
      <c r="CW177" s="73">
        <v>0</v>
      </c>
      <c r="CX177" s="73">
        <v>0</v>
      </c>
      <c r="CY177" s="73">
        <v>0</v>
      </c>
      <c r="CZ177" s="73">
        <v>151</v>
      </c>
      <c r="DA177" s="73">
        <v>0</v>
      </c>
      <c r="DB177" s="73">
        <v>0</v>
      </c>
      <c r="DC177" s="73">
        <v>151</v>
      </c>
      <c r="DD177" s="73">
        <v>151</v>
      </c>
      <c r="DE177" s="73">
        <v>0</v>
      </c>
      <c r="DF177" s="73">
        <v>0</v>
      </c>
      <c r="DG177" s="73">
        <v>151</v>
      </c>
      <c r="DH177" s="73">
        <v>0</v>
      </c>
      <c r="DI177" s="73">
        <v>0</v>
      </c>
      <c r="DJ177" s="73">
        <v>0</v>
      </c>
      <c r="DK177" s="73">
        <v>0</v>
      </c>
      <c r="DL177" s="73">
        <v>0</v>
      </c>
      <c r="DM177" s="73">
        <v>0</v>
      </c>
      <c r="DN177" s="73">
        <v>0</v>
      </c>
      <c r="DO177" s="73">
        <v>0</v>
      </c>
      <c r="DP177" s="73">
        <v>0</v>
      </c>
      <c r="DQ177" s="73">
        <v>0</v>
      </c>
      <c r="DR177" s="73">
        <v>0</v>
      </c>
      <c r="DS177" s="73">
        <v>0</v>
      </c>
      <c r="DT177" s="73">
        <v>0</v>
      </c>
      <c r="DU177" s="73">
        <v>0</v>
      </c>
      <c r="DV177" s="73">
        <v>0</v>
      </c>
      <c r="DW177" s="73">
        <v>0</v>
      </c>
      <c r="DX177" s="73">
        <v>0</v>
      </c>
      <c r="DY177" s="73">
        <v>0</v>
      </c>
      <c r="DZ177" s="73">
        <v>0</v>
      </c>
      <c r="EA177" s="73">
        <v>0</v>
      </c>
      <c r="EB177" s="73">
        <v>2253</v>
      </c>
      <c r="EC177" s="73">
        <v>0</v>
      </c>
      <c r="ED177" s="73">
        <v>1548</v>
      </c>
      <c r="EE177" s="73">
        <v>705</v>
      </c>
      <c r="EF177" s="73">
        <v>2253</v>
      </c>
      <c r="EG177" s="73">
        <v>0</v>
      </c>
      <c r="EH177" s="73">
        <v>1548</v>
      </c>
      <c r="EI177" s="73">
        <v>705</v>
      </c>
      <c r="EJ177" s="73">
        <v>2404</v>
      </c>
      <c r="EK177" s="73">
        <v>0</v>
      </c>
      <c r="EL177" s="73">
        <v>1548</v>
      </c>
      <c r="EM177" s="73">
        <v>856</v>
      </c>
      <c r="EN177" s="73">
        <v>3417</v>
      </c>
      <c r="EO177" s="73">
        <v>2140</v>
      </c>
      <c r="EP177" s="73">
        <v>613</v>
      </c>
      <c r="EQ177" s="73">
        <v>1736</v>
      </c>
      <c r="ER177" s="73">
        <v>480091</v>
      </c>
      <c r="ES177" s="73">
        <v>0</v>
      </c>
      <c r="ET177" s="73">
        <v>480091</v>
      </c>
      <c r="EU177" s="73">
        <v>22275</v>
      </c>
      <c r="EV177" s="73">
        <v>-4668</v>
      </c>
      <c r="EW177" s="73">
        <v>0</v>
      </c>
      <c r="EX177" s="73">
        <v>0</v>
      </c>
      <c r="EY177" s="73">
        <v>0</v>
      </c>
      <c r="EZ177" s="73">
        <v>497698</v>
      </c>
      <c r="FA177" s="73">
        <v>19920</v>
      </c>
      <c r="FB177" s="73">
        <v>12565</v>
      </c>
      <c r="FC177" s="73">
        <v>0</v>
      </c>
      <c r="FD177" s="73">
        <v>0</v>
      </c>
      <c r="FE177" s="73">
        <v>-3185</v>
      </c>
      <c r="FF177" s="73">
        <v>0</v>
      </c>
      <c r="FG177" s="73">
        <v>0</v>
      </c>
      <c r="FH177" s="73">
        <v>29300</v>
      </c>
      <c r="FI177" s="73">
        <v>468398</v>
      </c>
      <c r="FJ177" s="73">
        <v>460171</v>
      </c>
      <c r="FK177" s="73">
        <v>0</v>
      </c>
      <c r="FL177" s="73">
        <v>0</v>
      </c>
      <c r="FM177" s="73">
        <v>0</v>
      </c>
      <c r="FN177" s="73">
        <v>1504</v>
      </c>
      <c r="FO177" s="73">
        <v>1129</v>
      </c>
      <c r="FP177" s="73">
        <v>375</v>
      </c>
      <c r="FQ177" s="73">
        <v>1039</v>
      </c>
      <c r="FR177" s="73">
        <v>1214</v>
      </c>
      <c r="FS177" s="73">
        <v>-175</v>
      </c>
      <c r="FT177" s="73">
        <v>0</v>
      </c>
      <c r="FU177" s="73">
        <v>0</v>
      </c>
      <c r="FV177" s="73">
        <v>0</v>
      </c>
      <c r="FW177" s="73">
        <v>0</v>
      </c>
      <c r="FX177" s="73">
        <v>0</v>
      </c>
      <c r="FY177" s="73">
        <v>0</v>
      </c>
      <c r="FZ177" s="73">
        <v>0</v>
      </c>
      <c r="GA177" s="73">
        <v>0</v>
      </c>
      <c r="GB177" s="73">
        <v>0</v>
      </c>
      <c r="GC177" s="73">
        <v>2543</v>
      </c>
      <c r="GD177" s="73">
        <v>2343</v>
      </c>
      <c r="GE177" s="73">
        <v>200</v>
      </c>
      <c r="GF177" s="73">
        <v>9481</v>
      </c>
      <c r="GG177" s="73">
        <v>0</v>
      </c>
      <c r="GH177" s="73">
        <v>542</v>
      </c>
      <c r="GI177" s="73">
        <v>0</v>
      </c>
      <c r="GJ177" s="73">
        <v>0</v>
      </c>
      <c r="GK177" s="73">
        <v>0</v>
      </c>
      <c r="GL177" s="73">
        <v>10023</v>
      </c>
      <c r="GM177" s="73">
        <v>513</v>
      </c>
      <c r="GN177" s="73">
        <v>1110</v>
      </c>
      <c r="GO177" s="73">
        <v>5318</v>
      </c>
      <c r="GP177" s="73">
        <v>0</v>
      </c>
      <c r="GQ177" s="73">
        <v>0</v>
      </c>
      <c r="GR177" s="73">
        <v>2766</v>
      </c>
      <c r="GS177" s="73">
        <v>0</v>
      </c>
      <c r="GT177" s="73">
        <v>0</v>
      </c>
      <c r="GU177" s="73">
        <v>0</v>
      </c>
      <c r="GV177" s="73">
        <v>0</v>
      </c>
      <c r="GW177" s="73">
        <v>2563</v>
      </c>
      <c r="GX177" s="73">
        <v>12270</v>
      </c>
      <c r="GY177" s="73">
        <v>0</v>
      </c>
      <c r="GZ177" s="73">
        <v>1905</v>
      </c>
      <c r="HA177" s="73">
        <v>0</v>
      </c>
      <c r="HB177" s="73">
        <v>7745</v>
      </c>
      <c r="HC177" s="73">
        <v>9650</v>
      </c>
      <c r="HD177" s="73">
        <v>0</v>
      </c>
      <c r="HE177" s="73">
        <v>0</v>
      </c>
      <c r="HF177" s="73">
        <v>0</v>
      </c>
      <c r="HG177" s="73">
        <v>18308</v>
      </c>
      <c r="HH177" s="73">
        <v>0</v>
      </c>
      <c r="HI177" s="73">
        <v>0</v>
      </c>
      <c r="HJ177" s="73">
        <v>0</v>
      </c>
      <c r="HK177" s="73">
        <v>0</v>
      </c>
      <c r="HL177" s="73">
        <v>-423</v>
      </c>
      <c r="HM177" s="73">
        <v>17885</v>
      </c>
      <c r="HN177" s="73">
        <v>9556</v>
      </c>
      <c r="HO177" s="73">
        <v>12712</v>
      </c>
      <c r="HP177" s="73">
        <v>0</v>
      </c>
      <c r="HQ177" s="73">
        <v>0</v>
      </c>
      <c r="HR177" s="73">
        <v>-46</v>
      </c>
      <c r="HS177" s="73">
        <v>111</v>
      </c>
      <c r="HT177" s="73">
        <v>15407</v>
      </c>
      <c r="HU177" s="73">
        <v>0</v>
      </c>
      <c r="HV177" s="73">
        <v>0</v>
      </c>
      <c r="HW177" s="73">
        <v>0</v>
      </c>
      <c r="HX177" s="73">
        <v>0</v>
      </c>
    </row>
    <row r="178" spans="1:232" x14ac:dyDescent="0.2">
      <c r="A178" s="71" t="s">
        <v>539</v>
      </c>
      <c r="B178" s="71" t="s">
        <v>540</v>
      </c>
      <c r="C178" s="72" t="s">
        <v>200</v>
      </c>
      <c r="D178" s="72">
        <v>12</v>
      </c>
      <c r="E178" s="73">
        <v>12240</v>
      </c>
      <c r="F178" s="73">
        <v>0</v>
      </c>
      <c r="G178" s="73">
        <v>-8361</v>
      </c>
      <c r="H178" s="73">
        <v>3879</v>
      </c>
      <c r="I178" s="73">
        <v>-19</v>
      </c>
      <c r="J178" s="73">
        <v>0</v>
      </c>
      <c r="K178" s="73">
        <v>0</v>
      </c>
      <c r="L178" s="73">
        <v>0</v>
      </c>
      <c r="M178" s="73">
        <v>86</v>
      </c>
      <c r="N178" s="73">
        <v>-1916</v>
      </c>
      <c r="O178" s="73">
        <v>-441</v>
      </c>
      <c r="P178" s="73">
        <v>0</v>
      </c>
      <c r="Q178" s="73">
        <v>0</v>
      </c>
      <c r="R178" s="73">
        <v>0</v>
      </c>
      <c r="S178" s="73">
        <v>1589</v>
      </c>
      <c r="T178" s="73">
        <v>0</v>
      </c>
      <c r="U178" s="73">
        <v>1589</v>
      </c>
      <c r="V178" s="73">
        <v>168</v>
      </c>
      <c r="W178" s="73">
        <v>0</v>
      </c>
      <c r="X178" s="73">
        <v>0</v>
      </c>
      <c r="Y178" s="73">
        <v>0</v>
      </c>
      <c r="Z178" s="73">
        <v>1757</v>
      </c>
      <c r="AA178" s="73">
        <v>9885</v>
      </c>
      <c r="AB178" s="73">
        <v>944</v>
      </c>
      <c r="AC178" s="73">
        <v>10829</v>
      </c>
      <c r="AD178" s="73">
        <v>18</v>
      </c>
      <c r="AE178" s="73">
        <v>0</v>
      </c>
      <c r="AF178" s="73">
        <v>0</v>
      </c>
      <c r="AG178" s="73">
        <v>63</v>
      </c>
      <c r="AH178" s="73">
        <v>10910</v>
      </c>
      <c r="AI178" s="73">
        <v>2138</v>
      </c>
      <c r="AJ178" s="73">
        <v>1187</v>
      </c>
      <c r="AK178" s="73">
        <v>1667</v>
      </c>
      <c r="AL178" s="73">
        <v>496</v>
      </c>
      <c r="AM178" s="73">
        <v>675</v>
      </c>
      <c r="AN178" s="73">
        <v>43</v>
      </c>
      <c r="AO178" s="73">
        <v>1337</v>
      </c>
      <c r="AP178" s="73">
        <v>0</v>
      </c>
      <c r="AQ178" s="73">
        <v>382</v>
      </c>
      <c r="AR178" s="73">
        <v>7925</v>
      </c>
      <c r="AS178" s="73">
        <v>2985</v>
      </c>
      <c r="AT178" s="73">
        <v>230</v>
      </c>
      <c r="AU178" s="73">
        <v>75361</v>
      </c>
      <c r="AV178" s="73">
        <v>0</v>
      </c>
      <c r="AW178" s="73">
        <v>648</v>
      </c>
      <c r="AX178" s="73">
        <v>0</v>
      </c>
      <c r="AY178" s="73">
        <v>0</v>
      </c>
      <c r="AZ178" s="73">
        <v>559</v>
      </c>
      <c r="BA178" s="73">
        <v>0</v>
      </c>
      <c r="BB178" s="73">
        <v>0</v>
      </c>
      <c r="BC178" s="73">
        <v>0</v>
      </c>
      <c r="BD178" s="73">
        <v>0</v>
      </c>
      <c r="BE178" s="73">
        <v>76568</v>
      </c>
      <c r="BF178" s="73">
        <v>0</v>
      </c>
      <c r="BG178" s="73">
        <v>170</v>
      </c>
      <c r="BH178" s="73">
        <v>49</v>
      </c>
      <c r="BI178" s="73">
        <v>4074</v>
      </c>
      <c r="BJ178" s="73">
        <v>181</v>
      </c>
      <c r="BK178" s="73">
        <v>4474</v>
      </c>
      <c r="BL178" s="73">
        <v>0</v>
      </c>
      <c r="BM178" s="73">
        <v>0</v>
      </c>
      <c r="BN178" s="73">
        <v>18</v>
      </c>
      <c r="BO178" s="73">
        <v>2111</v>
      </c>
      <c r="BP178" s="73">
        <v>2129</v>
      </c>
      <c r="BQ178" s="73">
        <v>2345</v>
      </c>
      <c r="BR178" s="73">
        <v>78913</v>
      </c>
      <c r="BS178" s="73">
        <v>51630</v>
      </c>
      <c r="BT178" s="73">
        <v>0</v>
      </c>
      <c r="BU178" s="73">
        <v>0</v>
      </c>
      <c r="BV178" s="73">
        <v>1386</v>
      </c>
      <c r="BW178" s="73">
        <v>0</v>
      </c>
      <c r="BX178" s="73">
        <v>0</v>
      </c>
      <c r="BY178" s="73">
        <v>0</v>
      </c>
      <c r="BZ178" s="73">
        <v>53016</v>
      </c>
      <c r="CA178" s="73">
        <v>370</v>
      </c>
      <c r="CB178" s="73">
        <v>0</v>
      </c>
      <c r="CC178" s="73">
        <v>25527</v>
      </c>
      <c r="CD178" s="73">
        <v>-9464</v>
      </c>
      <c r="CE178" s="73">
        <v>34991</v>
      </c>
      <c r="CF178" s="73">
        <v>0</v>
      </c>
      <c r="CG178" s="73">
        <v>0</v>
      </c>
      <c r="CH178" s="73">
        <v>0</v>
      </c>
      <c r="CI178" s="73">
        <v>25527</v>
      </c>
      <c r="CJ178" s="73">
        <v>0</v>
      </c>
      <c r="CK178" s="73">
        <v>0</v>
      </c>
      <c r="CL178" s="73">
        <v>0</v>
      </c>
      <c r="CM178" s="73">
        <v>0</v>
      </c>
      <c r="CN178" s="73">
        <v>0</v>
      </c>
      <c r="CO178" s="73">
        <v>0</v>
      </c>
      <c r="CP178" s="73">
        <v>0</v>
      </c>
      <c r="CQ178" s="73">
        <v>0</v>
      </c>
      <c r="CR178" s="73">
        <v>0</v>
      </c>
      <c r="CS178" s="73">
        <v>0</v>
      </c>
      <c r="CT178" s="73">
        <v>0</v>
      </c>
      <c r="CU178" s="73">
        <v>0</v>
      </c>
      <c r="CV178" s="73">
        <v>0</v>
      </c>
      <c r="CW178" s="73">
        <v>0</v>
      </c>
      <c r="CX178" s="73">
        <v>0</v>
      </c>
      <c r="CY178" s="73">
        <v>0</v>
      </c>
      <c r="CZ178" s="73">
        <v>0</v>
      </c>
      <c r="DA178" s="73">
        <v>0</v>
      </c>
      <c r="DB178" s="73">
        <v>0</v>
      </c>
      <c r="DC178" s="73">
        <v>0</v>
      </c>
      <c r="DD178" s="73">
        <v>0</v>
      </c>
      <c r="DE178" s="73">
        <v>0</v>
      </c>
      <c r="DF178" s="73">
        <v>0</v>
      </c>
      <c r="DG178" s="73">
        <v>0</v>
      </c>
      <c r="DH178" s="73">
        <v>0</v>
      </c>
      <c r="DI178" s="73">
        <v>0</v>
      </c>
      <c r="DJ178" s="73">
        <v>0</v>
      </c>
      <c r="DK178" s="73">
        <v>0</v>
      </c>
      <c r="DL178" s="73">
        <v>0</v>
      </c>
      <c r="DM178" s="73">
        <v>0</v>
      </c>
      <c r="DN178" s="73">
        <v>0</v>
      </c>
      <c r="DO178" s="73">
        <v>0</v>
      </c>
      <c r="DP178" s="73">
        <v>0</v>
      </c>
      <c r="DQ178" s="73">
        <v>0</v>
      </c>
      <c r="DR178" s="73">
        <v>0</v>
      </c>
      <c r="DS178" s="73">
        <v>0</v>
      </c>
      <c r="DT178" s="73">
        <v>0</v>
      </c>
      <c r="DU178" s="73">
        <v>0</v>
      </c>
      <c r="DV178" s="73">
        <v>0</v>
      </c>
      <c r="DW178" s="73">
        <v>0</v>
      </c>
      <c r="DX178" s="73">
        <v>0</v>
      </c>
      <c r="DY178" s="73">
        <v>0</v>
      </c>
      <c r="DZ178" s="73">
        <v>0</v>
      </c>
      <c r="EA178" s="73">
        <v>0</v>
      </c>
      <c r="EB178" s="73">
        <v>1329</v>
      </c>
      <c r="EC178" s="73">
        <v>0</v>
      </c>
      <c r="ED178" s="73">
        <v>435</v>
      </c>
      <c r="EE178" s="73">
        <v>894</v>
      </c>
      <c r="EF178" s="73">
        <v>1329</v>
      </c>
      <c r="EG178" s="73">
        <v>0</v>
      </c>
      <c r="EH178" s="73">
        <v>435</v>
      </c>
      <c r="EI178" s="73">
        <v>894</v>
      </c>
      <c r="EJ178" s="73">
        <v>1329</v>
      </c>
      <c r="EK178" s="73">
        <v>0</v>
      </c>
      <c r="EL178" s="73">
        <v>435</v>
      </c>
      <c r="EM178" s="73">
        <v>894</v>
      </c>
      <c r="EN178" s="73">
        <v>304</v>
      </c>
      <c r="EO178" s="73">
        <v>161</v>
      </c>
      <c r="EP178" s="73">
        <v>211</v>
      </c>
      <c r="EQ178" s="73">
        <v>161</v>
      </c>
      <c r="ER178" s="73">
        <v>89703</v>
      </c>
      <c r="ES178" s="73">
        <v>0</v>
      </c>
      <c r="ET178" s="73">
        <v>89703</v>
      </c>
      <c r="EU178" s="73">
        <v>874</v>
      </c>
      <c r="EV178" s="73">
        <v>-127</v>
      </c>
      <c r="EW178" s="73">
        <v>0</v>
      </c>
      <c r="EX178" s="73">
        <v>0</v>
      </c>
      <c r="EY178" s="73">
        <v>0</v>
      </c>
      <c r="EZ178" s="73">
        <v>90450</v>
      </c>
      <c r="FA178" s="73">
        <v>13843</v>
      </c>
      <c r="FB178" s="73">
        <v>1318</v>
      </c>
      <c r="FC178" s="73">
        <v>0</v>
      </c>
      <c r="FD178" s="73">
        <v>0</v>
      </c>
      <c r="FE178" s="73">
        <v>-72</v>
      </c>
      <c r="FF178" s="73">
        <v>0</v>
      </c>
      <c r="FG178" s="73">
        <v>0</v>
      </c>
      <c r="FH178" s="73">
        <v>15089</v>
      </c>
      <c r="FI178" s="73">
        <v>75361</v>
      </c>
      <c r="FJ178" s="73">
        <v>75860</v>
      </c>
      <c r="FK178" s="73">
        <v>0</v>
      </c>
      <c r="FL178" s="73">
        <v>0</v>
      </c>
      <c r="FM178" s="73">
        <v>0</v>
      </c>
      <c r="FN178" s="73">
        <v>29</v>
      </c>
      <c r="FO178" s="73">
        <v>48</v>
      </c>
      <c r="FP178" s="73">
        <v>-19</v>
      </c>
      <c r="FQ178" s="73">
        <v>0</v>
      </c>
      <c r="FR178" s="73">
        <v>0</v>
      </c>
      <c r="FS178" s="73">
        <v>0</v>
      </c>
      <c r="FT178" s="73">
        <v>0</v>
      </c>
      <c r="FU178" s="73">
        <v>0</v>
      </c>
      <c r="FV178" s="73">
        <v>0</v>
      </c>
      <c r="FW178" s="73">
        <v>0</v>
      </c>
      <c r="FX178" s="73">
        <v>0</v>
      </c>
      <c r="FY178" s="73">
        <v>0</v>
      </c>
      <c r="FZ178" s="73">
        <v>0</v>
      </c>
      <c r="GA178" s="73">
        <v>0</v>
      </c>
      <c r="GB178" s="73">
        <v>0</v>
      </c>
      <c r="GC178" s="73">
        <v>29</v>
      </c>
      <c r="GD178" s="73">
        <v>48</v>
      </c>
      <c r="GE178" s="73">
        <v>-19</v>
      </c>
      <c r="GF178" s="73">
        <v>66</v>
      </c>
      <c r="GG178" s="73">
        <v>0</v>
      </c>
      <c r="GH178" s="73">
        <v>0</v>
      </c>
      <c r="GI178" s="73">
        <v>0</v>
      </c>
      <c r="GJ178" s="73">
        <v>0</v>
      </c>
      <c r="GK178" s="73">
        <v>115</v>
      </c>
      <c r="GL178" s="73">
        <v>181</v>
      </c>
      <c r="GM178" s="73">
        <v>114</v>
      </c>
      <c r="GN178" s="73">
        <v>325</v>
      </c>
      <c r="GO178" s="73">
        <v>95</v>
      </c>
      <c r="GP178" s="73">
        <v>8</v>
      </c>
      <c r="GQ178" s="73">
        <v>0</v>
      </c>
      <c r="GR178" s="73">
        <v>1194</v>
      </c>
      <c r="GS178" s="73">
        <v>0</v>
      </c>
      <c r="GT178" s="73">
        <v>0</v>
      </c>
      <c r="GU178" s="73">
        <v>62</v>
      </c>
      <c r="GV178" s="73">
        <v>0</v>
      </c>
      <c r="GW178" s="73">
        <v>313</v>
      </c>
      <c r="GX178" s="73">
        <v>2111</v>
      </c>
      <c r="GY178" s="73">
        <v>0</v>
      </c>
      <c r="GZ178" s="73">
        <v>0</v>
      </c>
      <c r="HA178" s="73">
        <v>0</v>
      </c>
      <c r="HB178" s="73">
        <v>0</v>
      </c>
      <c r="HC178" s="73">
        <v>0</v>
      </c>
      <c r="HD178" s="73">
        <v>0</v>
      </c>
      <c r="HE178" s="73">
        <v>0</v>
      </c>
      <c r="HF178" s="73">
        <v>0</v>
      </c>
      <c r="HG178" s="73">
        <v>2158</v>
      </c>
      <c r="HH178" s="73">
        <v>5</v>
      </c>
      <c r="HI178" s="73">
        <v>13</v>
      </c>
      <c r="HJ178" s="73">
        <v>0</v>
      </c>
      <c r="HK178" s="73">
        <v>-260</v>
      </c>
      <c r="HL178" s="73">
        <v>0</v>
      </c>
      <c r="HM178" s="73">
        <v>1916</v>
      </c>
      <c r="HN178" s="73">
        <v>852</v>
      </c>
      <c r="HO178" s="73">
        <v>1413</v>
      </c>
      <c r="HP178" s="73">
        <v>0</v>
      </c>
      <c r="HQ178" s="73">
        <v>0</v>
      </c>
      <c r="HR178" s="73">
        <v>0</v>
      </c>
      <c r="HS178" s="73">
        <v>2</v>
      </c>
      <c r="HT178" s="73">
        <v>2224</v>
      </c>
      <c r="HU178" s="73">
        <v>0</v>
      </c>
      <c r="HV178" s="73">
        <v>0</v>
      </c>
      <c r="HW178" s="73">
        <v>0</v>
      </c>
      <c r="HX178" s="73">
        <v>0</v>
      </c>
    </row>
    <row r="179" spans="1:232" x14ac:dyDescent="0.2">
      <c r="A179" s="74" t="s">
        <v>541</v>
      </c>
      <c r="B179" s="74" t="s">
        <v>542</v>
      </c>
      <c r="C179" s="75" t="s">
        <v>200</v>
      </c>
      <c r="D179" s="75">
        <v>12</v>
      </c>
      <c r="E179" s="76">
        <v>40461</v>
      </c>
      <c r="F179" s="76">
        <v>-3881</v>
      </c>
      <c r="G179" s="76">
        <v>-19045</v>
      </c>
      <c r="H179" s="76">
        <v>17535</v>
      </c>
      <c r="I179" s="76">
        <v>746</v>
      </c>
      <c r="J179" s="76">
        <v>0</v>
      </c>
      <c r="K179" s="76">
        <v>0</v>
      </c>
      <c r="L179" s="76">
        <v>0</v>
      </c>
      <c r="M179" s="76">
        <v>42</v>
      </c>
      <c r="N179" s="76">
        <v>-9033</v>
      </c>
      <c r="O179" s="76">
        <v>0</v>
      </c>
      <c r="P179" s="76">
        <v>0</v>
      </c>
      <c r="Q179" s="76">
        <v>0</v>
      </c>
      <c r="R179" s="76">
        <v>0</v>
      </c>
      <c r="S179" s="76">
        <v>9290</v>
      </c>
      <c r="T179" s="76">
        <v>0</v>
      </c>
      <c r="U179" s="76">
        <v>9290</v>
      </c>
      <c r="V179" s="76">
        <v>0</v>
      </c>
      <c r="W179" s="76">
        <v>-753</v>
      </c>
      <c r="X179" s="76">
        <v>0</v>
      </c>
      <c r="Y179" s="76">
        <v>0</v>
      </c>
      <c r="Z179" s="76">
        <v>8537</v>
      </c>
      <c r="AA179" s="76">
        <v>32443</v>
      </c>
      <c r="AB179" s="76">
        <v>1640</v>
      </c>
      <c r="AC179" s="76">
        <v>34083</v>
      </c>
      <c r="AD179" s="76">
        <v>1118</v>
      </c>
      <c r="AE179" s="76">
        <v>0</v>
      </c>
      <c r="AF179" s="76">
        <v>0</v>
      </c>
      <c r="AG179" s="76">
        <v>0</v>
      </c>
      <c r="AH179" s="76">
        <v>35201</v>
      </c>
      <c r="AI179" s="76">
        <v>3490</v>
      </c>
      <c r="AJ179" s="76">
        <v>2058</v>
      </c>
      <c r="AK179" s="76">
        <v>4436</v>
      </c>
      <c r="AL179" s="76">
        <v>1155</v>
      </c>
      <c r="AM179" s="76">
        <v>1740</v>
      </c>
      <c r="AN179" s="76">
        <v>57</v>
      </c>
      <c r="AO179" s="76">
        <v>5232</v>
      </c>
      <c r="AP179" s="76">
        <v>0</v>
      </c>
      <c r="AQ179" s="76">
        <v>70</v>
      </c>
      <c r="AR179" s="76">
        <v>18238</v>
      </c>
      <c r="AS179" s="76">
        <v>16963</v>
      </c>
      <c r="AT179" s="76">
        <v>446</v>
      </c>
      <c r="AU179" s="76">
        <v>370288</v>
      </c>
      <c r="AV179" s="76">
        <v>0</v>
      </c>
      <c r="AW179" s="76">
        <v>16</v>
      </c>
      <c r="AX179" s="76">
        <v>0</v>
      </c>
      <c r="AY179" s="76">
        <v>0</v>
      </c>
      <c r="AZ179" s="76">
        <v>0</v>
      </c>
      <c r="BA179" s="76">
        <v>0</v>
      </c>
      <c r="BB179" s="76">
        <v>0</v>
      </c>
      <c r="BC179" s="76">
        <v>0</v>
      </c>
      <c r="BD179" s="76">
        <v>57</v>
      </c>
      <c r="BE179" s="76">
        <v>370361</v>
      </c>
      <c r="BF179" s="76">
        <v>3076</v>
      </c>
      <c r="BG179" s="76">
        <v>507</v>
      </c>
      <c r="BH179" s="76">
        <v>6294</v>
      </c>
      <c r="BI179" s="76">
        <v>0</v>
      </c>
      <c r="BJ179" s="76">
        <v>6101</v>
      </c>
      <c r="BK179" s="76">
        <v>15978</v>
      </c>
      <c r="BL179" s="76">
        <v>4442</v>
      </c>
      <c r="BM179" s="76">
        <v>0</v>
      </c>
      <c r="BN179" s="76">
        <v>1030</v>
      </c>
      <c r="BO179" s="76">
        <v>8356</v>
      </c>
      <c r="BP179" s="76">
        <v>13828</v>
      </c>
      <c r="BQ179" s="76">
        <v>2150</v>
      </c>
      <c r="BR179" s="76">
        <v>372511</v>
      </c>
      <c r="BS179" s="76">
        <v>204774</v>
      </c>
      <c r="BT179" s="76">
        <v>0</v>
      </c>
      <c r="BU179" s="76">
        <v>0</v>
      </c>
      <c r="BV179" s="76">
        <v>100852</v>
      </c>
      <c r="BW179" s="76">
        <v>0</v>
      </c>
      <c r="BX179" s="76">
        <v>0</v>
      </c>
      <c r="BY179" s="76">
        <v>332</v>
      </c>
      <c r="BZ179" s="76">
        <v>305958</v>
      </c>
      <c r="CA179" s="76">
        <v>11922</v>
      </c>
      <c r="CB179" s="76">
        <v>0</v>
      </c>
      <c r="CC179" s="76">
        <v>54631</v>
      </c>
      <c r="CD179" s="76">
        <v>54631</v>
      </c>
      <c r="CE179" s="76">
        <v>0</v>
      </c>
      <c r="CF179" s="76">
        <v>0</v>
      </c>
      <c r="CG179" s="76">
        <v>0</v>
      </c>
      <c r="CH179" s="76">
        <v>0</v>
      </c>
      <c r="CI179" s="76">
        <v>54631</v>
      </c>
      <c r="CJ179" s="76">
        <v>3940</v>
      </c>
      <c r="CK179" s="76">
        <v>3881</v>
      </c>
      <c r="CL179" s="76">
        <v>0</v>
      </c>
      <c r="CM179" s="76">
        <v>59</v>
      </c>
      <c r="CN179" s="76">
        <v>0</v>
      </c>
      <c r="CO179" s="76">
        <v>0</v>
      </c>
      <c r="CP179" s="76">
        <v>0</v>
      </c>
      <c r="CQ179" s="76">
        <v>0</v>
      </c>
      <c r="CR179" s="76">
        <v>317</v>
      </c>
      <c r="CS179" s="76">
        <v>0</v>
      </c>
      <c r="CT179" s="76">
        <v>463</v>
      </c>
      <c r="CU179" s="76">
        <v>-146</v>
      </c>
      <c r="CV179" s="76">
        <v>0</v>
      </c>
      <c r="CW179" s="76">
        <v>0</v>
      </c>
      <c r="CX179" s="76">
        <v>0</v>
      </c>
      <c r="CY179" s="76">
        <v>0</v>
      </c>
      <c r="CZ179" s="76">
        <v>1003</v>
      </c>
      <c r="DA179" s="76">
        <v>0</v>
      </c>
      <c r="DB179" s="76">
        <v>344</v>
      </c>
      <c r="DC179" s="76">
        <v>659</v>
      </c>
      <c r="DD179" s="76">
        <v>5260</v>
      </c>
      <c r="DE179" s="76">
        <v>3881</v>
      </c>
      <c r="DF179" s="76">
        <v>807</v>
      </c>
      <c r="DG179" s="76">
        <v>572</v>
      </c>
      <c r="DH179" s="76">
        <v>0</v>
      </c>
      <c r="DI179" s="76">
        <v>0</v>
      </c>
      <c r="DJ179" s="76">
        <v>0</v>
      </c>
      <c r="DK179" s="76">
        <v>0</v>
      </c>
      <c r="DL179" s="76">
        <v>0</v>
      </c>
      <c r="DM179" s="76">
        <v>0</v>
      </c>
      <c r="DN179" s="76">
        <v>0</v>
      </c>
      <c r="DO179" s="76">
        <v>0</v>
      </c>
      <c r="DP179" s="76">
        <v>0</v>
      </c>
      <c r="DQ179" s="76">
        <v>0</v>
      </c>
      <c r="DR179" s="76">
        <v>0</v>
      </c>
      <c r="DS179" s="76">
        <v>0</v>
      </c>
      <c r="DT179" s="76">
        <v>0</v>
      </c>
      <c r="DU179" s="76">
        <v>0</v>
      </c>
      <c r="DV179" s="76">
        <v>0</v>
      </c>
      <c r="DW179" s="76">
        <v>0</v>
      </c>
      <c r="DX179" s="76">
        <v>0</v>
      </c>
      <c r="DY179" s="76">
        <v>0</v>
      </c>
      <c r="DZ179" s="76">
        <v>0</v>
      </c>
      <c r="EA179" s="76">
        <v>0</v>
      </c>
      <c r="EB179" s="76">
        <v>0</v>
      </c>
      <c r="EC179" s="76">
        <v>0</v>
      </c>
      <c r="ED179" s="76">
        <v>0</v>
      </c>
      <c r="EE179" s="76">
        <v>0</v>
      </c>
      <c r="EF179" s="76">
        <v>0</v>
      </c>
      <c r="EG179" s="76">
        <v>0</v>
      </c>
      <c r="EH179" s="76">
        <v>0</v>
      </c>
      <c r="EI179" s="76">
        <v>0</v>
      </c>
      <c r="EJ179" s="76">
        <v>5260</v>
      </c>
      <c r="EK179" s="76">
        <v>3881</v>
      </c>
      <c r="EL179" s="76">
        <v>807</v>
      </c>
      <c r="EM179" s="76">
        <v>572</v>
      </c>
      <c r="EN179" s="76">
        <v>843</v>
      </c>
      <c r="EO179" s="76">
        <v>350</v>
      </c>
      <c r="EP179" s="76">
        <v>336</v>
      </c>
      <c r="EQ179" s="76">
        <v>350</v>
      </c>
      <c r="ER179" s="76">
        <v>374761</v>
      </c>
      <c r="ES179" s="76">
        <v>0</v>
      </c>
      <c r="ET179" s="76">
        <v>374761</v>
      </c>
      <c r="EU179" s="76">
        <v>44586</v>
      </c>
      <c r="EV179" s="76">
        <v>-862</v>
      </c>
      <c r="EW179" s="76">
        <v>0</v>
      </c>
      <c r="EX179" s="76">
        <v>0</v>
      </c>
      <c r="EY179" s="76">
        <v>-4191</v>
      </c>
      <c r="EZ179" s="76">
        <v>414294</v>
      </c>
      <c r="FA179" s="76">
        <v>39088</v>
      </c>
      <c r="FB179" s="76">
        <v>5232</v>
      </c>
      <c r="FC179" s="76">
        <v>0</v>
      </c>
      <c r="FD179" s="76">
        <v>0</v>
      </c>
      <c r="FE179" s="76">
        <v>-314</v>
      </c>
      <c r="FF179" s="76">
        <v>0</v>
      </c>
      <c r="FG179" s="76">
        <v>0</v>
      </c>
      <c r="FH179" s="76">
        <v>44006</v>
      </c>
      <c r="FI179" s="76">
        <v>370288</v>
      </c>
      <c r="FJ179" s="76">
        <v>335673</v>
      </c>
      <c r="FK179" s="76">
        <v>384</v>
      </c>
      <c r="FL179" s="76">
        <v>451</v>
      </c>
      <c r="FM179" s="76">
        <v>-67</v>
      </c>
      <c r="FN179" s="76">
        <v>499</v>
      </c>
      <c r="FO179" s="76">
        <v>220</v>
      </c>
      <c r="FP179" s="76">
        <v>279</v>
      </c>
      <c r="FQ179" s="76">
        <v>0</v>
      </c>
      <c r="FR179" s="76">
        <v>0</v>
      </c>
      <c r="FS179" s="76">
        <v>0</v>
      </c>
      <c r="FT179" s="76">
        <v>675</v>
      </c>
      <c r="FU179" s="76">
        <v>141</v>
      </c>
      <c r="FV179" s="76">
        <v>534</v>
      </c>
      <c r="FW179" s="76">
        <v>0</v>
      </c>
      <c r="FX179" s="76">
        <v>0</v>
      </c>
      <c r="FY179" s="76">
        <v>0</v>
      </c>
      <c r="FZ179" s="76">
        <v>0</v>
      </c>
      <c r="GA179" s="76">
        <v>0</v>
      </c>
      <c r="GB179" s="76">
        <v>0</v>
      </c>
      <c r="GC179" s="76">
        <v>1558</v>
      </c>
      <c r="GD179" s="76">
        <v>812</v>
      </c>
      <c r="GE179" s="76">
        <v>746</v>
      </c>
      <c r="GF179" s="76">
        <v>1708</v>
      </c>
      <c r="GG179" s="76">
        <v>0</v>
      </c>
      <c r="GH179" s="76">
        <v>3824</v>
      </c>
      <c r="GI179" s="76">
        <v>0</v>
      </c>
      <c r="GJ179" s="76">
        <v>0</v>
      </c>
      <c r="GK179" s="76">
        <v>569</v>
      </c>
      <c r="GL179" s="76">
        <v>6101</v>
      </c>
      <c r="GM179" s="76">
        <v>859</v>
      </c>
      <c r="GN179" s="76">
        <v>1517</v>
      </c>
      <c r="GO179" s="76">
        <v>4022</v>
      </c>
      <c r="GP179" s="76">
        <v>34</v>
      </c>
      <c r="GQ179" s="76">
        <v>0</v>
      </c>
      <c r="GR179" s="76">
        <v>1230</v>
      </c>
      <c r="GS179" s="76">
        <v>0</v>
      </c>
      <c r="GT179" s="76">
        <v>0</v>
      </c>
      <c r="GU179" s="76">
        <v>22</v>
      </c>
      <c r="GV179" s="76">
        <v>0</v>
      </c>
      <c r="GW179" s="76">
        <v>672</v>
      </c>
      <c r="GX179" s="76">
        <v>8356</v>
      </c>
      <c r="GY179" s="76">
        <v>190</v>
      </c>
      <c r="GZ179" s="76">
        <v>0</v>
      </c>
      <c r="HA179" s="76">
        <v>142</v>
      </c>
      <c r="HB179" s="76">
        <v>0</v>
      </c>
      <c r="HC179" s="76">
        <v>332</v>
      </c>
      <c r="HD179" s="76">
        <v>0</v>
      </c>
      <c r="HE179" s="76">
        <v>0</v>
      </c>
      <c r="HF179" s="76">
        <v>0</v>
      </c>
      <c r="HG179" s="76">
        <v>9487</v>
      </c>
      <c r="HH179" s="76">
        <v>0</v>
      </c>
      <c r="HI179" s="76">
        <v>386</v>
      </c>
      <c r="HJ179" s="76">
        <v>0</v>
      </c>
      <c r="HK179" s="76">
        <v>0</v>
      </c>
      <c r="HL179" s="76">
        <v>-840</v>
      </c>
      <c r="HM179" s="76">
        <v>9033</v>
      </c>
      <c r="HN179" s="76">
        <v>1245</v>
      </c>
      <c r="HO179" s="76">
        <v>5246</v>
      </c>
      <c r="HP179" s="76">
        <v>0</v>
      </c>
      <c r="HQ179" s="76">
        <v>374</v>
      </c>
      <c r="HR179" s="76">
        <v>-21</v>
      </c>
      <c r="HS179" s="76">
        <v>19</v>
      </c>
      <c r="HT179" s="76">
        <v>8157</v>
      </c>
      <c r="HU179" s="76">
        <v>0</v>
      </c>
      <c r="HV179" s="76">
        <v>0</v>
      </c>
      <c r="HW179" s="76">
        <v>7</v>
      </c>
      <c r="HX179" s="76">
        <v>15</v>
      </c>
    </row>
    <row r="180" spans="1:232" x14ac:dyDescent="0.2">
      <c r="A180" s="71" t="s">
        <v>543</v>
      </c>
      <c r="B180" s="71" t="s">
        <v>544</v>
      </c>
      <c r="C180" s="72" t="s">
        <v>200</v>
      </c>
      <c r="D180" s="72">
        <v>12</v>
      </c>
      <c r="E180" s="73">
        <v>30556</v>
      </c>
      <c r="F180" s="73">
        <v>-813</v>
      </c>
      <c r="G180" s="73">
        <v>-20872</v>
      </c>
      <c r="H180" s="73">
        <v>8871</v>
      </c>
      <c r="I180" s="73">
        <v>-58</v>
      </c>
      <c r="J180" s="73">
        <v>0</v>
      </c>
      <c r="K180" s="73">
        <v>0</v>
      </c>
      <c r="L180" s="73">
        <v>0</v>
      </c>
      <c r="M180" s="73">
        <v>574</v>
      </c>
      <c r="N180" s="73">
        <v>-5382</v>
      </c>
      <c r="O180" s="73">
        <v>0</v>
      </c>
      <c r="P180" s="73">
        <v>0</v>
      </c>
      <c r="Q180" s="73">
        <v>0</v>
      </c>
      <c r="R180" s="73">
        <v>0</v>
      </c>
      <c r="S180" s="73">
        <v>4005</v>
      </c>
      <c r="T180" s="73">
        <v>0</v>
      </c>
      <c r="U180" s="73">
        <v>4005</v>
      </c>
      <c r="V180" s="73">
        <v>1287</v>
      </c>
      <c r="W180" s="73">
        <v>-350</v>
      </c>
      <c r="X180" s="73">
        <v>0</v>
      </c>
      <c r="Y180" s="73">
        <v>0</v>
      </c>
      <c r="Z180" s="73">
        <v>4942</v>
      </c>
      <c r="AA180" s="73">
        <v>23607</v>
      </c>
      <c r="AB180" s="73">
        <v>2796</v>
      </c>
      <c r="AC180" s="73">
        <v>26403</v>
      </c>
      <c r="AD180" s="73">
        <v>82</v>
      </c>
      <c r="AE180" s="73">
        <v>0</v>
      </c>
      <c r="AF180" s="73">
        <v>0</v>
      </c>
      <c r="AG180" s="73">
        <v>444</v>
      </c>
      <c r="AH180" s="73">
        <v>26929</v>
      </c>
      <c r="AI180" s="73">
        <v>5268</v>
      </c>
      <c r="AJ180" s="73">
        <v>2815</v>
      </c>
      <c r="AK180" s="73">
        <v>3851</v>
      </c>
      <c r="AL180" s="73">
        <v>899</v>
      </c>
      <c r="AM180" s="73">
        <v>1021</v>
      </c>
      <c r="AN180" s="73">
        <v>-13</v>
      </c>
      <c r="AO180" s="73">
        <v>3751</v>
      </c>
      <c r="AP180" s="73">
        <v>194</v>
      </c>
      <c r="AQ180" s="73">
        <v>1908</v>
      </c>
      <c r="AR180" s="73">
        <v>19694</v>
      </c>
      <c r="AS180" s="73">
        <v>7235</v>
      </c>
      <c r="AT180" s="73">
        <v>898</v>
      </c>
      <c r="AU180" s="73">
        <v>257793</v>
      </c>
      <c r="AV180" s="73">
        <v>0</v>
      </c>
      <c r="AW180" s="73">
        <v>873</v>
      </c>
      <c r="AX180" s="73">
        <v>0</v>
      </c>
      <c r="AY180" s="73">
        <v>0</v>
      </c>
      <c r="AZ180" s="73">
        <v>713</v>
      </c>
      <c r="BA180" s="73">
        <v>0</v>
      </c>
      <c r="BB180" s="73">
        <v>0</v>
      </c>
      <c r="BC180" s="73">
        <v>0</v>
      </c>
      <c r="BD180" s="73">
        <v>0</v>
      </c>
      <c r="BE180" s="73">
        <v>259379</v>
      </c>
      <c r="BF180" s="73">
        <v>537</v>
      </c>
      <c r="BG180" s="73">
        <v>1139</v>
      </c>
      <c r="BH180" s="73">
        <v>954</v>
      </c>
      <c r="BI180" s="73">
        <v>969</v>
      </c>
      <c r="BJ180" s="73">
        <v>8234</v>
      </c>
      <c r="BK180" s="73">
        <v>11833</v>
      </c>
      <c r="BL180" s="73">
        <v>3679</v>
      </c>
      <c r="BM180" s="73">
        <v>0</v>
      </c>
      <c r="BN180" s="73">
        <v>85</v>
      </c>
      <c r="BO180" s="73">
        <v>9886</v>
      </c>
      <c r="BP180" s="73">
        <v>13650</v>
      </c>
      <c r="BQ180" s="73">
        <v>-1817</v>
      </c>
      <c r="BR180" s="73">
        <v>257562</v>
      </c>
      <c r="BS180" s="73">
        <v>108523</v>
      </c>
      <c r="BT180" s="73">
        <v>0</v>
      </c>
      <c r="BU180" s="73">
        <v>0</v>
      </c>
      <c r="BV180" s="73">
        <v>6706</v>
      </c>
      <c r="BW180" s="73">
        <v>0</v>
      </c>
      <c r="BX180" s="73">
        <v>0</v>
      </c>
      <c r="BY180" s="73">
        <v>0</v>
      </c>
      <c r="BZ180" s="73">
        <v>115229</v>
      </c>
      <c r="CA180" s="73">
        <v>2151</v>
      </c>
      <c r="CB180" s="73">
        <v>0</v>
      </c>
      <c r="CC180" s="73">
        <v>140182</v>
      </c>
      <c r="CD180" s="73">
        <v>25980</v>
      </c>
      <c r="CE180" s="73">
        <v>114202</v>
      </c>
      <c r="CF180" s="73">
        <v>0</v>
      </c>
      <c r="CG180" s="73">
        <v>0</v>
      </c>
      <c r="CH180" s="73">
        <v>0</v>
      </c>
      <c r="CI180" s="73">
        <v>140182</v>
      </c>
      <c r="CJ180" s="73">
        <v>1131</v>
      </c>
      <c r="CK180" s="73">
        <v>813</v>
      </c>
      <c r="CL180" s="73">
        <v>0</v>
      </c>
      <c r="CM180" s="73">
        <v>318</v>
      </c>
      <c r="CN180" s="73">
        <v>0</v>
      </c>
      <c r="CO180" s="73">
        <v>0</v>
      </c>
      <c r="CP180" s="73">
        <v>0</v>
      </c>
      <c r="CQ180" s="73">
        <v>0</v>
      </c>
      <c r="CR180" s="73">
        <v>0</v>
      </c>
      <c r="CS180" s="73">
        <v>0</v>
      </c>
      <c r="CT180" s="73">
        <v>0</v>
      </c>
      <c r="CU180" s="73">
        <v>0</v>
      </c>
      <c r="CV180" s="73">
        <v>0</v>
      </c>
      <c r="CW180" s="73">
        <v>0</v>
      </c>
      <c r="CX180" s="73">
        <v>0</v>
      </c>
      <c r="CY180" s="73">
        <v>0</v>
      </c>
      <c r="CZ180" s="73">
        <v>0</v>
      </c>
      <c r="DA180" s="73">
        <v>0</v>
      </c>
      <c r="DB180" s="73">
        <v>0</v>
      </c>
      <c r="DC180" s="73">
        <v>0</v>
      </c>
      <c r="DD180" s="73">
        <v>1131</v>
      </c>
      <c r="DE180" s="73">
        <v>813</v>
      </c>
      <c r="DF180" s="73">
        <v>0</v>
      </c>
      <c r="DG180" s="73">
        <v>318</v>
      </c>
      <c r="DH180" s="73">
        <v>0</v>
      </c>
      <c r="DI180" s="73">
        <v>0</v>
      </c>
      <c r="DJ180" s="73">
        <v>0</v>
      </c>
      <c r="DK180" s="73">
        <v>0</v>
      </c>
      <c r="DL180" s="73">
        <v>0</v>
      </c>
      <c r="DM180" s="73">
        <v>0</v>
      </c>
      <c r="DN180" s="73">
        <v>0</v>
      </c>
      <c r="DO180" s="73">
        <v>0</v>
      </c>
      <c r="DP180" s="73">
        <v>0</v>
      </c>
      <c r="DQ180" s="73">
        <v>0</v>
      </c>
      <c r="DR180" s="73">
        <v>0</v>
      </c>
      <c r="DS180" s="73">
        <v>0</v>
      </c>
      <c r="DT180" s="73">
        <v>14</v>
      </c>
      <c r="DU180" s="73">
        <v>0</v>
      </c>
      <c r="DV180" s="73">
        <v>6</v>
      </c>
      <c r="DW180" s="73">
        <v>8</v>
      </c>
      <c r="DX180" s="73">
        <v>0</v>
      </c>
      <c r="DY180" s="73">
        <v>0</v>
      </c>
      <c r="DZ180" s="73">
        <v>0</v>
      </c>
      <c r="EA180" s="73">
        <v>0</v>
      </c>
      <c r="EB180" s="73">
        <v>2482</v>
      </c>
      <c r="EC180" s="73">
        <v>0</v>
      </c>
      <c r="ED180" s="73">
        <v>1172</v>
      </c>
      <c r="EE180" s="73">
        <v>1310</v>
      </c>
      <c r="EF180" s="73">
        <v>2496</v>
      </c>
      <c r="EG180" s="73">
        <v>0</v>
      </c>
      <c r="EH180" s="73">
        <v>1178</v>
      </c>
      <c r="EI180" s="73">
        <v>1318</v>
      </c>
      <c r="EJ180" s="73">
        <v>3627</v>
      </c>
      <c r="EK180" s="73">
        <v>813</v>
      </c>
      <c r="EL180" s="73">
        <v>1178</v>
      </c>
      <c r="EM180" s="73">
        <v>1636</v>
      </c>
      <c r="EN180" s="73">
        <v>817</v>
      </c>
      <c r="EO180" s="73">
        <v>517</v>
      </c>
      <c r="EP180" s="73">
        <v>359</v>
      </c>
      <c r="EQ180" s="73">
        <v>517</v>
      </c>
      <c r="ER180" s="73">
        <v>307839</v>
      </c>
      <c r="ES180" s="73">
        <v>0</v>
      </c>
      <c r="ET180" s="73">
        <v>307839</v>
      </c>
      <c r="EU180" s="73">
        <v>5292</v>
      </c>
      <c r="EV180" s="73">
        <v>-852</v>
      </c>
      <c r="EW180" s="73">
        <v>0</v>
      </c>
      <c r="EX180" s="73">
        <v>0</v>
      </c>
      <c r="EY180" s="73">
        <v>-1012</v>
      </c>
      <c r="EZ180" s="73">
        <v>311267</v>
      </c>
      <c r="FA180" s="73">
        <v>49934</v>
      </c>
      <c r="FB180" s="73">
        <v>3761</v>
      </c>
      <c r="FC180" s="73">
        <v>194</v>
      </c>
      <c r="FD180" s="73">
        <v>0</v>
      </c>
      <c r="FE180" s="73">
        <v>-414</v>
      </c>
      <c r="FF180" s="73">
        <v>0</v>
      </c>
      <c r="FG180" s="73">
        <v>0</v>
      </c>
      <c r="FH180" s="73">
        <v>53475</v>
      </c>
      <c r="FI180" s="73">
        <v>257792</v>
      </c>
      <c r="FJ180" s="73">
        <v>257905</v>
      </c>
      <c r="FK180" s="73">
        <v>0</v>
      </c>
      <c r="FL180" s="73">
        <v>0</v>
      </c>
      <c r="FM180" s="73">
        <v>0</v>
      </c>
      <c r="FN180" s="73">
        <v>187</v>
      </c>
      <c r="FO180" s="73">
        <v>233</v>
      </c>
      <c r="FP180" s="73">
        <v>-46</v>
      </c>
      <c r="FQ180" s="73">
        <v>0</v>
      </c>
      <c r="FR180" s="73">
        <v>0</v>
      </c>
      <c r="FS180" s="73">
        <v>0</v>
      </c>
      <c r="FT180" s="73">
        <v>70</v>
      </c>
      <c r="FU180" s="73">
        <v>83</v>
      </c>
      <c r="FV180" s="73">
        <v>-13</v>
      </c>
      <c r="FW180" s="73">
        <v>0</v>
      </c>
      <c r="FX180" s="73">
        <v>0</v>
      </c>
      <c r="FY180" s="73">
        <v>0</v>
      </c>
      <c r="FZ180" s="73">
        <v>0</v>
      </c>
      <c r="GA180" s="73">
        <v>0</v>
      </c>
      <c r="GB180" s="73">
        <v>0</v>
      </c>
      <c r="GC180" s="73">
        <v>257</v>
      </c>
      <c r="GD180" s="73">
        <v>316</v>
      </c>
      <c r="GE180" s="73">
        <v>-59</v>
      </c>
      <c r="GF180" s="73">
        <v>0</v>
      </c>
      <c r="GG180" s="73">
        <v>0</v>
      </c>
      <c r="GH180" s="73">
        <v>0</v>
      </c>
      <c r="GI180" s="73">
        <v>0</v>
      </c>
      <c r="GJ180" s="73">
        <v>0</v>
      </c>
      <c r="GK180" s="73">
        <v>8234</v>
      </c>
      <c r="GL180" s="73">
        <v>8234</v>
      </c>
      <c r="GM180" s="73">
        <v>559</v>
      </c>
      <c r="GN180" s="73">
        <v>504</v>
      </c>
      <c r="GO180" s="73">
        <v>6999</v>
      </c>
      <c r="GP180" s="73">
        <v>0</v>
      </c>
      <c r="GQ180" s="73">
        <v>19</v>
      </c>
      <c r="GR180" s="73">
        <v>1565</v>
      </c>
      <c r="GS180" s="73">
        <v>0</v>
      </c>
      <c r="GT180" s="73">
        <v>0</v>
      </c>
      <c r="GU180" s="73">
        <v>27</v>
      </c>
      <c r="GV180" s="73">
        <v>0</v>
      </c>
      <c r="GW180" s="73">
        <v>213</v>
      </c>
      <c r="GX180" s="73">
        <v>9886</v>
      </c>
      <c r="GY180" s="73">
        <v>0</v>
      </c>
      <c r="GZ180" s="73">
        <v>0</v>
      </c>
      <c r="HA180" s="73">
        <v>0</v>
      </c>
      <c r="HB180" s="73">
        <v>0</v>
      </c>
      <c r="HC180" s="73">
        <v>0</v>
      </c>
      <c r="HD180" s="73">
        <v>0</v>
      </c>
      <c r="HE180" s="73">
        <v>0</v>
      </c>
      <c r="HF180" s="73">
        <v>0</v>
      </c>
      <c r="HG180" s="73">
        <v>4916</v>
      </c>
      <c r="HH180" s="73">
        <v>22</v>
      </c>
      <c r="HI180" s="73">
        <v>25</v>
      </c>
      <c r="HJ180" s="73">
        <v>0</v>
      </c>
      <c r="HK180" s="73">
        <v>476</v>
      </c>
      <c r="HL180" s="73">
        <v>-57</v>
      </c>
      <c r="HM180" s="73">
        <v>5382</v>
      </c>
      <c r="HN180" s="73">
        <v>1979</v>
      </c>
      <c r="HO180" s="73">
        <v>3914</v>
      </c>
      <c r="HP180" s="73">
        <v>194</v>
      </c>
      <c r="HQ180" s="73">
        <v>60</v>
      </c>
      <c r="HR180" s="73">
        <v>-8</v>
      </c>
      <c r="HS180" s="73">
        <v>-21</v>
      </c>
      <c r="HT180" s="73">
        <v>4785</v>
      </c>
      <c r="HU180" s="73">
        <v>0</v>
      </c>
      <c r="HV180" s="73">
        <v>0</v>
      </c>
      <c r="HW180" s="73">
        <v>-11</v>
      </c>
      <c r="HX180" s="73">
        <v>79</v>
      </c>
    </row>
    <row r="181" spans="1:232" x14ac:dyDescent="0.2">
      <c r="A181" s="74" t="s">
        <v>545</v>
      </c>
      <c r="B181" s="74" t="s">
        <v>118</v>
      </c>
      <c r="C181" s="75" t="s">
        <v>200</v>
      </c>
      <c r="D181" s="75">
        <v>12</v>
      </c>
      <c r="E181" s="76">
        <v>75200</v>
      </c>
      <c r="F181" s="76">
        <v>-2451</v>
      </c>
      <c r="G181" s="76">
        <v>-29754</v>
      </c>
      <c r="H181" s="76">
        <v>42995</v>
      </c>
      <c r="I181" s="76">
        <v>6001</v>
      </c>
      <c r="J181" s="76">
        <v>0</v>
      </c>
      <c r="K181" s="76">
        <v>0</v>
      </c>
      <c r="L181" s="76">
        <v>0</v>
      </c>
      <c r="M181" s="76">
        <v>178</v>
      </c>
      <c r="N181" s="76">
        <v>-15001</v>
      </c>
      <c r="O181" s="76">
        <v>0</v>
      </c>
      <c r="P181" s="76">
        <v>0</v>
      </c>
      <c r="Q181" s="76">
        <v>0</v>
      </c>
      <c r="R181" s="76">
        <v>0</v>
      </c>
      <c r="S181" s="76">
        <v>34173</v>
      </c>
      <c r="T181" s="76">
        <v>0</v>
      </c>
      <c r="U181" s="76">
        <v>34173</v>
      </c>
      <c r="V181" s="76">
        <v>0</v>
      </c>
      <c r="W181" s="76">
        <v>0</v>
      </c>
      <c r="X181" s="76">
        <v>-360</v>
      </c>
      <c r="Y181" s="76">
        <v>0</v>
      </c>
      <c r="Z181" s="76">
        <v>33813</v>
      </c>
      <c r="AA181" s="76">
        <v>44203</v>
      </c>
      <c r="AB181" s="76">
        <v>6141</v>
      </c>
      <c r="AC181" s="76">
        <v>50344</v>
      </c>
      <c r="AD181" s="76">
        <v>3761</v>
      </c>
      <c r="AE181" s="76">
        <v>0</v>
      </c>
      <c r="AF181" s="76">
        <v>0</v>
      </c>
      <c r="AG181" s="76">
        <v>550</v>
      </c>
      <c r="AH181" s="76">
        <v>54655</v>
      </c>
      <c r="AI181" s="76">
        <v>6720</v>
      </c>
      <c r="AJ181" s="76">
        <v>7771</v>
      </c>
      <c r="AK181" s="76">
        <v>3663</v>
      </c>
      <c r="AL181" s="76">
        <v>3384</v>
      </c>
      <c r="AM181" s="76">
        <v>58</v>
      </c>
      <c r="AN181" s="76">
        <v>90</v>
      </c>
      <c r="AO181" s="76">
        <v>6807</v>
      </c>
      <c r="AP181" s="76">
        <v>0</v>
      </c>
      <c r="AQ181" s="76">
        <v>0</v>
      </c>
      <c r="AR181" s="76">
        <v>28493</v>
      </c>
      <c r="AS181" s="76">
        <v>26162</v>
      </c>
      <c r="AT181" s="76">
        <v>340</v>
      </c>
      <c r="AU181" s="76">
        <v>946393</v>
      </c>
      <c r="AV181" s="76">
        <v>0</v>
      </c>
      <c r="AW181" s="76">
        <v>8853</v>
      </c>
      <c r="AX181" s="76">
        <v>0</v>
      </c>
      <c r="AY181" s="76">
        <v>0</v>
      </c>
      <c r="AZ181" s="76">
        <v>0</v>
      </c>
      <c r="BA181" s="76">
        <v>0</v>
      </c>
      <c r="BB181" s="76">
        <v>0</v>
      </c>
      <c r="BC181" s="76">
        <v>0</v>
      </c>
      <c r="BD181" s="76">
        <v>0</v>
      </c>
      <c r="BE181" s="76">
        <v>955246</v>
      </c>
      <c r="BF181" s="76">
        <v>14246</v>
      </c>
      <c r="BG181" s="76">
        <v>1122</v>
      </c>
      <c r="BH181" s="76">
        <v>28405</v>
      </c>
      <c r="BI181" s="76">
        <v>5000</v>
      </c>
      <c r="BJ181" s="76">
        <v>3629</v>
      </c>
      <c r="BK181" s="76">
        <v>52402</v>
      </c>
      <c r="BL181" s="76">
        <v>742</v>
      </c>
      <c r="BM181" s="76">
        <v>0</v>
      </c>
      <c r="BN181" s="76">
        <v>3623</v>
      </c>
      <c r="BO181" s="76">
        <v>22810</v>
      </c>
      <c r="BP181" s="76">
        <v>27175</v>
      </c>
      <c r="BQ181" s="76">
        <v>25227</v>
      </c>
      <c r="BR181" s="76">
        <v>980473</v>
      </c>
      <c r="BS181" s="76">
        <v>458299</v>
      </c>
      <c r="BT181" s="76">
        <v>0</v>
      </c>
      <c r="BU181" s="76">
        <v>0</v>
      </c>
      <c r="BV181" s="76">
        <v>409716</v>
      </c>
      <c r="BW181" s="76">
        <v>0</v>
      </c>
      <c r="BX181" s="76">
        <v>0</v>
      </c>
      <c r="BY181" s="76">
        <v>6005</v>
      </c>
      <c r="BZ181" s="76">
        <v>874020</v>
      </c>
      <c r="CA181" s="76">
        <v>0</v>
      </c>
      <c r="CB181" s="76">
        <v>25</v>
      </c>
      <c r="CC181" s="76">
        <v>106428</v>
      </c>
      <c r="CD181" s="76">
        <v>119053</v>
      </c>
      <c r="CE181" s="76">
        <v>0</v>
      </c>
      <c r="CF181" s="76">
        <v>0</v>
      </c>
      <c r="CG181" s="76">
        <v>-12625</v>
      </c>
      <c r="CH181" s="76">
        <v>0</v>
      </c>
      <c r="CI181" s="76">
        <v>106428</v>
      </c>
      <c r="CJ181" s="76">
        <v>4758</v>
      </c>
      <c r="CK181" s="76">
        <v>2451</v>
      </c>
      <c r="CL181" s="76">
        <v>0</v>
      </c>
      <c r="CM181" s="76">
        <v>2307</v>
      </c>
      <c r="CN181" s="76">
        <v>0</v>
      </c>
      <c r="CO181" s="76">
        <v>0</v>
      </c>
      <c r="CP181" s="76">
        <v>0</v>
      </c>
      <c r="CQ181" s="76">
        <v>0</v>
      </c>
      <c r="CR181" s="76">
        <v>148</v>
      </c>
      <c r="CS181" s="76">
        <v>0</v>
      </c>
      <c r="CT181" s="76">
        <v>402</v>
      </c>
      <c r="CU181" s="76">
        <v>-254</v>
      </c>
      <c r="CV181" s="76">
        <v>0</v>
      </c>
      <c r="CW181" s="76">
        <v>0</v>
      </c>
      <c r="CX181" s="76">
        <v>0</v>
      </c>
      <c r="CY181" s="76">
        <v>0</v>
      </c>
      <c r="CZ181" s="76">
        <v>1439</v>
      </c>
      <c r="DA181" s="76">
        <v>0</v>
      </c>
      <c r="DB181" s="76">
        <v>859</v>
      </c>
      <c r="DC181" s="76">
        <v>580</v>
      </c>
      <c r="DD181" s="76">
        <v>6345</v>
      </c>
      <c r="DE181" s="76">
        <v>2451</v>
      </c>
      <c r="DF181" s="76">
        <v>1261</v>
      </c>
      <c r="DG181" s="76">
        <v>2633</v>
      </c>
      <c r="DH181" s="76">
        <v>0</v>
      </c>
      <c r="DI181" s="76">
        <v>0</v>
      </c>
      <c r="DJ181" s="76">
        <v>0</v>
      </c>
      <c r="DK181" s="76">
        <v>0</v>
      </c>
      <c r="DL181" s="76">
        <v>0</v>
      </c>
      <c r="DM181" s="76">
        <v>0</v>
      </c>
      <c r="DN181" s="76">
        <v>0</v>
      </c>
      <c r="DO181" s="76">
        <v>0</v>
      </c>
      <c r="DP181" s="76">
        <v>0</v>
      </c>
      <c r="DQ181" s="76">
        <v>0</v>
      </c>
      <c r="DR181" s="76">
        <v>0</v>
      </c>
      <c r="DS181" s="76">
        <v>0</v>
      </c>
      <c r="DT181" s="76">
        <v>0</v>
      </c>
      <c r="DU181" s="76">
        <v>0</v>
      </c>
      <c r="DV181" s="76">
        <v>0</v>
      </c>
      <c r="DW181" s="76">
        <v>0</v>
      </c>
      <c r="DX181" s="76">
        <v>0</v>
      </c>
      <c r="DY181" s="76">
        <v>0</v>
      </c>
      <c r="DZ181" s="76">
        <v>0</v>
      </c>
      <c r="EA181" s="76">
        <v>0</v>
      </c>
      <c r="EB181" s="76">
        <v>14200</v>
      </c>
      <c r="EC181" s="76">
        <v>0</v>
      </c>
      <c r="ED181" s="76">
        <v>0</v>
      </c>
      <c r="EE181" s="76">
        <v>14200</v>
      </c>
      <c r="EF181" s="76">
        <v>14200</v>
      </c>
      <c r="EG181" s="76">
        <v>0</v>
      </c>
      <c r="EH181" s="76">
        <v>0</v>
      </c>
      <c r="EI181" s="76">
        <v>14200</v>
      </c>
      <c r="EJ181" s="76">
        <v>20545</v>
      </c>
      <c r="EK181" s="76">
        <v>2451</v>
      </c>
      <c r="EL181" s="76">
        <v>1261</v>
      </c>
      <c r="EM181" s="76">
        <v>16833</v>
      </c>
      <c r="EN181" s="76">
        <v>1460</v>
      </c>
      <c r="EO181" s="76">
        <v>391</v>
      </c>
      <c r="EP181" s="76">
        <v>338</v>
      </c>
      <c r="EQ181" s="76">
        <v>391</v>
      </c>
      <c r="ER181" s="76">
        <v>983935</v>
      </c>
      <c r="ES181" s="76">
        <v>0</v>
      </c>
      <c r="ET181" s="76">
        <v>983935</v>
      </c>
      <c r="EU181" s="76">
        <v>64334</v>
      </c>
      <c r="EV181" s="76">
        <v>-8666</v>
      </c>
      <c r="EW181" s="76">
        <v>0</v>
      </c>
      <c r="EX181" s="76">
        <v>0</v>
      </c>
      <c r="EY181" s="76">
        <v>-13745</v>
      </c>
      <c r="EZ181" s="76">
        <v>1025858</v>
      </c>
      <c r="FA181" s="76">
        <v>73316</v>
      </c>
      <c r="FB181" s="76">
        <v>6545</v>
      </c>
      <c r="FC181" s="76">
        <v>0</v>
      </c>
      <c r="FD181" s="76">
        <v>0</v>
      </c>
      <c r="FE181" s="76">
        <v>-396</v>
      </c>
      <c r="FF181" s="76">
        <v>0</v>
      </c>
      <c r="FG181" s="76">
        <v>0</v>
      </c>
      <c r="FH181" s="76">
        <v>79465</v>
      </c>
      <c r="FI181" s="76">
        <v>946393</v>
      </c>
      <c r="FJ181" s="76">
        <v>910619</v>
      </c>
      <c r="FK181" s="76">
        <v>14060</v>
      </c>
      <c r="FL181" s="76">
        <v>8111</v>
      </c>
      <c r="FM181" s="76">
        <v>5949</v>
      </c>
      <c r="FN181" s="76">
        <v>0</v>
      </c>
      <c r="FO181" s="76">
        <v>0</v>
      </c>
      <c r="FP181" s="76">
        <v>0</v>
      </c>
      <c r="FQ181" s="76">
        <v>0</v>
      </c>
      <c r="FR181" s="76">
        <v>0</v>
      </c>
      <c r="FS181" s="76">
        <v>0</v>
      </c>
      <c r="FT181" s="76">
        <v>0</v>
      </c>
      <c r="FU181" s="76">
        <v>0</v>
      </c>
      <c r="FV181" s="76">
        <v>0</v>
      </c>
      <c r="FW181" s="76">
        <v>0</v>
      </c>
      <c r="FX181" s="76">
        <v>0</v>
      </c>
      <c r="FY181" s="76">
        <v>0</v>
      </c>
      <c r="FZ181" s="76">
        <v>16</v>
      </c>
      <c r="GA181" s="76">
        <v>-36</v>
      </c>
      <c r="GB181" s="76">
        <v>52</v>
      </c>
      <c r="GC181" s="76">
        <v>14076</v>
      </c>
      <c r="GD181" s="76">
        <v>8075</v>
      </c>
      <c r="GE181" s="76">
        <v>6001</v>
      </c>
      <c r="GF181" s="76">
        <v>449</v>
      </c>
      <c r="GG181" s="76">
        <v>0</v>
      </c>
      <c r="GH181" s="76">
        <v>0</v>
      </c>
      <c r="GI181" s="76">
        <v>0</v>
      </c>
      <c r="GJ181" s="76">
        <v>0</v>
      </c>
      <c r="GK181" s="76">
        <v>3180</v>
      </c>
      <c r="GL181" s="76">
        <v>3629</v>
      </c>
      <c r="GM181" s="76">
        <v>1679</v>
      </c>
      <c r="GN181" s="76">
        <v>1093</v>
      </c>
      <c r="GO181" s="76">
        <v>0</v>
      </c>
      <c r="GP181" s="76">
        <v>3191</v>
      </c>
      <c r="GQ181" s="76">
        <v>593</v>
      </c>
      <c r="GR181" s="76">
        <v>5789</v>
      </c>
      <c r="GS181" s="76">
        <v>0</v>
      </c>
      <c r="GT181" s="76">
        <v>0</v>
      </c>
      <c r="GU181" s="76">
        <v>0</v>
      </c>
      <c r="GV181" s="76">
        <v>0</v>
      </c>
      <c r="GW181" s="76">
        <v>10465</v>
      </c>
      <c r="GX181" s="76">
        <v>22810</v>
      </c>
      <c r="GY181" s="76">
        <v>5929</v>
      </c>
      <c r="GZ181" s="76">
        <v>76</v>
      </c>
      <c r="HA181" s="76">
        <v>0</v>
      </c>
      <c r="HB181" s="76">
        <v>0</v>
      </c>
      <c r="HC181" s="76">
        <v>6005</v>
      </c>
      <c r="HD181" s="76">
        <v>0</v>
      </c>
      <c r="HE181" s="76">
        <v>25</v>
      </c>
      <c r="HF181" s="76">
        <v>25</v>
      </c>
      <c r="HG181" s="76">
        <v>15001</v>
      </c>
      <c r="HH181" s="76">
        <v>0</v>
      </c>
      <c r="HI181" s="76">
        <v>0</v>
      </c>
      <c r="HJ181" s="76">
        <v>0</v>
      </c>
      <c r="HK181" s="76">
        <v>0</v>
      </c>
      <c r="HL181" s="76">
        <v>0</v>
      </c>
      <c r="HM181" s="76">
        <v>15001</v>
      </c>
      <c r="HN181" s="76">
        <v>5502</v>
      </c>
      <c r="HO181" s="76">
        <v>7457</v>
      </c>
      <c r="HP181" s="76">
        <v>0</v>
      </c>
      <c r="HQ181" s="76">
        <v>0</v>
      </c>
      <c r="HR181" s="76">
        <v>0</v>
      </c>
      <c r="HS181" s="76">
        <v>20</v>
      </c>
      <c r="HT181" s="76">
        <v>7210</v>
      </c>
      <c r="HU181" s="76">
        <v>0</v>
      </c>
      <c r="HV181" s="76">
        <v>0</v>
      </c>
      <c r="HW181" s="76">
        <v>0</v>
      </c>
      <c r="HX181" s="76">
        <v>68</v>
      </c>
    </row>
    <row r="182" spans="1:232" x14ac:dyDescent="0.2">
      <c r="A182" s="71" t="s">
        <v>548</v>
      </c>
      <c r="B182" s="71" t="s">
        <v>547</v>
      </c>
      <c r="C182" s="72" t="s">
        <v>200</v>
      </c>
      <c r="D182" s="72">
        <v>12</v>
      </c>
      <c r="E182" s="73">
        <v>17027</v>
      </c>
      <c r="F182" s="73">
        <v>0</v>
      </c>
      <c r="G182" s="73">
        <v>-12165</v>
      </c>
      <c r="H182" s="73">
        <v>4862</v>
      </c>
      <c r="I182" s="73">
        <v>278</v>
      </c>
      <c r="J182" s="73">
        <v>0</v>
      </c>
      <c r="K182" s="73">
        <v>0</v>
      </c>
      <c r="L182" s="73">
        <v>0</v>
      </c>
      <c r="M182" s="73">
        <v>65</v>
      </c>
      <c r="N182" s="73">
        <v>-3090</v>
      </c>
      <c r="O182" s="73">
        <v>0</v>
      </c>
      <c r="P182" s="73">
        <v>0</v>
      </c>
      <c r="Q182" s="73">
        <v>-61</v>
      </c>
      <c r="R182" s="73">
        <v>0</v>
      </c>
      <c r="S182" s="73">
        <v>2054</v>
      </c>
      <c r="T182" s="73">
        <v>-7</v>
      </c>
      <c r="U182" s="73">
        <v>2047</v>
      </c>
      <c r="V182" s="73">
        <v>0</v>
      </c>
      <c r="W182" s="73">
        <v>-1124</v>
      </c>
      <c r="X182" s="73">
        <v>0</v>
      </c>
      <c r="Y182" s="73">
        <v>0</v>
      </c>
      <c r="Z182" s="73">
        <v>923</v>
      </c>
      <c r="AA182" s="73">
        <v>14108</v>
      </c>
      <c r="AB182" s="73">
        <v>515</v>
      </c>
      <c r="AC182" s="73">
        <v>14623</v>
      </c>
      <c r="AD182" s="73">
        <v>464</v>
      </c>
      <c r="AE182" s="73">
        <v>0</v>
      </c>
      <c r="AF182" s="73">
        <v>0</v>
      </c>
      <c r="AG182" s="73">
        <v>0</v>
      </c>
      <c r="AH182" s="73">
        <v>15087</v>
      </c>
      <c r="AI182" s="73">
        <v>1546</v>
      </c>
      <c r="AJ182" s="73">
        <v>671</v>
      </c>
      <c r="AK182" s="73">
        <v>2211</v>
      </c>
      <c r="AL182" s="73">
        <v>1170</v>
      </c>
      <c r="AM182" s="73">
        <v>1846</v>
      </c>
      <c r="AN182" s="73">
        <v>49</v>
      </c>
      <c r="AO182" s="73">
        <v>3037</v>
      </c>
      <c r="AP182" s="73">
        <v>0</v>
      </c>
      <c r="AQ182" s="73">
        <v>56</v>
      </c>
      <c r="AR182" s="73">
        <v>10586</v>
      </c>
      <c r="AS182" s="73">
        <v>4501</v>
      </c>
      <c r="AT182" s="73">
        <v>97</v>
      </c>
      <c r="AU182" s="73">
        <v>147933</v>
      </c>
      <c r="AV182" s="73">
        <v>0</v>
      </c>
      <c r="AW182" s="73">
        <v>1784</v>
      </c>
      <c r="AX182" s="73">
        <v>127</v>
      </c>
      <c r="AY182" s="73">
        <v>0</v>
      </c>
      <c r="AZ182" s="73">
        <v>2292</v>
      </c>
      <c r="BA182" s="73">
        <v>0</v>
      </c>
      <c r="BB182" s="73">
        <v>5</v>
      </c>
      <c r="BC182" s="73">
        <v>2251</v>
      </c>
      <c r="BD182" s="73">
        <v>2617</v>
      </c>
      <c r="BE182" s="73">
        <v>157009</v>
      </c>
      <c r="BF182" s="73">
        <v>84</v>
      </c>
      <c r="BG182" s="73">
        <v>271</v>
      </c>
      <c r="BH182" s="73">
        <v>10633</v>
      </c>
      <c r="BI182" s="73">
        <v>0</v>
      </c>
      <c r="BJ182" s="73">
        <v>0</v>
      </c>
      <c r="BK182" s="73">
        <v>10988</v>
      </c>
      <c r="BL182" s="73">
        <v>0</v>
      </c>
      <c r="BM182" s="73">
        <v>0</v>
      </c>
      <c r="BN182" s="73">
        <v>0</v>
      </c>
      <c r="BO182" s="73">
        <v>3228</v>
      </c>
      <c r="BP182" s="73">
        <v>3228</v>
      </c>
      <c r="BQ182" s="73">
        <v>7760</v>
      </c>
      <c r="BR182" s="73">
        <v>164769</v>
      </c>
      <c r="BS182" s="73">
        <v>92507</v>
      </c>
      <c r="BT182" s="73">
        <v>0</v>
      </c>
      <c r="BU182" s="73">
        <v>0</v>
      </c>
      <c r="BV182" s="73">
        <v>12550</v>
      </c>
      <c r="BW182" s="73">
        <v>0</v>
      </c>
      <c r="BX182" s="73">
        <v>0</v>
      </c>
      <c r="BY182" s="73">
        <v>0</v>
      </c>
      <c r="BZ182" s="73">
        <v>105057</v>
      </c>
      <c r="CA182" s="73">
        <v>4598</v>
      </c>
      <c r="CB182" s="73">
        <v>0</v>
      </c>
      <c r="CC182" s="73">
        <v>55114</v>
      </c>
      <c r="CD182" s="73">
        <v>10803</v>
      </c>
      <c r="CE182" s="73">
        <v>44238</v>
      </c>
      <c r="CF182" s="73">
        <v>73</v>
      </c>
      <c r="CG182" s="73">
        <v>0</v>
      </c>
      <c r="CH182" s="73">
        <v>0</v>
      </c>
      <c r="CI182" s="73">
        <v>55114</v>
      </c>
      <c r="CJ182" s="73">
        <v>785</v>
      </c>
      <c r="CK182" s="73">
        <v>0</v>
      </c>
      <c r="CL182" s="73">
        <v>632</v>
      </c>
      <c r="CM182" s="73">
        <v>153</v>
      </c>
      <c r="CN182" s="73">
        <v>98</v>
      </c>
      <c r="CO182" s="73">
        <v>0</v>
      </c>
      <c r="CP182" s="73">
        <v>298</v>
      </c>
      <c r="CQ182" s="73">
        <v>-200</v>
      </c>
      <c r="CR182" s="73">
        <v>0</v>
      </c>
      <c r="CS182" s="73">
        <v>0</v>
      </c>
      <c r="CT182" s="73">
        <v>0</v>
      </c>
      <c r="CU182" s="73">
        <v>0</v>
      </c>
      <c r="CV182" s="73">
        <v>0</v>
      </c>
      <c r="CW182" s="73">
        <v>0</v>
      </c>
      <c r="CX182" s="73">
        <v>0</v>
      </c>
      <c r="CY182" s="73">
        <v>0</v>
      </c>
      <c r="CZ182" s="73">
        <v>0</v>
      </c>
      <c r="DA182" s="73">
        <v>0</v>
      </c>
      <c r="DB182" s="73">
        <v>0</v>
      </c>
      <c r="DC182" s="73">
        <v>0</v>
      </c>
      <c r="DD182" s="73">
        <v>883</v>
      </c>
      <c r="DE182" s="73">
        <v>0</v>
      </c>
      <c r="DF182" s="73">
        <v>930</v>
      </c>
      <c r="DG182" s="73">
        <v>-47</v>
      </c>
      <c r="DH182" s="73">
        <v>155</v>
      </c>
      <c r="DI182" s="73">
        <v>0</v>
      </c>
      <c r="DJ182" s="73">
        <v>106</v>
      </c>
      <c r="DK182" s="73">
        <v>49</v>
      </c>
      <c r="DL182" s="73">
        <v>0</v>
      </c>
      <c r="DM182" s="73">
        <v>0</v>
      </c>
      <c r="DN182" s="73">
        <v>0</v>
      </c>
      <c r="DO182" s="73">
        <v>0</v>
      </c>
      <c r="DP182" s="73">
        <v>0</v>
      </c>
      <c r="DQ182" s="73">
        <v>0</v>
      </c>
      <c r="DR182" s="73">
        <v>0</v>
      </c>
      <c r="DS182" s="73">
        <v>0</v>
      </c>
      <c r="DT182" s="73">
        <v>50</v>
      </c>
      <c r="DU182" s="73">
        <v>0</v>
      </c>
      <c r="DV182" s="73">
        <v>27</v>
      </c>
      <c r="DW182" s="73">
        <v>23</v>
      </c>
      <c r="DX182" s="73">
        <v>0</v>
      </c>
      <c r="DY182" s="73">
        <v>0</v>
      </c>
      <c r="DZ182" s="73">
        <v>0</v>
      </c>
      <c r="EA182" s="73">
        <v>0</v>
      </c>
      <c r="EB182" s="73">
        <v>852</v>
      </c>
      <c r="EC182" s="73">
        <v>0</v>
      </c>
      <c r="ED182" s="73">
        <v>517</v>
      </c>
      <c r="EE182" s="73">
        <v>335</v>
      </c>
      <c r="EF182" s="73">
        <v>1057</v>
      </c>
      <c r="EG182" s="73">
        <v>0</v>
      </c>
      <c r="EH182" s="73">
        <v>650</v>
      </c>
      <c r="EI182" s="73">
        <v>407</v>
      </c>
      <c r="EJ182" s="73">
        <v>1940</v>
      </c>
      <c r="EK182" s="73">
        <v>0</v>
      </c>
      <c r="EL182" s="73">
        <v>1580</v>
      </c>
      <c r="EM182" s="73">
        <v>360</v>
      </c>
      <c r="EN182" s="73">
        <v>70</v>
      </c>
      <c r="EO182" s="73">
        <v>72</v>
      </c>
      <c r="EP182" s="73">
        <v>48</v>
      </c>
      <c r="EQ182" s="73">
        <v>60</v>
      </c>
      <c r="ER182" s="73">
        <v>155176</v>
      </c>
      <c r="ES182" s="73">
        <v>0</v>
      </c>
      <c r="ET182" s="73">
        <v>155176</v>
      </c>
      <c r="EU182" s="73">
        <v>2650</v>
      </c>
      <c r="EV182" s="73">
        <v>-1026</v>
      </c>
      <c r="EW182" s="73">
        <v>0</v>
      </c>
      <c r="EX182" s="73">
        <v>0</v>
      </c>
      <c r="EY182" s="73">
        <v>1744</v>
      </c>
      <c r="EZ182" s="73">
        <v>158544</v>
      </c>
      <c r="FA182" s="73">
        <v>7563</v>
      </c>
      <c r="FB182" s="73">
        <v>3455</v>
      </c>
      <c r="FC182" s="73">
        <v>0</v>
      </c>
      <c r="FD182" s="73">
        <v>0</v>
      </c>
      <c r="FE182" s="73">
        <v>-407</v>
      </c>
      <c r="FF182" s="73">
        <v>0</v>
      </c>
      <c r="FG182" s="73">
        <v>0</v>
      </c>
      <c r="FH182" s="73">
        <v>10611</v>
      </c>
      <c r="FI182" s="73">
        <v>147933</v>
      </c>
      <c r="FJ182" s="73">
        <v>147613</v>
      </c>
      <c r="FK182" s="73">
        <v>0</v>
      </c>
      <c r="FL182" s="73">
        <v>0</v>
      </c>
      <c r="FM182" s="73">
        <v>0</v>
      </c>
      <c r="FN182" s="73">
        <v>644</v>
      </c>
      <c r="FO182" s="73">
        <v>747</v>
      </c>
      <c r="FP182" s="73">
        <v>-103</v>
      </c>
      <c r="FQ182" s="73">
        <v>0</v>
      </c>
      <c r="FR182" s="73">
        <v>0</v>
      </c>
      <c r="FS182" s="73">
        <v>0</v>
      </c>
      <c r="FT182" s="73">
        <v>0</v>
      </c>
      <c r="FU182" s="73">
        <v>0</v>
      </c>
      <c r="FV182" s="73">
        <v>0</v>
      </c>
      <c r="FW182" s="73">
        <v>0</v>
      </c>
      <c r="FX182" s="73">
        <v>0</v>
      </c>
      <c r="FY182" s="73">
        <v>0</v>
      </c>
      <c r="FZ182" s="73">
        <v>684</v>
      </c>
      <c r="GA182" s="73">
        <v>303</v>
      </c>
      <c r="GB182" s="73">
        <v>381</v>
      </c>
      <c r="GC182" s="73">
        <v>1328</v>
      </c>
      <c r="GD182" s="73">
        <v>1050</v>
      </c>
      <c r="GE182" s="73">
        <v>278</v>
      </c>
      <c r="GF182" s="73">
        <v>0</v>
      </c>
      <c r="GG182" s="73">
        <v>0</v>
      </c>
      <c r="GH182" s="73">
        <v>0</v>
      </c>
      <c r="GI182" s="73">
        <v>0</v>
      </c>
      <c r="GJ182" s="73">
        <v>0</v>
      </c>
      <c r="GK182" s="73">
        <v>0</v>
      </c>
      <c r="GL182" s="73">
        <v>0</v>
      </c>
      <c r="GM182" s="73">
        <v>215</v>
      </c>
      <c r="GN182" s="73">
        <v>315</v>
      </c>
      <c r="GO182" s="73">
        <v>0</v>
      </c>
      <c r="GP182" s="73">
        <v>0</v>
      </c>
      <c r="GQ182" s="73">
        <v>0</v>
      </c>
      <c r="GR182" s="73">
        <v>2236</v>
      </c>
      <c r="GS182" s="73">
        <v>0</v>
      </c>
      <c r="GT182" s="73">
        <v>0</v>
      </c>
      <c r="GU182" s="73">
        <v>0</v>
      </c>
      <c r="GV182" s="73">
        <v>0</v>
      </c>
      <c r="GW182" s="73">
        <v>462</v>
      </c>
      <c r="GX182" s="73">
        <v>3228</v>
      </c>
      <c r="GY182" s="73">
        <v>0</v>
      </c>
      <c r="GZ182" s="73">
        <v>0</v>
      </c>
      <c r="HA182" s="73">
        <v>0</v>
      </c>
      <c r="HB182" s="73">
        <v>0</v>
      </c>
      <c r="HC182" s="73">
        <v>0</v>
      </c>
      <c r="HD182" s="73">
        <v>0</v>
      </c>
      <c r="HE182" s="73">
        <v>0</v>
      </c>
      <c r="HF182" s="73">
        <v>0</v>
      </c>
      <c r="HG182" s="73">
        <v>2975</v>
      </c>
      <c r="HH182" s="73">
        <v>0</v>
      </c>
      <c r="HI182" s="73">
        <v>103</v>
      </c>
      <c r="HJ182" s="73">
        <v>0</v>
      </c>
      <c r="HK182" s="73">
        <v>15</v>
      </c>
      <c r="HL182" s="73">
        <v>-3</v>
      </c>
      <c r="HM182" s="73">
        <v>3090</v>
      </c>
      <c r="HN182" s="73">
        <v>2191</v>
      </c>
      <c r="HO182" s="73">
        <v>3596</v>
      </c>
      <c r="HP182" s="73">
        <v>0</v>
      </c>
      <c r="HQ182" s="73">
        <v>6</v>
      </c>
      <c r="HR182" s="73">
        <v>-17</v>
      </c>
      <c r="HS182" s="73">
        <v>0</v>
      </c>
      <c r="HT182" s="73">
        <v>3247</v>
      </c>
      <c r="HU182" s="73">
        <v>0</v>
      </c>
      <c r="HV182" s="73">
        <v>-2</v>
      </c>
      <c r="HW182" s="73">
        <v>1</v>
      </c>
      <c r="HX182" s="73">
        <v>102</v>
      </c>
    </row>
    <row r="183" spans="1:232" x14ac:dyDescent="0.2">
      <c r="A183" s="74" t="s">
        <v>121</v>
      </c>
      <c r="B183" s="74" t="s">
        <v>120</v>
      </c>
      <c r="C183" s="75" t="s">
        <v>200</v>
      </c>
      <c r="D183" s="75">
        <v>12</v>
      </c>
      <c r="E183" s="76">
        <v>64277</v>
      </c>
      <c r="F183" s="76">
        <v>-7144</v>
      </c>
      <c r="G183" s="76">
        <v>-33452</v>
      </c>
      <c r="H183" s="76">
        <v>23681</v>
      </c>
      <c r="I183" s="76">
        <v>16</v>
      </c>
      <c r="J183" s="76">
        <v>0</v>
      </c>
      <c r="K183" s="76">
        <v>0</v>
      </c>
      <c r="L183" s="76">
        <v>0</v>
      </c>
      <c r="M183" s="76">
        <v>1442</v>
      </c>
      <c r="N183" s="76">
        <v>-11191</v>
      </c>
      <c r="O183" s="76">
        <v>0</v>
      </c>
      <c r="P183" s="76">
        <v>-11</v>
      </c>
      <c r="Q183" s="76">
        <v>0</v>
      </c>
      <c r="R183" s="76">
        <v>0</v>
      </c>
      <c r="S183" s="76">
        <v>13937</v>
      </c>
      <c r="T183" s="76">
        <v>-212</v>
      </c>
      <c r="U183" s="76">
        <v>13725</v>
      </c>
      <c r="V183" s="76">
        <v>0</v>
      </c>
      <c r="W183" s="76">
        <v>762</v>
      </c>
      <c r="X183" s="76">
        <v>-1992</v>
      </c>
      <c r="Y183" s="76">
        <v>370</v>
      </c>
      <c r="Z183" s="76">
        <v>12865</v>
      </c>
      <c r="AA183" s="76">
        <v>46461</v>
      </c>
      <c r="AB183" s="76">
        <v>1453</v>
      </c>
      <c r="AC183" s="76">
        <v>47914</v>
      </c>
      <c r="AD183" s="76">
        <v>541</v>
      </c>
      <c r="AE183" s="76">
        <v>9</v>
      </c>
      <c r="AF183" s="76">
        <v>0</v>
      </c>
      <c r="AG183" s="76">
        <v>3650</v>
      </c>
      <c r="AH183" s="76">
        <v>52114</v>
      </c>
      <c r="AI183" s="76">
        <v>8800</v>
      </c>
      <c r="AJ183" s="76">
        <v>5367</v>
      </c>
      <c r="AK183" s="76">
        <v>2161</v>
      </c>
      <c r="AL183" s="76">
        <v>1348</v>
      </c>
      <c r="AM183" s="76">
        <v>289</v>
      </c>
      <c r="AN183" s="76">
        <v>96</v>
      </c>
      <c r="AO183" s="76">
        <v>8459</v>
      </c>
      <c r="AP183" s="76">
        <v>0</v>
      </c>
      <c r="AQ183" s="76">
        <v>5052</v>
      </c>
      <c r="AR183" s="76">
        <v>31572</v>
      </c>
      <c r="AS183" s="76">
        <v>20542</v>
      </c>
      <c r="AT183" s="76">
        <v>422</v>
      </c>
      <c r="AU183" s="76">
        <v>355666</v>
      </c>
      <c r="AV183" s="76">
        <v>0</v>
      </c>
      <c r="AW183" s="76">
        <v>4909</v>
      </c>
      <c r="AX183" s="76">
        <v>321</v>
      </c>
      <c r="AY183" s="76">
        <v>0</v>
      </c>
      <c r="AZ183" s="76">
        <v>1175</v>
      </c>
      <c r="BA183" s="76">
        <v>0</v>
      </c>
      <c r="BB183" s="76">
        <v>0</v>
      </c>
      <c r="BC183" s="76">
        <v>0</v>
      </c>
      <c r="BD183" s="76">
        <v>7505</v>
      </c>
      <c r="BE183" s="76">
        <v>369576</v>
      </c>
      <c r="BF183" s="76">
        <v>15544</v>
      </c>
      <c r="BG183" s="76">
        <v>927</v>
      </c>
      <c r="BH183" s="76">
        <v>43884</v>
      </c>
      <c r="BI183" s="76">
        <v>0</v>
      </c>
      <c r="BJ183" s="76">
        <v>13082</v>
      </c>
      <c r="BK183" s="76">
        <v>73437</v>
      </c>
      <c r="BL183" s="76">
        <v>0</v>
      </c>
      <c r="BM183" s="76">
        <v>0</v>
      </c>
      <c r="BN183" s="76">
        <v>550</v>
      </c>
      <c r="BO183" s="76">
        <v>15369</v>
      </c>
      <c r="BP183" s="76">
        <v>15919</v>
      </c>
      <c r="BQ183" s="76">
        <v>57518</v>
      </c>
      <c r="BR183" s="76">
        <v>427094</v>
      </c>
      <c r="BS183" s="76">
        <v>287949</v>
      </c>
      <c r="BT183" s="76">
        <v>0</v>
      </c>
      <c r="BU183" s="76">
        <v>0</v>
      </c>
      <c r="BV183" s="76">
        <v>45406</v>
      </c>
      <c r="BW183" s="76">
        <v>0</v>
      </c>
      <c r="BX183" s="76">
        <v>50894</v>
      </c>
      <c r="BY183" s="76">
        <v>1527</v>
      </c>
      <c r="BZ183" s="76">
        <v>385776</v>
      </c>
      <c r="CA183" s="76">
        <v>316</v>
      </c>
      <c r="CB183" s="76">
        <v>0</v>
      </c>
      <c r="CC183" s="76">
        <v>41002</v>
      </c>
      <c r="CD183" s="76">
        <v>74069</v>
      </c>
      <c r="CE183" s="76">
        <v>1861</v>
      </c>
      <c r="CF183" s="76">
        <v>0</v>
      </c>
      <c r="CG183" s="76">
        <v>-34928</v>
      </c>
      <c r="CH183" s="76">
        <v>0</v>
      </c>
      <c r="CI183" s="76">
        <v>41002</v>
      </c>
      <c r="CJ183" s="76">
        <v>2844</v>
      </c>
      <c r="CK183" s="76">
        <v>2030</v>
      </c>
      <c r="CL183" s="76">
        <v>189</v>
      </c>
      <c r="CM183" s="76">
        <v>625</v>
      </c>
      <c r="CN183" s="76">
        <v>1365</v>
      </c>
      <c r="CO183" s="76">
        <v>427</v>
      </c>
      <c r="CP183" s="76">
        <v>0</v>
      </c>
      <c r="CQ183" s="76">
        <v>938</v>
      </c>
      <c r="CR183" s="76">
        <v>0</v>
      </c>
      <c r="CS183" s="76">
        <v>0</v>
      </c>
      <c r="CT183" s="76">
        <v>0</v>
      </c>
      <c r="CU183" s="76">
        <v>0</v>
      </c>
      <c r="CV183" s="76">
        <v>0</v>
      </c>
      <c r="CW183" s="76">
        <v>0</v>
      </c>
      <c r="CX183" s="76">
        <v>0</v>
      </c>
      <c r="CY183" s="76">
        <v>0</v>
      </c>
      <c r="CZ183" s="76">
        <v>2371</v>
      </c>
      <c r="DA183" s="76">
        <v>96</v>
      </c>
      <c r="DB183" s="76">
        <v>151</v>
      </c>
      <c r="DC183" s="76">
        <v>2124</v>
      </c>
      <c r="DD183" s="76">
        <v>6580</v>
      </c>
      <c r="DE183" s="76">
        <v>2553</v>
      </c>
      <c r="DF183" s="76">
        <v>340</v>
      </c>
      <c r="DG183" s="76">
        <v>3687</v>
      </c>
      <c r="DH183" s="76">
        <v>5033</v>
      </c>
      <c r="DI183" s="76">
        <v>4562</v>
      </c>
      <c r="DJ183" s="76">
        <v>1540</v>
      </c>
      <c r="DK183" s="76">
        <v>-1069</v>
      </c>
      <c r="DL183" s="76">
        <v>0</v>
      </c>
      <c r="DM183" s="76">
        <v>0</v>
      </c>
      <c r="DN183" s="76">
        <v>0</v>
      </c>
      <c r="DO183" s="76">
        <v>0</v>
      </c>
      <c r="DP183" s="76">
        <v>0</v>
      </c>
      <c r="DQ183" s="76">
        <v>0</v>
      </c>
      <c r="DR183" s="76">
        <v>0</v>
      </c>
      <c r="DS183" s="76">
        <v>0</v>
      </c>
      <c r="DT183" s="76">
        <v>0</v>
      </c>
      <c r="DU183" s="76">
        <v>0</v>
      </c>
      <c r="DV183" s="76">
        <v>0</v>
      </c>
      <c r="DW183" s="76">
        <v>0</v>
      </c>
      <c r="DX183" s="76">
        <v>0</v>
      </c>
      <c r="DY183" s="76">
        <v>0</v>
      </c>
      <c r="DZ183" s="76">
        <v>0</v>
      </c>
      <c r="EA183" s="76">
        <v>0</v>
      </c>
      <c r="EB183" s="76">
        <v>550</v>
      </c>
      <c r="EC183" s="76">
        <v>29</v>
      </c>
      <c r="ED183" s="76">
        <v>0</v>
      </c>
      <c r="EE183" s="76">
        <v>521</v>
      </c>
      <c r="EF183" s="76">
        <v>5583</v>
      </c>
      <c r="EG183" s="76">
        <v>4591</v>
      </c>
      <c r="EH183" s="76">
        <v>1540</v>
      </c>
      <c r="EI183" s="76">
        <v>-548</v>
      </c>
      <c r="EJ183" s="76">
        <v>12163</v>
      </c>
      <c r="EK183" s="76">
        <v>7144</v>
      </c>
      <c r="EL183" s="76">
        <v>1880</v>
      </c>
      <c r="EM183" s="76">
        <v>3139</v>
      </c>
      <c r="EN183" s="76">
        <v>1405</v>
      </c>
      <c r="EO183" s="76">
        <v>261</v>
      </c>
      <c r="EP183" s="76">
        <v>590</v>
      </c>
      <c r="EQ183" s="76">
        <v>261</v>
      </c>
      <c r="ER183" s="76">
        <v>419213</v>
      </c>
      <c r="ES183" s="76">
        <v>0</v>
      </c>
      <c r="ET183" s="76">
        <v>419213</v>
      </c>
      <c r="EU183" s="76">
        <v>7972</v>
      </c>
      <c r="EV183" s="76">
        <v>-5505</v>
      </c>
      <c r="EW183" s="76">
        <v>0</v>
      </c>
      <c r="EX183" s="76">
        <v>0</v>
      </c>
      <c r="EY183" s="76">
        <v>240</v>
      </c>
      <c r="EZ183" s="76">
        <v>421920</v>
      </c>
      <c r="FA183" s="76">
        <v>58103</v>
      </c>
      <c r="FB183" s="76">
        <v>8452</v>
      </c>
      <c r="FC183" s="76">
        <v>0</v>
      </c>
      <c r="FD183" s="76">
        <v>0</v>
      </c>
      <c r="FE183" s="76">
        <v>-301</v>
      </c>
      <c r="FF183" s="76">
        <v>0</v>
      </c>
      <c r="FG183" s="76">
        <v>0</v>
      </c>
      <c r="FH183" s="76">
        <v>66254</v>
      </c>
      <c r="FI183" s="76">
        <v>355666</v>
      </c>
      <c r="FJ183" s="76">
        <v>361110</v>
      </c>
      <c r="FK183" s="76">
        <v>1015</v>
      </c>
      <c r="FL183" s="76">
        <v>692</v>
      </c>
      <c r="FM183" s="76">
        <v>323</v>
      </c>
      <c r="FN183" s="76">
        <v>2984</v>
      </c>
      <c r="FO183" s="76">
        <v>2833</v>
      </c>
      <c r="FP183" s="76">
        <v>151</v>
      </c>
      <c r="FQ183" s="76">
        <v>691</v>
      </c>
      <c r="FR183" s="76">
        <v>69</v>
      </c>
      <c r="FS183" s="76">
        <v>622</v>
      </c>
      <c r="FT183" s="76">
        <v>280</v>
      </c>
      <c r="FU183" s="76">
        <v>1234</v>
      </c>
      <c r="FV183" s="76">
        <v>-954</v>
      </c>
      <c r="FW183" s="76">
        <v>0</v>
      </c>
      <c r="FX183" s="76">
        <v>0</v>
      </c>
      <c r="FY183" s="76">
        <v>0</v>
      </c>
      <c r="FZ183" s="76">
        <v>25</v>
      </c>
      <c r="GA183" s="76">
        <v>151</v>
      </c>
      <c r="GB183" s="76">
        <v>-126</v>
      </c>
      <c r="GC183" s="76">
        <v>4995</v>
      </c>
      <c r="GD183" s="76">
        <v>4979</v>
      </c>
      <c r="GE183" s="76">
        <v>16</v>
      </c>
      <c r="GF183" s="76">
        <v>11660</v>
      </c>
      <c r="GG183" s="76">
        <v>0</v>
      </c>
      <c r="GH183" s="76">
        <v>0</v>
      </c>
      <c r="GI183" s="76">
        <v>0</v>
      </c>
      <c r="GJ183" s="76">
        <v>0</v>
      </c>
      <c r="GK183" s="76">
        <v>1422</v>
      </c>
      <c r="GL183" s="76">
        <v>13082</v>
      </c>
      <c r="GM183" s="76">
        <v>1096</v>
      </c>
      <c r="GN183" s="76">
        <v>1280</v>
      </c>
      <c r="GO183" s="76">
        <v>0</v>
      </c>
      <c r="GP183" s="76">
        <v>0</v>
      </c>
      <c r="GQ183" s="76">
        <v>8002</v>
      </c>
      <c r="GR183" s="76">
        <v>4624</v>
      </c>
      <c r="GS183" s="76">
        <v>0</v>
      </c>
      <c r="GT183" s="76">
        <v>0</v>
      </c>
      <c r="GU183" s="76">
        <v>0</v>
      </c>
      <c r="GV183" s="76">
        <v>0</v>
      </c>
      <c r="GW183" s="76">
        <v>367</v>
      </c>
      <c r="GX183" s="76">
        <v>15369</v>
      </c>
      <c r="GY183" s="76">
        <v>455</v>
      </c>
      <c r="GZ183" s="76">
        <v>0</v>
      </c>
      <c r="HA183" s="76">
        <v>0</v>
      </c>
      <c r="HB183" s="76">
        <v>1072</v>
      </c>
      <c r="HC183" s="76">
        <v>1527</v>
      </c>
      <c r="HD183" s="76">
        <v>0</v>
      </c>
      <c r="HE183" s="76">
        <v>0</v>
      </c>
      <c r="HF183" s="76">
        <v>0</v>
      </c>
      <c r="HG183" s="76">
        <v>11323</v>
      </c>
      <c r="HH183" s="76">
        <v>0</v>
      </c>
      <c r="HI183" s="76">
        <v>466</v>
      </c>
      <c r="HJ183" s="76">
        <v>0</v>
      </c>
      <c r="HK183" s="76">
        <v>0</v>
      </c>
      <c r="HL183" s="76">
        <v>-598</v>
      </c>
      <c r="HM183" s="76">
        <v>11191</v>
      </c>
      <c r="HN183" s="76">
        <v>2090</v>
      </c>
      <c r="HO183" s="76">
        <v>9238</v>
      </c>
      <c r="HP183" s="76">
        <v>881</v>
      </c>
      <c r="HQ183" s="76">
        <v>59</v>
      </c>
      <c r="HR183" s="76">
        <v>-15</v>
      </c>
      <c r="HS183" s="76">
        <v>-66</v>
      </c>
      <c r="HT183" s="76">
        <v>9043</v>
      </c>
      <c r="HU183" s="76">
        <v>0</v>
      </c>
      <c r="HV183" s="76">
        <v>0</v>
      </c>
      <c r="HW183" s="76">
        <v>0</v>
      </c>
      <c r="HX183" s="76">
        <v>2918</v>
      </c>
    </row>
    <row r="184" spans="1:232" x14ac:dyDescent="0.2">
      <c r="A184" s="71" t="s">
        <v>123</v>
      </c>
      <c r="B184" s="71" t="s">
        <v>122</v>
      </c>
      <c r="C184" s="72" t="s">
        <v>200</v>
      </c>
      <c r="D184" s="72">
        <v>12</v>
      </c>
      <c r="E184" s="73">
        <v>181900</v>
      </c>
      <c r="F184" s="73">
        <v>-108100</v>
      </c>
      <c r="G184" s="73">
        <v>-26000</v>
      </c>
      <c r="H184" s="73">
        <v>47800</v>
      </c>
      <c r="I184" s="73">
        <v>21700</v>
      </c>
      <c r="J184" s="73">
        <v>-57800</v>
      </c>
      <c r="K184" s="73">
        <v>0</v>
      </c>
      <c r="L184" s="73">
        <v>0</v>
      </c>
      <c r="M184" s="73">
        <v>0</v>
      </c>
      <c r="N184" s="73">
        <v>-5000</v>
      </c>
      <c r="O184" s="73">
        <v>0</v>
      </c>
      <c r="P184" s="73">
        <v>-1200</v>
      </c>
      <c r="Q184" s="73">
        <v>0</v>
      </c>
      <c r="R184" s="73">
        <v>0</v>
      </c>
      <c r="S184" s="73">
        <v>5500</v>
      </c>
      <c r="T184" s="73">
        <v>3300</v>
      </c>
      <c r="U184" s="73">
        <v>8800</v>
      </c>
      <c r="V184" s="73">
        <v>0</v>
      </c>
      <c r="W184" s="73">
        <v>0</v>
      </c>
      <c r="X184" s="73">
        <v>0</v>
      </c>
      <c r="Y184" s="73">
        <v>0</v>
      </c>
      <c r="Z184" s="73">
        <v>8800</v>
      </c>
      <c r="AA184" s="73">
        <v>23900</v>
      </c>
      <c r="AB184" s="73">
        <v>10200</v>
      </c>
      <c r="AC184" s="73">
        <v>34100</v>
      </c>
      <c r="AD184" s="73">
        <v>100</v>
      </c>
      <c r="AE184" s="73">
        <v>0</v>
      </c>
      <c r="AF184" s="73">
        <v>0</v>
      </c>
      <c r="AG184" s="73">
        <v>4000</v>
      </c>
      <c r="AH184" s="73">
        <v>38200</v>
      </c>
      <c r="AI184" s="73">
        <v>6300</v>
      </c>
      <c r="AJ184" s="73">
        <v>10200</v>
      </c>
      <c r="AK184" s="73">
        <v>700</v>
      </c>
      <c r="AL184" s="73">
        <v>0</v>
      </c>
      <c r="AM184" s="73">
        <v>0</v>
      </c>
      <c r="AN184" s="73">
        <v>0</v>
      </c>
      <c r="AO184" s="73">
        <v>3600</v>
      </c>
      <c r="AP184" s="73">
        <v>0</v>
      </c>
      <c r="AQ184" s="73">
        <v>0</v>
      </c>
      <c r="AR184" s="73">
        <v>20800</v>
      </c>
      <c r="AS184" s="73">
        <v>17400</v>
      </c>
      <c r="AT184" s="73">
        <v>0</v>
      </c>
      <c r="AU184" s="73">
        <v>662300</v>
      </c>
      <c r="AV184" s="73">
        <v>0</v>
      </c>
      <c r="AW184" s="73">
        <v>400</v>
      </c>
      <c r="AX184" s="73">
        <v>0</v>
      </c>
      <c r="AY184" s="73">
        <v>30500</v>
      </c>
      <c r="AZ184" s="73">
        <v>8300</v>
      </c>
      <c r="BA184" s="73">
        <v>0</v>
      </c>
      <c r="BB184" s="73">
        <v>0</v>
      </c>
      <c r="BC184" s="73">
        <v>0</v>
      </c>
      <c r="BD184" s="73">
        <v>7100</v>
      </c>
      <c r="BE184" s="73">
        <v>708600</v>
      </c>
      <c r="BF184" s="73">
        <v>196400</v>
      </c>
      <c r="BG184" s="73">
        <v>26900</v>
      </c>
      <c r="BH184" s="73">
        <v>15000</v>
      </c>
      <c r="BI184" s="73">
        <v>0</v>
      </c>
      <c r="BJ184" s="73">
        <v>0</v>
      </c>
      <c r="BK184" s="73">
        <v>238300</v>
      </c>
      <c r="BL184" s="73">
        <v>112700</v>
      </c>
      <c r="BM184" s="73">
        <v>0</v>
      </c>
      <c r="BN184" s="73">
        <v>0</v>
      </c>
      <c r="BO184" s="73">
        <v>108800</v>
      </c>
      <c r="BP184" s="73">
        <v>221500</v>
      </c>
      <c r="BQ184" s="73">
        <v>16800</v>
      </c>
      <c r="BR184" s="73">
        <v>725400</v>
      </c>
      <c r="BS184" s="73">
        <v>276400</v>
      </c>
      <c r="BT184" s="73">
        <v>0</v>
      </c>
      <c r="BU184" s="73">
        <v>0</v>
      </c>
      <c r="BV184" s="73">
        <v>32700</v>
      </c>
      <c r="BW184" s="73">
        <v>30500</v>
      </c>
      <c r="BX184" s="73">
        <v>0</v>
      </c>
      <c r="BY184" s="73">
        <v>94600</v>
      </c>
      <c r="BZ184" s="73">
        <v>434200</v>
      </c>
      <c r="CA184" s="73">
        <v>0</v>
      </c>
      <c r="CB184" s="73">
        <v>0</v>
      </c>
      <c r="CC184" s="73">
        <v>291200</v>
      </c>
      <c r="CD184" s="73">
        <v>215700</v>
      </c>
      <c r="CE184" s="73">
        <v>72600</v>
      </c>
      <c r="CF184" s="73">
        <v>0</v>
      </c>
      <c r="CG184" s="73">
        <v>2900</v>
      </c>
      <c r="CH184" s="73">
        <v>0</v>
      </c>
      <c r="CI184" s="73">
        <v>291200</v>
      </c>
      <c r="CJ184" s="73">
        <v>69400</v>
      </c>
      <c r="CK184" s="73">
        <v>36700</v>
      </c>
      <c r="CL184" s="73">
        <v>0</v>
      </c>
      <c r="CM184" s="73">
        <v>32700</v>
      </c>
      <c r="CN184" s="73">
        <v>0</v>
      </c>
      <c r="CO184" s="73">
        <v>0</v>
      </c>
      <c r="CP184" s="73">
        <v>0</v>
      </c>
      <c r="CQ184" s="73">
        <v>0</v>
      </c>
      <c r="CR184" s="73">
        <v>62400</v>
      </c>
      <c r="CS184" s="73">
        <v>62400</v>
      </c>
      <c r="CT184" s="73">
        <v>1300</v>
      </c>
      <c r="CU184" s="73">
        <v>-1300</v>
      </c>
      <c r="CV184" s="73">
        <v>0</v>
      </c>
      <c r="CW184" s="73">
        <v>0</v>
      </c>
      <c r="CX184" s="73">
        <v>0</v>
      </c>
      <c r="CY184" s="73">
        <v>0</v>
      </c>
      <c r="CZ184" s="73">
        <v>1400</v>
      </c>
      <c r="DA184" s="73">
        <v>0</v>
      </c>
      <c r="DB184" s="73">
        <v>3600</v>
      </c>
      <c r="DC184" s="73">
        <v>-2200</v>
      </c>
      <c r="DD184" s="73">
        <v>133200</v>
      </c>
      <c r="DE184" s="73">
        <v>99100</v>
      </c>
      <c r="DF184" s="73">
        <v>4900</v>
      </c>
      <c r="DG184" s="73">
        <v>29200</v>
      </c>
      <c r="DH184" s="73">
        <v>9600</v>
      </c>
      <c r="DI184" s="73">
        <v>9000</v>
      </c>
      <c r="DJ184" s="73">
        <v>0</v>
      </c>
      <c r="DK184" s="73">
        <v>600</v>
      </c>
      <c r="DL184" s="73">
        <v>0</v>
      </c>
      <c r="DM184" s="73">
        <v>0</v>
      </c>
      <c r="DN184" s="73">
        <v>0</v>
      </c>
      <c r="DO184" s="73">
        <v>0</v>
      </c>
      <c r="DP184" s="73">
        <v>0</v>
      </c>
      <c r="DQ184" s="73">
        <v>0</v>
      </c>
      <c r="DR184" s="73">
        <v>0</v>
      </c>
      <c r="DS184" s="73">
        <v>0</v>
      </c>
      <c r="DT184" s="73">
        <v>0</v>
      </c>
      <c r="DU184" s="73">
        <v>0</v>
      </c>
      <c r="DV184" s="73">
        <v>0</v>
      </c>
      <c r="DW184" s="73">
        <v>0</v>
      </c>
      <c r="DX184" s="73">
        <v>0</v>
      </c>
      <c r="DY184" s="73">
        <v>0</v>
      </c>
      <c r="DZ184" s="73">
        <v>0</v>
      </c>
      <c r="EA184" s="73">
        <v>0</v>
      </c>
      <c r="EB184" s="73">
        <v>900</v>
      </c>
      <c r="EC184" s="73">
        <v>0</v>
      </c>
      <c r="ED184" s="73">
        <v>300</v>
      </c>
      <c r="EE184" s="73">
        <v>600</v>
      </c>
      <c r="EF184" s="73">
        <v>10500</v>
      </c>
      <c r="EG184" s="73">
        <v>9000</v>
      </c>
      <c r="EH184" s="73">
        <v>300</v>
      </c>
      <c r="EI184" s="73">
        <v>1200</v>
      </c>
      <c r="EJ184" s="73">
        <v>143700</v>
      </c>
      <c r="EK184" s="73">
        <v>108100</v>
      </c>
      <c r="EL184" s="73">
        <v>5200</v>
      </c>
      <c r="EM184" s="73">
        <v>30400</v>
      </c>
      <c r="EN184" s="73">
        <v>2477</v>
      </c>
      <c r="EO184" s="73">
        <v>145</v>
      </c>
      <c r="EP184" s="73">
        <v>1025</v>
      </c>
      <c r="EQ184" s="73">
        <v>145</v>
      </c>
      <c r="ER184" s="73">
        <v>620600</v>
      </c>
      <c r="ES184" s="73">
        <v>0</v>
      </c>
      <c r="ET184" s="73">
        <v>620600</v>
      </c>
      <c r="EU184" s="73">
        <v>74900</v>
      </c>
      <c r="EV184" s="73">
        <v>-24400</v>
      </c>
      <c r="EW184" s="73">
        <v>0</v>
      </c>
      <c r="EX184" s="73">
        <v>0</v>
      </c>
      <c r="EY184" s="73">
        <v>0</v>
      </c>
      <c r="EZ184" s="73">
        <v>671100</v>
      </c>
      <c r="FA184" s="73">
        <v>5500</v>
      </c>
      <c r="FB184" s="73">
        <v>3600</v>
      </c>
      <c r="FC184" s="73">
        <v>0</v>
      </c>
      <c r="FD184" s="73">
        <v>0</v>
      </c>
      <c r="FE184" s="73">
        <v>-300</v>
      </c>
      <c r="FF184" s="73">
        <v>0</v>
      </c>
      <c r="FG184" s="73">
        <v>0</v>
      </c>
      <c r="FH184" s="73">
        <v>8800</v>
      </c>
      <c r="FI184" s="73">
        <v>662300</v>
      </c>
      <c r="FJ184" s="73">
        <v>615100</v>
      </c>
      <c r="FK184" s="73">
        <v>51600</v>
      </c>
      <c r="FL184" s="73">
        <v>30200</v>
      </c>
      <c r="FM184" s="73">
        <v>21400</v>
      </c>
      <c r="FN184" s="73">
        <v>0</v>
      </c>
      <c r="FO184" s="73">
        <v>0</v>
      </c>
      <c r="FP184" s="73">
        <v>0</v>
      </c>
      <c r="FQ184" s="73">
        <v>0</v>
      </c>
      <c r="FR184" s="73">
        <v>0</v>
      </c>
      <c r="FS184" s="73">
        <v>0</v>
      </c>
      <c r="FT184" s="73">
        <v>0</v>
      </c>
      <c r="FU184" s="73">
        <v>0</v>
      </c>
      <c r="FV184" s="73">
        <v>0</v>
      </c>
      <c r="FW184" s="73">
        <v>0</v>
      </c>
      <c r="FX184" s="73">
        <v>0</v>
      </c>
      <c r="FY184" s="73">
        <v>0</v>
      </c>
      <c r="FZ184" s="73">
        <v>2200</v>
      </c>
      <c r="GA184" s="73">
        <v>1900</v>
      </c>
      <c r="GB184" s="73">
        <v>300</v>
      </c>
      <c r="GC184" s="73">
        <v>53800</v>
      </c>
      <c r="GD184" s="73">
        <v>32100</v>
      </c>
      <c r="GE184" s="73">
        <v>21700</v>
      </c>
      <c r="GF184" s="73">
        <v>0</v>
      </c>
      <c r="GG184" s="73">
        <v>0</v>
      </c>
      <c r="GH184" s="73">
        <v>0</v>
      </c>
      <c r="GI184" s="73">
        <v>0</v>
      </c>
      <c r="GJ184" s="73">
        <v>0</v>
      </c>
      <c r="GK184" s="73">
        <v>0</v>
      </c>
      <c r="GL184" s="73">
        <v>0</v>
      </c>
      <c r="GM184" s="73">
        <v>4100</v>
      </c>
      <c r="GN184" s="73">
        <v>12700</v>
      </c>
      <c r="GO184" s="73">
        <v>61200</v>
      </c>
      <c r="GP184" s="73">
        <v>0</v>
      </c>
      <c r="GQ184" s="73">
        <v>0</v>
      </c>
      <c r="GR184" s="73">
        <v>21500</v>
      </c>
      <c r="GS184" s="73">
        <v>0</v>
      </c>
      <c r="GT184" s="73">
        <v>0</v>
      </c>
      <c r="GU184" s="73">
        <v>0</v>
      </c>
      <c r="GV184" s="73">
        <v>0</v>
      </c>
      <c r="GW184" s="73">
        <v>9300</v>
      </c>
      <c r="GX184" s="73">
        <v>108800</v>
      </c>
      <c r="GY184" s="73">
        <v>42400</v>
      </c>
      <c r="GZ184" s="73">
        <v>0</v>
      </c>
      <c r="HA184" s="73">
        <v>0</v>
      </c>
      <c r="HB184" s="73">
        <v>52200</v>
      </c>
      <c r="HC184" s="73">
        <v>94600</v>
      </c>
      <c r="HD184" s="73">
        <v>0</v>
      </c>
      <c r="HE184" s="73">
        <v>0</v>
      </c>
      <c r="HF184" s="73">
        <v>0</v>
      </c>
      <c r="HG184" s="73">
        <v>3500</v>
      </c>
      <c r="HH184" s="73">
        <v>100</v>
      </c>
      <c r="HI184" s="73">
        <v>0</v>
      </c>
      <c r="HJ184" s="73">
        <v>0</v>
      </c>
      <c r="HK184" s="73">
        <v>4600</v>
      </c>
      <c r="HL184" s="73">
        <v>-3200</v>
      </c>
      <c r="HM184" s="73">
        <v>5000</v>
      </c>
      <c r="HN184" s="73">
        <v>0</v>
      </c>
      <c r="HO184" s="73">
        <v>3600</v>
      </c>
      <c r="HP184" s="73">
        <v>-100</v>
      </c>
      <c r="HQ184" s="73">
        <v>379</v>
      </c>
      <c r="HR184" s="73">
        <v>0</v>
      </c>
      <c r="HS184" s="73">
        <v>25</v>
      </c>
      <c r="HT184" s="73">
        <v>8109</v>
      </c>
      <c r="HU184" s="73">
        <v>0</v>
      </c>
      <c r="HV184" s="73">
        <v>0</v>
      </c>
      <c r="HW184" s="73">
        <v>-2</v>
      </c>
      <c r="HX184" s="73">
        <v>13</v>
      </c>
    </row>
    <row r="185" spans="1:232" x14ac:dyDescent="0.2">
      <c r="A185" s="74" t="s">
        <v>126</v>
      </c>
      <c r="B185" s="74" t="s">
        <v>124</v>
      </c>
      <c r="C185" s="75" t="s">
        <v>200</v>
      </c>
      <c r="D185" s="75">
        <v>12</v>
      </c>
      <c r="E185" s="76">
        <v>206400</v>
      </c>
      <c r="F185" s="76">
        <v>-3100</v>
      </c>
      <c r="G185" s="76">
        <v>-149200</v>
      </c>
      <c r="H185" s="76">
        <v>54100</v>
      </c>
      <c r="I185" s="76">
        <v>9900</v>
      </c>
      <c r="J185" s="76">
        <v>43100</v>
      </c>
      <c r="K185" s="76">
        <v>0</v>
      </c>
      <c r="L185" s="76">
        <v>0</v>
      </c>
      <c r="M185" s="76">
        <v>16500</v>
      </c>
      <c r="N185" s="76">
        <v>-46700</v>
      </c>
      <c r="O185" s="76">
        <v>0</v>
      </c>
      <c r="P185" s="76">
        <v>8600</v>
      </c>
      <c r="Q185" s="76">
        <v>0</v>
      </c>
      <c r="R185" s="76">
        <v>0</v>
      </c>
      <c r="S185" s="76">
        <v>85500</v>
      </c>
      <c r="T185" s="76">
        <v>0</v>
      </c>
      <c r="U185" s="76">
        <v>85500</v>
      </c>
      <c r="V185" s="76">
        <v>0</v>
      </c>
      <c r="W185" s="76">
        <v>0</v>
      </c>
      <c r="X185" s="76">
        <v>0</v>
      </c>
      <c r="Y185" s="76">
        <v>0</v>
      </c>
      <c r="Z185" s="76">
        <v>85500</v>
      </c>
      <c r="AA185" s="76">
        <v>174300</v>
      </c>
      <c r="AB185" s="76">
        <v>11000</v>
      </c>
      <c r="AC185" s="76">
        <v>185300</v>
      </c>
      <c r="AD185" s="76">
        <v>2000</v>
      </c>
      <c r="AE185" s="76">
        <v>0</v>
      </c>
      <c r="AF185" s="76">
        <v>800</v>
      </c>
      <c r="AG185" s="76">
        <v>0</v>
      </c>
      <c r="AH185" s="76">
        <v>188100</v>
      </c>
      <c r="AI185" s="76">
        <v>22400</v>
      </c>
      <c r="AJ185" s="76">
        <v>9800</v>
      </c>
      <c r="AK185" s="76">
        <v>23700</v>
      </c>
      <c r="AL185" s="76">
        <v>9200</v>
      </c>
      <c r="AM185" s="76">
        <v>11600</v>
      </c>
      <c r="AN185" s="76">
        <v>400</v>
      </c>
      <c r="AO185" s="76">
        <v>21900</v>
      </c>
      <c r="AP185" s="76">
        <v>0</v>
      </c>
      <c r="AQ185" s="76">
        <v>22800</v>
      </c>
      <c r="AR185" s="76">
        <v>121800</v>
      </c>
      <c r="AS185" s="76">
        <v>66300</v>
      </c>
      <c r="AT185" s="76">
        <v>1800</v>
      </c>
      <c r="AU185" s="76">
        <v>2371800</v>
      </c>
      <c r="AV185" s="76">
        <v>0</v>
      </c>
      <c r="AW185" s="76">
        <v>31500</v>
      </c>
      <c r="AX185" s="76">
        <v>0</v>
      </c>
      <c r="AY185" s="76">
        <v>100</v>
      </c>
      <c r="AZ185" s="76">
        <v>84500</v>
      </c>
      <c r="BA185" s="76">
        <v>0</v>
      </c>
      <c r="BB185" s="76">
        <v>0</v>
      </c>
      <c r="BC185" s="76">
        <v>0</v>
      </c>
      <c r="BD185" s="76">
        <v>207800</v>
      </c>
      <c r="BE185" s="76">
        <v>2695700</v>
      </c>
      <c r="BF185" s="76">
        <v>30100</v>
      </c>
      <c r="BG185" s="76">
        <v>240100</v>
      </c>
      <c r="BH185" s="76">
        <v>30500</v>
      </c>
      <c r="BI185" s="76">
        <v>700</v>
      </c>
      <c r="BJ185" s="76">
        <v>182300</v>
      </c>
      <c r="BK185" s="76">
        <v>483700</v>
      </c>
      <c r="BL185" s="76">
        <v>4500</v>
      </c>
      <c r="BM185" s="76">
        <v>0</v>
      </c>
      <c r="BN185" s="76">
        <v>1100</v>
      </c>
      <c r="BO185" s="76">
        <v>125500</v>
      </c>
      <c r="BP185" s="76">
        <v>131100</v>
      </c>
      <c r="BQ185" s="76">
        <v>352600</v>
      </c>
      <c r="BR185" s="76">
        <v>3048300</v>
      </c>
      <c r="BS185" s="76">
        <v>1040000</v>
      </c>
      <c r="BT185" s="76">
        <v>0</v>
      </c>
      <c r="BU185" s="76">
        <v>0</v>
      </c>
      <c r="BV185" s="76">
        <v>116400</v>
      </c>
      <c r="BW185" s="76">
        <v>100</v>
      </c>
      <c r="BX185" s="76">
        <v>62900</v>
      </c>
      <c r="BY185" s="76">
        <v>27100</v>
      </c>
      <c r="BZ185" s="76">
        <v>1246500</v>
      </c>
      <c r="CA185" s="76">
        <v>900</v>
      </c>
      <c r="CB185" s="76">
        <v>12500</v>
      </c>
      <c r="CC185" s="76">
        <v>1788400</v>
      </c>
      <c r="CD185" s="76">
        <v>1168300</v>
      </c>
      <c r="CE185" s="76">
        <v>635900</v>
      </c>
      <c r="CF185" s="76">
        <v>0</v>
      </c>
      <c r="CG185" s="76">
        <v>-15800</v>
      </c>
      <c r="CH185" s="76">
        <v>0</v>
      </c>
      <c r="CI185" s="76">
        <v>1788400</v>
      </c>
      <c r="CJ185" s="76">
        <v>0</v>
      </c>
      <c r="CK185" s="76">
        <v>0</v>
      </c>
      <c r="CL185" s="76">
        <v>0</v>
      </c>
      <c r="CM185" s="76">
        <v>0</v>
      </c>
      <c r="CN185" s="76">
        <v>7200</v>
      </c>
      <c r="CO185" s="76">
        <v>0</v>
      </c>
      <c r="CP185" s="76">
        <v>8100</v>
      </c>
      <c r="CQ185" s="76">
        <v>-900</v>
      </c>
      <c r="CR185" s="76">
        <v>3100</v>
      </c>
      <c r="CS185" s="76">
        <v>3100</v>
      </c>
      <c r="CT185" s="76">
        <v>600</v>
      </c>
      <c r="CU185" s="76">
        <v>-600</v>
      </c>
      <c r="CV185" s="76">
        <v>300</v>
      </c>
      <c r="CW185" s="76">
        <v>0</v>
      </c>
      <c r="CX185" s="76">
        <v>400</v>
      </c>
      <c r="CY185" s="76">
        <v>-100</v>
      </c>
      <c r="CZ185" s="76">
        <v>1200</v>
      </c>
      <c r="DA185" s="76">
        <v>0</v>
      </c>
      <c r="DB185" s="76">
        <v>700</v>
      </c>
      <c r="DC185" s="76">
        <v>500</v>
      </c>
      <c r="DD185" s="76">
        <v>11800</v>
      </c>
      <c r="DE185" s="76">
        <v>3100</v>
      </c>
      <c r="DF185" s="76">
        <v>9800</v>
      </c>
      <c r="DG185" s="76">
        <v>-1100</v>
      </c>
      <c r="DH185" s="76">
        <v>0</v>
      </c>
      <c r="DI185" s="76">
        <v>0</v>
      </c>
      <c r="DJ185" s="76">
        <v>0</v>
      </c>
      <c r="DK185" s="76">
        <v>0</v>
      </c>
      <c r="DL185" s="76">
        <v>0</v>
      </c>
      <c r="DM185" s="76">
        <v>0</v>
      </c>
      <c r="DN185" s="76">
        <v>0</v>
      </c>
      <c r="DO185" s="76">
        <v>0</v>
      </c>
      <c r="DP185" s="76">
        <v>0</v>
      </c>
      <c r="DQ185" s="76">
        <v>0</v>
      </c>
      <c r="DR185" s="76">
        <v>0</v>
      </c>
      <c r="DS185" s="76">
        <v>0</v>
      </c>
      <c r="DT185" s="76">
        <v>2600</v>
      </c>
      <c r="DU185" s="76">
        <v>0</v>
      </c>
      <c r="DV185" s="76">
        <v>900</v>
      </c>
      <c r="DW185" s="76">
        <v>1700</v>
      </c>
      <c r="DX185" s="76">
        <v>0</v>
      </c>
      <c r="DY185" s="76">
        <v>0</v>
      </c>
      <c r="DZ185" s="76">
        <v>0</v>
      </c>
      <c r="EA185" s="76">
        <v>0</v>
      </c>
      <c r="EB185" s="76">
        <v>3900</v>
      </c>
      <c r="EC185" s="76">
        <v>0</v>
      </c>
      <c r="ED185" s="76">
        <v>16700</v>
      </c>
      <c r="EE185" s="76">
        <v>-12800</v>
      </c>
      <c r="EF185" s="76">
        <v>6500</v>
      </c>
      <c r="EG185" s="76">
        <v>0</v>
      </c>
      <c r="EH185" s="76">
        <v>17600</v>
      </c>
      <c r="EI185" s="76">
        <v>-11100</v>
      </c>
      <c r="EJ185" s="76">
        <v>18300</v>
      </c>
      <c r="EK185" s="76">
        <v>3100</v>
      </c>
      <c r="EL185" s="76">
        <v>27400</v>
      </c>
      <c r="EM185" s="76">
        <v>-12200</v>
      </c>
      <c r="EN185" s="76">
        <v>9346</v>
      </c>
      <c r="EO185" s="76">
        <v>2700</v>
      </c>
      <c r="EP185" s="76">
        <v>4540</v>
      </c>
      <c r="EQ185" s="76">
        <v>2700</v>
      </c>
      <c r="ER185" s="76">
        <v>2365700</v>
      </c>
      <c r="ES185" s="76">
        <v>0</v>
      </c>
      <c r="ET185" s="76">
        <v>2365700</v>
      </c>
      <c r="EU185" s="76">
        <v>96700</v>
      </c>
      <c r="EV185" s="76">
        <v>-18500</v>
      </c>
      <c r="EW185" s="76">
        <v>0</v>
      </c>
      <c r="EX185" s="76">
        <v>0</v>
      </c>
      <c r="EY185" s="76">
        <v>0</v>
      </c>
      <c r="EZ185" s="76">
        <v>2443900</v>
      </c>
      <c r="FA185" s="76">
        <v>47800</v>
      </c>
      <c r="FB185" s="76">
        <v>21900</v>
      </c>
      <c r="FC185" s="76">
        <v>7300</v>
      </c>
      <c r="FD185" s="76">
        <v>0</v>
      </c>
      <c r="FE185" s="76">
        <v>-4900</v>
      </c>
      <c r="FF185" s="76">
        <v>0</v>
      </c>
      <c r="FG185" s="76">
        <v>0</v>
      </c>
      <c r="FH185" s="76">
        <v>72100</v>
      </c>
      <c r="FI185" s="76">
        <v>2371800</v>
      </c>
      <c r="FJ185" s="76">
        <v>2317900</v>
      </c>
      <c r="FK185" s="76">
        <v>0</v>
      </c>
      <c r="FL185" s="76">
        <v>0</v>
      </c>
      <c r="FM185" s="76">
        <v>0</v>
      </c>
      <c r="FN185" s="76">
        <v>0</v>
      </c>
      <c r="FO185" s="76">
        <v>0</v>
      </c>
      <c r="FP185" s="76">
        <v>0</v>
      </c>
      <c r="FQ185" s="76">
        <v>0</v>
      </c>
      <c r="FR185" s="76">
        <v>0</v>
      </c>
      <c r="FS185" s="76">
        <v>0</v>
      </c>
      <c r="FT185" s="76">
        <v>0</v>
      </c>
      <c r="FU185" s="76">
        <v>0</v>
      </c>
      <c r="FV185" s="76">
        <v>0</v>
      </c>
      <c r="FW185" s="76">
        <v>0</v>
      </c>
      <c r="FX185" s="76">
        <v>0</v>
      </c>
      <c r="FY185" s="76">
        <v>0</v>
      </c>
      <c r="FZ185" s="76">
        <v>22700</v>
      </c>
      <c r="GA185" s="76">
        <v>12800</v>
      </c>
      <c r="GB185" s="76">
        <v>9900</v>
      </c>
      <c r="GC185" s="76">
        <v>22700</v>
      </c>
      <c r="GD185" s="76">
        <v>12800</v>
      </c>
      <c r="GE185" s="76">
        <v>9900</v>
      </c>
      <c r="GF185" s="76">
        <v>182300</v>
      </c>
      <c r="GG185" s="76">
        <v>0</v>
      </c>
      <c r="GH185" s="76">
        <v>0</v>
      </c>
      <c r="GI185" s="76">
        <v>0</v>
      </c>
      <c r="GJ185" s="76">
        <v>0</v>
      </c>
      <c r="GK185" s="76">
        <v>0</v>
      </c>
      <c r="GL185" s="76">
        <v>182300</v>
      </c>
      <c r="GM185" s="76">
        <v>9500</v>
      </c>
      <c r="GN185" s="76">
        <v>0</v>
      </c>
      <c r="GO185" s="76">
        <v>66700</v>
      </c>
      <c r="GP185" s="76">
        <v>0</v>
      </c>
      <c r="GQ185" s="76">
        <v>0</v>
      </c>
      <c r="GR185" s="76">
        <v>30800</v>
      </c>
      <c r="GS185" s="76">
        <v>0</v>
      </c>
      <c r="GT185" s="76">
        <v>2100</v>
      </c>
      <c r="GU185" s="76">
        <v>0</v>
      </c>
      <c r="GV185" s="76">
        <v>0</v>
      </c>
      <c r="GW185" s="76">
        <v>16400</v>
      </c>
      <c r="GX185" s="76">
        <v>125500</v>
      </c>
      <c r="GY185" s="76">
        <v>300</v>
      </c>
      <c r="GZ185" s="76">
        <v>2900</v>
      </c>
      <c r="HA185" s="76">
        <v>23900</v>
      </c>
      <c r="HB185" s="76">
        <v>0</v>
      </c>
      <c r="HC185" s="76">
        <v>27100</v>
      </c>
      <c r="HD185" s="76">
        <v>1100</v>
      </c>
      <c r="HE185" s="76">
        <v>11400</v>
      </c>
      <c r="HF185" s="76">
        <v>12500</v>
      </c>
      <c r="HG185" s="76">
        <v>48100</v>
      </c>
      <c r="HH185" s="76">
        <v>600</v>
      </c>
      <c r="HI185" s="76">
        <v>500</v>
      </c>
      <c r="HJ185" s="76">
        <v>0</v>
      </c>
      <c r="HK185" s="76">
        <v>0</v>
      </c>
      <c r="HL185" s="76">
        <v>-2500</v>
      </c>
      <c r="HM185" s="76">
        <v>46700</v>
      </c>
      <c r="HN185" s="76">
        <v>8300</v>
      </c>
      <c r="HO185" s="76">
        <v>24600</v>
      </c>
      <c r="HP185" s="76">
        <v>15600</v>
      </c>
      <c r="HQ185" s="76">
        <v>487</v>
      </c>
      <c r="HR185" s="76">
        <v>0</v>
      </c>
      <c r="HS185" s="76">
        <v>-19</v>
      </c>
      <c r="HT185" s="76">
        <v>21759</v>
      </c>
      <c r="HU185" s="76">
        <v>71</v>
      </c>
      <c r="HV185" s="76">
        <v>0</v>
      </c>
      <c r="HW185" s="76">
        <v>-274</v>
      </c>
      <c r="HX185" s="76">
        <v>151</v>
      </c>
    </row>
    <row r="186" spans="1:232" x14ac:dyDescent="0.2">
      <c r="A186" s="74" t="s">
        <v>552</v>
      </c>
      <c r="B186" s="74" t="s">
        <v>553</v>
      </c>
      <c r="C186" s="75" t="s">
        <v>200</v>
      </c>
      <c r="D186" s="75">
        <v>12</v>
      </c>
      <c r="E186" s="76">
        <v>70330</v>
      </c>
      <c r="F186" s="76">
        <v>-4359</v>
      </c>
      <c r="G186" s="76">
        <v>-50393</v>
      </c>
      <c r="H186" s="76">
        <v>15578</v>
      </c>
      <c r="I186" s="76">
        <v>3361</v>
      </c>
      <c r="J186" s="76">
        <v>38</v>
      </c>
      <c r="K186" s="76">
        <v>0</v>
      </c>
      <c r="L186" s="76">
        <v>0</v>
      </c>
      <c r="M186" s="76">
        <v>600</v>
      </c>
      <c r="N186" s="76">
        <v>-11054</v>
      </c>
      <c r="O186" s="76">
        <v>0</v>
      </c>
      <c r="P186" s="76">
        <v>-1</v>
      </c>
      <c r="Q186" s="76">
        <v>0</v>
      </c>
      <c r="R186" s="76">
        <v>0</v>
      </c>
      <c r="S186" s="76">
        <v>8522</v>
      </c>
      <c r="T186" s="76">
        <v>0</v>
      </c>
      <c r="U186" s="76">
        <v>8522</v>
      </c>
      <c r="V186" s="76">
        <v>0</v>
      </c>
      <c r="W186" s="76">
        <v>0</v>
      </c>
      <c r="X186" s="76">
        <v>0</v>
      </c>
      <c r="Y186" s="76">
        <v>0</v>
      </c>
      <c r="Z186" s="76">
        <v>8522</v>
      </c>
      <c r="AA186" s="76">
        <v>39564</v>
      </c>
      <c r="AB186" s="76">
        <v>4951</v>
      </c>
      <c r="AC186" s="76">
        <v>44515</v>
      </c>
      <c r="AD186" s="76">
        <v>2953</v>
      </c>
      <c r="AE186" s="76">
        <v>0</v>
      </c>
      <c r="AF186" s="76">
        <v>3444</v>
      </c>
      <c r="AG186" s="76">
        <v>6235</v>
      </c>
      <c r="AH186" s="76">
        <v>57147</v>
      </c>
      <c r="AI186" s="76">
        <v>9003</v>
      </c>
      <c r="AJ186" s="76">
        <v>5183</v>
      </c>
      <c r="AK186" s="76">
        <v>6780</v>
      </c>
      <c r="AL186" s="76">
        <v>1135</v>
      </c>
      <c r="AM186" s="76">
        <v>1726</v>
      </c>
      <c r="AN186" s="76">
        <v>200</v>
      </c>
      <c r="AO186" s="76">
        <v>8553</v>
      </c>
      <c r="AP186" s="76">
        <v>0</v>
      </c>
      <c r="AQ186" s="76">
        <v>7835</v>
      </c>
      <c r="AR186" s="76">
        <v>40415</v>
      </c>
      <c r="AS186" s="76">
        <v>16732</v>
      </c>
      <c r="AT186" s="76">
        <v>598</v>
      </c>
      <c r="AU186" s="76">
        <v>508102</v>
      </c>
      <c r="AV186" s="76">
        <v>0</v>
      </c>
      <c r="AW186" s="76">
        <v>5777</v>
      </c>
      <c r="AX186" s="76">
        <v>0</v>
      </c>
      <c r="AY186" s="76">
        <v>0</v>
      </c>
      <c r="AZ186" s="76">
        <v>0</v>
      </c>
      <c r="BA186" s="76">
        <v>0</v>
      </c>
      <c r="BB186" s="76">
        <v>0</v>
      </c>
      <c r="BC186" s="76">
        <v>2000</v>
      </c>
      <c r="BD186" s="76">
        <v>49</v>
      </c>
      <c r="BE186" s="76">
        <v>515928</v>
      </c>
      <c r="BF186" s="76">
        <v>2759</v>
      </c>
      <c r="BG186" s="76">
        <v>856</v>
      </c>
      <c r="BH186" s="76">
        <v>15850</v>
      </c>
      <c r="BI186" s="76">
        <v>8503</v>
      </c>
      <c r="BJ186" s="76">
        <v>13225</v>
      </c>
      <c r="BK186" s="76">
        <v>41193</v>
      </c>
      <c r="BL186" s="76">
        <v>155</v>
      </c>
      <c r="BM186" s="76">
        <v>0</v>
      </c>
      <c r="BN186" s="76">
        <v>3070</v>
      </c>
      <c r="BO186" s="76">
        <v>13766</v>
      </c>
      <c r="BP186" s="76">
        <v>16991</v>
      </c>
      <c r="BQ186" s="76">
        <v>24202</v>
      </c>
      <c r="BR186" s="76">
        <v>540130</v>
      </c>
      <c r="BS186" s="76">
        <v>248880</v>
      </c>
      <c r="BT186" s="76">
        <v>0</v>
      </c>
      <c r="BU186" s="76">
        <v>0</v>
      </c>
      <c r="BV186" s="76">
        <v>207282</v>
      </c>
      <c r="BW186" s="76">
        <v>0</v>
      </c>
      <c r="BX186" s="76">
        <v>0</v>
      </c>
      <c r="BY186" s="76">
        <v>12281</v>
      </c>
      <c r="BZ186" s="76">
        <v>468443</v>
      </c>
      <c r="CA186" s="76">
        <v>0</v>
      </c>
      <c r="CB186" s="76">
        <v>0</v>
      </c>
      <c r="CC186" s="76">
        <v>71687</v>
      </c>
      <c r="CD186" s="76">
        <v>71687</v>
      </c>
      <c r="CE186" s="76">
        <v>0</v>
      </c>
      <c r="CF186" s="76">
        <v>0</v>
      </c>
      <c r="CG186" s="76">
        <v>0</v>
      </c>
      <c r="CH186" s="76">
        <v>0</v>
      </c>
      <c r="CI186" s="76">
        <v>71687</v>
      </c>
      <c r="CJ186" s="76">
        <v>4807</v>
      </c>
      <c r="CK186" s="76">
        <v>4359</v>
      </c>
      <c r="CL186" s="76">
        <v>0</v>
      </c>
      <c r="CM186" s="76">
        <v>448</v>
      </c>
      <c r="CN186" s="76">
        <v>7620</v>
      </c>
      <c r="CO186" s="76">
        <v>0</v>
      </c>
      <c r="CP186" s="76">
        <v>8106</v>
      </c>
      <c r="CQ186" s="76">
        <v>-486</v>
      </c>
      <c r="CR186" s="76">
        <v>621</v>
      </c>
      <c r="CS186" s="76">
        <v>0</v>
      </c>
      <c r="CT186" s="76">
        <v>583</v>
      </c>
      <c r="CU186" s="76">
        <v>38</v>
      </c>
      <c r="CV186" s="76">
        <v>0</v>
      </c>
      <c r="CW186" s="76">
        <v>0</v>
      </c>
      <c r="CX186" s="76">
        <v>0</v>
      </c>
      <c r="CY186" s="76">
        <v>0</v>
      </c>
      <c r="CZ186" s="76">
        <v>135</v>
      </c>
      <c r="DA186" s="76">
        <v>0</v>
      </c>
      <c r="DB186" s="76">
        <v>1289</v>
      </c>
      <c r="DC186" s="76">
        <v>-1154</v>
      </c>
      <c r="DD186" s="76">
        <v>13183</v>
      </c>
      <c r="DE186" s="76">
        <v>4359</v>
      </c>
      <c r="DF186" s="76">
        <v>9978</v>
      </c>
      <c r="DG186" s="76">
        <v>-1154</v>
      </c>
      <c r="DH186" s="76">
        <v>0</v>
      </c>
      <c r="DI186" s="76">
        <v>0</v>
      </c>
      <c r="DJ186" s="76">
        <v>0</v>
      </c>
      <c r="DK186" s="76">
        <v>0</v>
      </c>
      <c r="DL186" s="76">
        <v>0</v>
      </c>
      <c r="DM186" s="76">
        <v>0</v>
      </c>
      <c r="DN186" s="76">
        <v>0</v>
      </c>
      <c r="DO186" s="76">
        <v>0</v>
      </c>
      <c r="DP186" s="76">
        <v>0</v>
      </c>
      <c r="DQ186" s="76">
        <v>0</v>
      </c>
      <c r="DR186" s="76">
        <v>0</v>
      </c>
      <c r="DS186" s="76">
        <v>0</v>
      </c>
      <c r="DT186" s="76">
        <v>0</v>
      </c>
      <c r="DU186" s="76">
        <v>0</v>
      </c>
      <c r="DV186" s="76">
        <v>0</v>
      </c>
      <c r="DW186" s="76">
        <v>0</v>
      </c>
      <c r="DX186" s="76">
        <v>0</v>
      </c>
      <c r="DY186" s="76">
        <v>0</v>
      </c>
      <c r="DZ186" s="76">
        <v>0</v>
      </c>
      <c r="EA186" s="76">
        <v>0</v>
      </c>
      <c r="EB186" s="76">
        <v>0</v>
      </c>
      <c r="EC186" s="76">
        <v>0</v>
      </c>
      <c r="ED186" s="76">
        <v>0</v>
      </c>
      <c r="EE186" s="76">
        <v>0</v>
      </c>
      <c r="EF186" s="76">
        <v>0</v>
      </c>
      <c r="EG186" s="76">
        <v>0</v>
      </c>
      <c r="EH186" s="76">
        <v>0</v>
      </c>
      <c r="EI186" s="76">
        <v>0</v>
      </c>
      <c r="EJ186" s="76">
        <v>13183</v>
      </c>
      <c r="EK186" s="76">
        <v>4359</v>
      </c>
      <c r="EL186" s="76">
        <v>9978</v>
      </c>
      <c r="EM186" s="76">
        <v>-1154</v>
      </c>
      <c r="EN186" s="76">
        <v>1216</v>
      </c>
      <c r="EO186" s="76">
        <v>3</v>
      </c>
      <c r="EP186" s="76">
        <v>363</v>
      </c>
      <c r="EQ186" s="76">
        <v>0</v>
      </c>
      <c r="ER186" s="76">
        <v>573100</v>
      </c>
      <c r="ES186" s="76">
        <v>0</v>
      </c>
      <c r="ET186" s="76">
        <v>573100</v>
      </c>
      <c r="EU186" s="76">
        <v>26125</v>
      </c>
      <c r="EV186" s="76">
        <v>-7721</v>
      </c>
      <c r="EW186" s="76">
        <v>0</v>
      </c>
      <c r="EX186" s="76">
        <v>0</v>
      </c>
      <c r="EY186" s="76">
        <v>0</v>
      </c>
      <c r="EZ186" s="76">
        <v>591504</v>
      </c>
      <c r="FA186" s="76">
        <v>76869</v>
      </c>
      <c r="FB186" s="76">
        <v>7922</v>
      </c>
      <c r="FC186" s="76">
        <v>0</v>
      </c>
      <c r="FD186" s="76">
        <v>0</v>
      </c>
      <c r="FE186" s="76">
        <v>-1389</v>
      </c>
      <c r="FF186" s="76">
        <v>0</v>
      </c>
      <c r="FG186" s="76">
        <v>0</v>
      </c>
      <c r="FH186" s="76">
        <v>83402</v>
      </c>
      <c r="FI186" s="76">
        <v>508102</v>
      </c>
      <c r="FJ186" s="76">
        <v>496231</v>
      </c>
      <c r="FK186" s="76">
        <v>1969</v>
      </c>
      <c r="FL186" s="76">
        <v>1578</v>
      </c>
      <c r="FM186" s="76">
        <v>391</v>
      </c>
      <c r="FN186" s="76">
        <v>0</v>
      </c>
      <c r="FO186" s="76">
        <v>0</v>
      </c>
      <c r="FP186" s="76">
        <v>0</v>
      </c>
      <c r="FQ186" s="76">
        <v>0</v>
      </c>
      <c r="FR186" s="76">
        <v>0</v>
      </c>
      <c r="FS186" s="76">
        <v>0</v>
      </c>
      <c r="FT186" s="76">
        <v>5254</v>
      </c>
      <c r="FU186" s="76">
        <v>2284</v>
      </c>
      <c r="FV186" s="76">
        <v>2970</v>
      </c>
      <c r="FW186" s="76">
        <v>0</v>
      </c>
      <c r="FX186" s="76">
        <v>0</v>
      </c>
      <c r="FY186" s="76">
        <v>0</v>
      </c>
      <c r="FZ186" s="76">
        <v>0</v>
      </c>
      <c r="GA186" s="76">
        <v>0</v>
      </c>
      <c r="GB186" s="76">
        <v>0</v>
      </c>
      <c r="GC186" s="76">
        <v>7223</v>
      </c>
      <c r="GD186" s="76">
        <v>3862</v>
      </c>
      <c r="GE186" s="76">
        <v>3361</v>
      </c>
      <c r="GF186" s="76">
        <v>10440</v>
      </c>
      <c r="GG186" s="76">
        <v>0</v>
      </c>
      <c r="GH186" s="76">
        <v>323</v>
      </c>
      <c r="GI186" s="76">
        <v>0</v>
      </c>
      <c r="GJ186" s="76">
        <v>0</v>
      </c>
      <c r="GK186" s="76">
        <v>2462</v>
      </c>
      <c r="GL186" s="76">
        <v>13225</v>
      </c>
      <c r="GM186" s="76">
        <v>2112</v>
      </c>
      <c r="GN186" s="76">
        <v>1376</v>
      </c>
      <c r="GO186" s="76">
        <v>1900</v>
      </c>
      <c r="GP186" s="76">
        <v>816</v>
      </c>
      <c r="GQ186" s="76">
        <v>88</v>
      </c>
      <c r="GR186" s="76">
        <v>1078</v>
      </c>
      <c r="GS186" s="76">
        <v>0</v>
      </c>
      <c r="GT186" s="76">
        <v>0</v>
      </c>
      <c r="GU186" s="76">
        <v>1332</v>
      </c>
      <c r="GV186" s="76">
        <v>0</v>
      </c>
      <c r="GW186" s="76">
        <v>5064</v>
      </c>
      <c r="GX186" s="76">
        <v>13766</v>
      </c>
      <c r="GY186" s="76">
        <v>3210</v>
      </c>
      <c r="GZ186" s="76">
        <v>139</v>
      </c>
      <c r="HA186" s="76">
        <v>8714</v>
      </c>
      <c r="HB186" s="76">
        <v>218</v>
      </c>
      <c r="HC186" s="76">
        <v>12281</v>
      </c>
      <c r="HD186" s="76">
        <v>0</v>
      </c>
      <c r="HE186" s="76">
        <v>0</v>
      </c>
      <c r="HF186" s="76">
        <v>0</v>
      </c>
      <c r="HG186" s="76">
        <v>11573</v>
      </c>
      <c r="HH186" s="76">
        <v>-331</v>
      </c>
      <c r="HI186" s="76">
        <v>209</v>
      </c>
      <c r="HJ186" s="76">
        <v>13</v>
      </c>
      <c r="HK186" s="76">
        <v>0</v>
      </c>
      <c r="HL186" s="76">
        <v>-410</v>
      </c>
      <c r="HM186" s="76">
        <v>11054</v>
      </c>
      <c r="HN186" s="76">
        <v>2496</v>
      </c>
      <c r="HO186" s="76">
        <v>9574</v>
      </c>
      <c r="HP186" s="76">
        <v>0</v>
      </c>
      <c r="HQ186" s="76">
        <v>225</v>
      </c>
      <c r="HR186" s="76">
        <v>-105</v>
      </c>
      <c r="HS186" s="76">
        <v>14</v>
      </c>
      <c r="HT186" s="76">
        <v>9003</v>
      </c>
      <c r="HU186" s="76">
        <v>0</v>
      </c>
      <c r="HV186" s="76">
        <v>0</v>
      </c>
      <c r="HW186" s="76">
        <v>0</v>
      </c>
      <c r="HX186" s="76">
        <v>0</v>
      </c>
    </row>
    <row r="187" spans="1:232" x14ac:dyDescent="0.2">
      <c r="A187" s="74" t="s">
        <v>557</v>
      </c>
      <c r="B187" s="74" t="s">
        <v>556</v>
      </c>
      <c r="C187" s="75" t="s">
        <v>200</v>
      </c>
      <c r="D187" s="75">
        <v>12</v>
      </c>
      <c r="E187" s="76">
        <v>38455</v>
      </c>
      <c r="F187" s="76">
        <v>-2237</v>
      </c>
      <c r="G187" s="76">
        <v>-25840</v>
      </c>
      <c r="H187" s="76">
        <v>10378</v>
      </c>
      <c r="I187" s="76">
        <v>280</v>
      </c>
      <c r="J187" s="76">
        <v>0</v>
      </c>
      <c r="K187" s="76">
        <v>-1132</v>
      </c>
      <c r="L187" s="76">
        <v>0</v>
      </c>
      <c r="M187" s="76">
        <v>116</v>
      </c>
      <c r="N187" s="76">
        <v>-1642</v>
      </c>
      <c r="O187" s="76">
        <v>0</v>
      </c>
      <c r="P187" s="76">
        <v>0</v>
      </c>
      <c r="Q187" s="76">
        <v>-852</v>
      </c>
      <c r="R187" s="76">
        <v>0</v>
      </c>
      <c r="S187" s="76">
        <v>7148</v>
      </c>
      <c r="T187" s="76">
        <v>0</v>
      </c>
      <c r="U187" s="76">
        <v>7148</v>
      </c>
      <c r="V187" s="76">
        <v>0</v>
      </c>
      <c r="W187" s="76">
        <v>-4296</v>
      </c>
      <c r="X187" s="76">
        <v>0</v>
      </c>
      <c r="Y187" s="76">
        <v>0</v>
      </c>
      <c r="Z187" s="76">
        <v>2852</v>
      </c>
      <c r="AA187" s="76">
        <v>30870</v>
      </c>
      <c r="AB187" s="76">
        <v>1426</v>
      </c>
      <c r="AC187" s="76">
        <v>32296</v>
      </c>
      <c r="AD187" s="76">
        <v>0</v>
      </c>
      <c r="AE187" s="76">
        <v>0</v>
      </c>
      <c r="AF187" s="76">
        <v>0</v>
      </c>
      <c r="AG187" s="76">
        <v>0</v>
      </c>
      <c r="AH187" s="76">
        <v>32296</v>
      </c>
      <c r="AI187" s="76">
        <v>5410</v>
      </c>
      <c r="AJ187" s="76">
        <v>1661</v>
      </c>
      <c r="AK187" s="76">
        <v>3919</v>
      </c>
      <c r="AL187" s="76">
        <v>2278</v>
      </c>
      <c r="AM187" s="76">
        <v>4404</v>
      </c>
      <c r="AN187" s="76">
        <v>136</v>
      </c>
      <c r="AO187" s="76">
        <v>2745</v>
      </c>
      <c r="AP187" s="76">
        <v>0</v>
      </c>
      <c r="AQ187" s="76">
        <v>0</v>
      </c>
      <c r="AR187" s="76">
        <v>20553</v>
      </c>
      <c r="AS187" s="76">
        <v>11743</v>
      </c>
      <c r="AT187" s="76">
        <v>455</v>
      </c>
      <c r="AU187" s="76">
        <v>98838</v>
      </c>
      <c r="AV187" s="76">
        <v>0</v>
      </c>
      <c r="AW187" s="76">
        <v>9966</v>
      </c>
      <c r="AX187" s="76">
        <v>0</v>
      </c>
      <c r="AY187" s="76">
        <v>0</v>
      </c>
      <c r="AZ187" s="76">
        <v>0</v>
      </c>
      <c r="BA187" s="76">
        <v>0</v>
      </c>
      <c r="BB187" s="76">
        <v>0</v>
      </c>
      <c r="BC187" s="76">
        <v>0</v>
      </c>
      <c r="BD187" s="76">
        <v>5212</v>
      </c>
      <c r="BE187" s="76">
        <v>114016</v>
      </c>
      <c r="BF187" s="76">
        <v>2102</v>
      </c>
      <c r="BG187" s="76">
        <v>17370</v>
      </c>
      <c r="BH187" s="76">
        <v>10361</v>
      </c>
      <c r="BI187" s="76">
        <v>0</v>
      </c>
      <c r="BJ187" s="76">
        <v>91</v>
      </c>
      <c r="BK187" s="76">
        <v>29924</v>
      </c>
      <c r="BL187" s="76">
        <v>0</v>
      </c>
      <c r="BM187" s="76">
        <v>0</v>
      </c>
      <c r="BN187" s="76">
        <v>72</v>
      </c>
      <c r="BO187" s="76">
        <v>6290</v>
      </c>
      <c r="BP187" s="76">
        <v>6362</v>
      </c>
      <c r="BQ187" s="76">
        <v>23562</v>
      </c>
      <c r="BR187" s="76">
        <v>137578</v>
      </c>
      <c r="BS187" s="76">
        <v>52500</v>
      </c>
      <c r="BT187" s="76">
        <v>0</v>
      </c>
      <c r="BU187" s="76">
        <v>0</v>
      </c>
      <c r="BV187" s="76">
        <v>6516</v>
      </c>
      <c r="BW187" s="76">
        <v>0</v>
      </c>
      <c r="BX187" s="76">
        <v>0</v>
      </c>
      <c r="BY187" s="76">
        <v>169</v>
      </c>
      <c r="BZ187" s="76">
        <v>59185</v>
      </c>
      <c r="CA187" s="76">
        <v>11279</v>
      </c>
      <c r="CB187" s="76">
        <v>9402</v>
      </c>
      <c r="CC187" s="76">
        <v>57712</v>
      </c>
      <c r="CD187" s="76">
        <v>57712</v>
      </c>
      <c r="CE187" s="76">
        <v>0</v>
      </c>
      <c r="CF187" s="76">
        <v>0</v>
      </c>
      <c r="CG187" s="76">
        <v>0</v>
      </c>
      <c r="CH187" s="76">
        <v>0</v>
      </c>
      <c r="CI187" s="76">
        <v>57712</v>
      </c>
      <c r="CJ187" s="76">
        <v>2183</v>
      </c>
      <c r="CK187" s="76">
        <v>2237</v>
      </c>
      <c r="CL187" s="76">
        <v>0</v>
      </c>
      <c r="CM187" s="76">
        <v>-54</v>
      </c>
      <c r="CN187" s="76">
        <v>2777</v>
      </c>
      <c r="CO187" s="76">
        <v>0</v>
      </c>
      <c r="CP187" s="76">
        <v>3771</v>
      </c>
      <c r="CQ187" s="76">
        <v>-994</v>
      </c>
      <c r="CR187" s="76">
        <v>0</v>
      </c>
      <c r="CS187" s="76">
        <v>0</v>
      </c>
      <c r="CT187" s="76">
        <v>0</v>
      </c>
      <c r="CU187" s="76">
        <v>0</v>
      </c>
      <c r="CV187" s="76">
        <v>0</v>
      </c>
      <c r="CW187" s="76">
        <v>0</v>
      </c>
      <c r="CX187" s="76">
        <v>0</v>
      </c>
      <c r="CY187" s="76">
        <v>0</v>
      </c>
      <c r="CZ187" s="76">
        <v>126</v>
      </c>
      <c r="DA187" s="76">
        <v>0</v>
      </c>
      <c r="DB187" s="76">
        <v>77</v>
      </c>
      <c r="DC187" s="76">
        <v>49</v>
      </c>
      <c r="DD187" s="76">
        <v>5086</v>
      </c>
      <c r="DE187" s="76">
        <v>2237</v>
      </c>
      <c r="DF187" s="76">
        <v>3848</v>
      </c>
      <c r="DG187" s="76">
        <v>-999</v>
      </c>
      <c r="DH187" s="76">
        <v>0</v>
      </c>
      <c r="DI187" s="76">
        <v>0</v>
      </c>
      <c r="DJ187" s="76">
        <v>0</v>
      </c>
      <c r="DK187" s="76">
        <v>0</v>
      </c>
      <c r="DL187" s="76">
        <v>0</v>
      </c>
      <c r="DM187" s="76">
        <v>0</v>
      </c>
      <c r="DN187" s="76">
        <v>0</v>
      </c>
      <c r="DO187" s="76">
        <v>0</v>
      </c>
      <c r="DP187" s="76">
        <v>0</v>
      </c>
      <c r="DQ187" s="76">
        <v>0</v>
      </c>
      <c r="DR187" s="76">
        <v>0</v>
      </c>
      <c r="DS187" s="76">
        <v>0</v>
      </c>
      <c r="DT187" s="76">
        <v>0</v>
      </c>
      <c r="DU187" s="76">
        <v>0</v>
      </c>
      <c r="DV187" s="76">
        <v>0</v>
      </c>
      <c r="DW187" s="76">
        <v>0</v>
      </c>
      <c r="DX187" s="76">
        <v>0</v>
      </c>
      <c r="DY187" s="76">
        <v>0</v>
      </c>
      <c r="DZ187" s="76">
        <v>0</v>
      </c>
      <c r="EA187" s="76">
        <v>0</v>
      </c>
      <c r="EB187" s="76">
        <v>1073</v>
      </c>
      <c r="EC187" s="76">
        <v>0</v>
      </c>
      <c r="ED187" s="76">
        <v>1439</v>
      </c>
      <c r="EE187" s="76">
        <v>-366</v>
      </c>
      <c r="EF187" s="76">
        <v>1073</v>
      </c>
      <c r="EG187" s="76">
        <v>0</v>
      </c>
      <c r="EH187" s="76">
        <v>1439</v>
      </c>
      <c r="EI187" s="76">
        <v>-366</v>
      </c>
      <c r="EJ187" s="76">
        <v>6159</v>
      </c>
      <c r="EK187" s="76">
        <v>2237</v>
      </c>
      <c r="EL187" s="76">
        <v>5287</v>
      </c>
      <c r="EM187" s="76">
        <v>-1365</v>
      </c>
      <c r="EN187" s="76">
        <v>1150</v>
      </c>
      <c r="EO187" s="76">
        <v>830</v>
      </c>
      <c r="EP187" s="76">
        <v>372</v>
      </c>
      <c r="EQ187" s="76">
        <v>712</v>
      </c>
      <c r="ER187" s="76">
        <v>106534</v>
      </c>
      <c r="ES187" s="76">
        <v>0</v>
      </c>
      <c r="ET187" s="76">
        <v>106534</v>
      </c>
      <c r="EU187" s="76">
        <v>9760</v>
      </c>
      <c r="EV187" s="76">
        <v>-749</v>
      </c>
      <c r="EW187" s="76">
        <v>0</v>
      </c>
      <c r="EX187" s="76">
        <v>0</v>
      </c>
      <c r="EY187" s="76">
        <v>0</v>
      </c>
      <c r="EZ187" s="76">
        <v>115545</v>
      </c>
      <c r="FA187" s="76">
        <v>13216</v>
      </c>
      <c r="FB187" s="76">
        <v>2745</v>
      </c>
      <c r="FC187" s="76">
        <v>852</v>
      </c>
      <c r="FD187" s="76">
        <v>0</v>
      </c>
      <c r="FE187" s="76">
        <v>-106</v>
      </c>
      <c r="FF187" s="76">
        <v>0</v>
      </c>
      <c r="FG187" s="76">
        <v>0</v>
      </c>
      <c r="FH187" s="76">
        <v>16707</v>
      </c>
      <c r="FI187" s="76">
        <v>98838</v>
      </c>
      <c r="FJ187" s="76">
        <v>93318</v>
      </c>
      <c r="FK187" s="76">
        <v>32</v>
      </c>
      <c r="FL187" s="76">
        <v>3</v>
      </c>
      <c r="FM187" s="76">
        <v>29</v>
      </c>
      <c r="FN187" s="76">
        <v>802</v>
      </c>
      <c r="FO187" s="76">
        <v>560</v>
      </c>
      <c r="FP187" s="76">
        <v>242</v>
      </c>
      <c r="FQ187" s="76">
        <v>0</v>
      </c>
      <c r="FR187" s="76">
        <v>0</v>
      </c>
      <c r="FS187" s="76">
        <v>0</v>
      </c>
      <c r="FT187" s="76">
        <v>0</v>
      </c>
      <c r="FU187" s="76">
        <v>0</v>
      </c>
      <c r="FV187" s="76">
        <v>0</v>
      </c>
      <c r="FW187" s="76">
        <v>0</v>
      </c>
      <c r="FX187" s="76">
        <v>0</v>
      </c>
      <c r="FY187" s="76">
        <v>0</v>
      </c>
      <c r="FZ187" s="76">
        <v>10</v>
      </c>
      <c r="GA187" s="76">
        <v>1</v>
      </c>
      <c r="GB187" s="76">
        <v>9</v>
      </c>
      <c r="GC187" s="76">
        <v>844</v>
      </c>
      <c r="GD187" s="76">
        <v>564</v>
      </c>
      <c r="GE187" s="76">
        <v>280</v>
      </c>
      <c r="GF187" s="76">
        <v>0</v>
      </c>
      <c r="GG187" s="76">
        <v>0</v>
      </c>
      <c r="GH187" s="76">
        <v>0</v>
      </c>
      <c r="GI187" s="76">
        <v>0</v>
      </c>
      <c r="GJ187" s="76">
        <v>0</v>
      </c>
      <c r="GK187" s="76">
        <v>91</v>
      </c>
      <c r="GL187" s="76">
        <v>91</v>
      </c>
      <c r="GM187" s="76">
        <v>85</v>
      </c>
      <c r="GN187" s="76">
        <v>466</v>
      </c>
      <c r="GO187" s="76">
        <v>0</v>
      </c>
      <c r="GP187" s="76">
        <v>0</v>
      </c>
      <c r="GQ187" s="76">
        <v>0</v>
      </c>
      <c r="GR187" s="76">
        <v>3535</v>
      </c>
      <c r="GS187" s="76">
        <v>24</v>
      </c>
      <c r="GT187" s="76">
        <v>0</v>
      </c>
      <c r="GU187" s="76">
        <v>0</v>
      </c>
      <c r="GV187" s="76">
        <v>0</v>
      </c>
      <c r="GW187" s="76">
        <v>2180</v>
      </c>
      <c r="GX187" s="76">
        <v>6290</v>
      </c>
      <c r="GY187" s="76">
        <v>16</v>
      </c>
      <c r="GZ187" s="76">
        <v>153</v>
      </c>
      <c r="HA187" s="76">
        <v>0</v>
      </c>
      <c r="HB187" s="76">
        <v>0</v>
      </c>
      <c r="HC187" s="76">
        <v>169</v>
      </c>
      <c r="HD187" s="76">
        <v>0</v>
      </c>
      <c r="HE187" s="76">
        <v>9402</v>
      </c>
      <c r="HF187" s="76">
        <v>9402</v>
      </c>
      <c r="HG187" s="76">
        <v>1482</v>
      </c>
      <c r="HH187" s="76">
        <v>0</v>
      </c>
      <c r="HI187" s="76">
        <v>230</v>
      </c>
      <c r="HJ187" s="76">
        <v>0</v>
      </c>
      <c r="HK187" s="76">
        <v>0</v>
      </c>
      <c r="HL187" s="76">
        <v>-70</v>
      </c>
      <c r="HM187" s="76">
        <v>1642</v>
      </c>
      <c r="HN187" s="76">
        <v>3464</v>
      </c>
      <c r="HO187" s="76">
        <v>3752</v>
      </c>
      <c r="HP187" s="76">
        <v>1984</v>
      </c>
      <c r="HQ187" s="76">
        <v>81</v>
      </c>
      <c r="HR187" s="76">
        <v>-24</v>
      </c>
      <c r="HS187" s="76">
        <v>0</v>
      </c>
      <c r="HT187" s="76">
        <v>6424</v>
      </c>
      <c r="HU187" s="76">
        <v>2</v>
      </c>
      <c r="HV187" s="76">
        <v>0</v>
      </c>
      <c r="HW187" s="76">
        <v>4</v>
      </c>
      <c r="HX187" s="76">
        <v>504</v>
      </c>
    </row>
    <row r="188" spans="1:232" x14ac:dyDescent="0.2">
      <c r="A188" s="71" t="s">
        <v>560</v>
      </c>
      <c r="B188" s="71" t="s">
        <v>561</v>
      </c>
      <c r="C188" s="72" t="s">
        <v>200</v>
      </c>
      <c r="D188" s="72">
        <v>12</v>
      </c>
      <c r="E188" s="73">
        <v>24938</v>
      </c>
      <c r="F188" s="73">
        <v>-4033</v>
      </c>
      <c r="G188" s="73">
        <v>-11349</v>
      </c>
      <c r="H188" s="73">
        <v>9556</v>
      </c>
      <c r="I188" s="73">
        <v>1285</v>
      </c>
      <c r="J188" s="73">
        <v>1000</v>
      </c>
      <c r="K188" s="73">
        <v>0</v>
      </c>
      <c r="L188" s="73">
        <v>0</v>
      </c>
      <c r="M188" s="73">
        <v>78</v>
      </c>
      <c r="N188" s="73">
        <v>-7281</v>
      </c>
      <c r="O188" s="73">
        <v>0</v>
      </c>
      <c r="P188" s="73">
        <v>0</v>
      </c>
      <c r="Q188" s="73">
        <v>0</v>
      </c>
      <c r="R188" s="73">
        <v>0</v>
      </c>
      <c r="S188" s="73">
        <v>4638</v>
      </c>
      <c r="T188" s="73">
        <v>-37</v>
      </c>
      <c r="U188" s="73">
        <v>4601</v>
      </c>
      <c r="V188" s="73">
        <v>0</v>
      </c>
      <c r="W188" s="73">
        <v>-351</v>
      </c>
      <c r="X188" s="73">
        <v>0</v>
      </c>
      <c r="Y188" s="73">
        <v>0</v>
      </c>
      <c r="Z188" s="73">
        <v>4250</v>
      </c>
      <c r="AA188" s="73">
        <v>18676</v>
      </c>
      <c r="AB188" s="73">
        <v>761</v>
      </c>
      <c r="AC188" s="73">
        <v>19437</v>
      </c>
      <c r="AD188" s="73">
        <v>524</v>
      </c>
      <c r="AE188" s="73">
        <v>0</v>
      </c>
      <c r="AF188" s="73">
        <v>0</v>
      </c>
      <c r="AG188" s="73">
        <v>0</v>
      </c>
      <c r="AH188" s="73">
        <v>19961</v>
      </c>
      <c r="AI188" s="73">
        <v>3926</v>
      </c>
      <c r="AJ188" s="73">
        <v>657</v>
      </c>
      <c r="AK188" s="73">
        <v>2084</v>
      </c>
      <c r="AL188" s="73">
        <v>780</v>
      </c>
      <c r="AM188" s="73">
        <v>185</v>
      </c>
      <c r="AN188" s="73">
        <v>173</v>
      </c>
      <c r="AO188" s="73">
        <v>3544</v>
      </c>
      <c r="AP188" s="73">
        <v>0</v>
      </c>
      <c r="AQ188" s="73">
        <v>0</v>
      </c>
      <c r="AR188" s="73">
        <v>11349</v>
      </c>
      <c r="AS188" s="73">
        <v>8612</v>
      </c>
      <c r="AT188" s="73">
        <v>173</v>
      </c>
      <c r="AU188" s="73">
        <v>202797</v>
      </c>
      <c r="AV188" s="73">
        <v>0</v>
      </c>
      <c r="AW188" s="73">
        <v>3852</v>
      </c>
      <c r="AX188" s="73">
        <v>0</v>
      </c>
      <c r="AY188" s="73">
        <v>0</v>
      </c>
      <c r="AZ188" s="73">
        <v>0</v>
      </c>
      <c r="BA188" s="73">
        <v>0</v>
      </c>
      <c r="BB188" s="73">
        <v>0</v>
      </c>
      <c r="BC188" s="73">
        <v>0</v>
      </c>
      <c r="BD188" s="73">
        <v>1500</v>
      </c>
      <c r="BE188" s="73">
        <v>208149</v>
      </c>
      <c r="BF188" s="73">
        <v>2102</v>
      </c>
      <c r="BG188" s="73">
        <v>967</v>
      </c>
      <c r="BH188" s="73">
        <v>22158</v>
      </c>
      <c r="BI188" s="73">
        <v>0</v>
      </c>
      <c r="BJ188" s="73">
        <v>23</v>
      </c>
      <c r="BK188" s="73">
        <v>25250</v>
      </c>
      <c r="BL188" s="73">
        <v>0</v>
      </c>
      <c r="BM188" s="73">
        <v>0</v>
      </c>
      <c r="BN188" s="73">
        <v>523</v>
      </c>
      <c r="BO188" s="73">
        <v>3096</v>
      </c>
      <c r="BP188" s="73">
        <v>3619</v>
      </c>
      <c r="BQ188" s="73">
        <v>21631</v>
      </c>
      <c r="BR188" s="73">
        <v>229780</v>
      </c>
      <c r="BS188" s="73">
        <v>149358</v>
      </c>
      <c r="BT188" s="73">
        <v>0</v>
      </c>
      <c r="BU188" s="73">
        <v>0</v>
      </c>
      <c r="BV188" s="73">
        <v>44911</v>
      </c>
      <c r="BW188" s="73">
        <v>0</v>
      </c>
      <c r="BX188" s="73">
        <v>0</v>
      </c>
      <c r="BY188" s="73">
        <v>0</v>
      </c>
      <c r="BZ188" s="73">
        <v>194269</v>
      </c>
      <c r="CA188" s="73">
        <v>2629</v>
      </c>
      <c r="CB188" s="73">
        <v>0</v>
      </c>
      <c r="CC188" s="73">
        <v>32882</v>
      </c>
      <c r="CD188" s="73">
        <v>32882</v>
      </c>
      <c r="CE188" s="73">
        <v>0</v>
      </c>
      <c r="CF188" s="73">
        <v>0</v>
      </c>
      <c r="CG188" s="73">
        <v>0</v>
      </c>
      <c r="CH188" s="73">
        <v>0</v>
      </c>
      <c r="CI188" s="73">
        <v>32882</v>
      </c>
      <c r="CJ188" s="73">
        <v>4333</v>
      </c>
      <c r="CK188" s="73">
        <v>3650</v>
      </c>
      <c r="CL188" s="73">
        <v>0</v>
      </c>
      <c r="CM188" s="73">
        <v>683</v>
      </c>
      <c r="CN188" s="73">
        <v>0</v>
      </c>
      <c r="CO188" s="73">
        <v>0</v>
      </c>
      <c r="CP188" s="73">
        <v>0</v>
      </c>
      <c r="CQ188" s="73">
        <v>0</v>
      </c>
      <c r="CR188" s="73">
        <v>0</v>
      </c>
      <c r="CS188" s="73">
        <v>0</v>
      </c>
      <c r="CT188" s="73">
        <v>0</v>
      </c>
      <c r="CU188" s="73">
        <v>0</v>
      </c>
      <c r="CV188" s="73">
        <v>0</v>
      </c>
      <c r="CW188" s="73">
        <v>0</v>
      </c>
      <c r="CX188" s="73">
        <v>0</v>
      </c>
      <c r="CY188" s="73">
        <v>0</v>
      </c>
      <c r="CZ188" s="73">
        <v>0</v>
      </c>
      <c r="DA188" s="73">
        <v>0</v>
      </c>
      <c r="DB188" s="73">
        <v>0</v>
      </c>
      <c r="DC188" s="73">
        <v>0</v>
      </c>
      <c r="DD188" s="73">
        <v>4333</v>
      </c>
      <c r="DE188" s="73">
        <v>3650</v>
      </c>
      <c r="DF188" s="73">
        <v>0</v>
      </c>
      <c r="DG188" s="73">
        <v>683</v>
      </c>
      <c r="DH188" s="73">
        <v>0</v>
      </c>
      <c r="DI188" s="73">
        <v>0</v>
      </c>
      <c r="DJ188" s="73">
        <v>0</v>
      </c>
      <c r="DK188" s="73">
        <v>0</v>
      </c>
      <c r="DL188" s="73">
        <v>0</v>
      </c>
      <c r="DM188" s="73">
        <v>0</v>
      </c>
      <c r="DN188" s="73">
        <v>0</v>
      </c>
      <c r="DO188" s="73">
        <v>0</v>
      </c>
      <c r="DP188" s="73">
        <v>0</v>
      </c>
      <c r="DQ188" s="73">
        <v>0</v>
      </c>
      <c r="DR188" s="73">
        <v>0</v>
      </c>
      <c r="DS188" s="73">
        <v>0</v>
      </c>
      <c r="DT188" s="73">
        <v>0</v>
      </c>
      <c r="DU188" s="73">
        <v>0</v>
      </c>
      <c r="DV188" s="73">
        <v>0</v>
      </c>
      <c r="DW188" s="73">
        <v>0</v>
      </c>
      <c r="DX188" s="73">
        <v>0</v>
      </c>
      <c r="DY188" s="73">
        <v>0</v>
      </c>
      <c r="DZ188" s="73">
        <v>0</v>
      </c>
      <c r="EA188" s="73">
        <v>0</v>
      </c>
      <c r="EB188" s="73">
        <v>644</v>
      </c>
      <c r="EC188" s="73">
        <v>383</v>
      </c>
      <c r="ED188" s="73">
        <v>0</v>
      </c>
      <c r="EE188" s="73">
        <v>261</v>
      </c>
      <c r="EF188" s="73">
        <v>644</v>
      </c>
      <c r="EG188" s="73">
        <v>383</v>
      </c>
      <c r="EH188" s="73">
        <v>0</v>
      </c>
      <c r="EI188" s="73">
        <v>261</v>
      </c>
      <c r="EJ188" s="73">
        <v>4977</v>
      </c>
      <c r="EK188" s="73">
        <v>4033</v>
      </c>
      <c r="EL188" s="73">
        <v>0</v>
      </c>
      <c r="EM188" s="73">
        <v>944</v>
      </c>
      <c r="EN188" s="73">
        <v>709</v>
      </c>
      <c r="EO188" s="73">
        <v>280</v>
      </c>
      <c r="EP188" s="73">
        <v>213</v>
      </c>
      <c r="EQ188" s="73">
        <v>240</v>
      </c>
      <c r="ER188" s="73">
        <v>217960</v>
      </c>
      <c r="ES188" s="73">
        <v>0</v>
      </c>
      <c r="ET188" s="73">
        <v>217960</v>
      </c>
      <c r="EU188" s="73">
        <v>15563</v>
      </c>
      <c r="EV188" s="73">
        <v>-1057</v>
      </c>
      <c r="EW188" s="73">
        <v>0</v>
      </c>
      <c r="EX188" s="73">
        <v>0</v>
      </c>
      <c r="EY188" s="73">
        <v>0</v>
      </c>
      <c r="EZ188" s="73">
        <v>232466</v>
      </c>
      <c r="FA188" s="73">
        <v>26259</v>
      </c>
      <c r="FB188" s="73">
        <v>3545</v>
      </c>
      <c r="FC188" s="73">
        <v>0</v>
      </c>
      <c r="FD188" s="73">
        <v>0</v>
      </c>
      <c r="FE188" s="73">
        <v>-135</v>
      </c>
      <c r="FF188" s="73">
        <v>0</v>
      </c>
      <c r="FG188" s="73">
        <v>0</v>
      </c>
      <c r="FH188" s="73">
        <v>29669</v>
      </c>
      <c r="FI188" s="73">
        <v>202797</v>
      </c>
      <c r="FJ188" s="73">
        <v>191701</v>
      </c>
      <c r="FK188" s="73">
        <v>328</v>
      </c>
      <c r="FL188" s="73">
        <v>227</v>
      </c>
      <c r="FM188" s="73">
        <v>101</v>
      </c>
      <c r="FN188" s="73">
        <v>586</v>
      </c>
      <c r="FO188" s="73">
        <v>597</v>
      </c>
      <c r="FP188" s="73">
        <v>-11</v>
      </c>
      <c r="FQ188" s="73">
        <v>140</v>
      </c>
      <c r="FR188" s="73">
        <v>28</v>
      </c>
      <c r="FS188" s="73">
        <v>112</v>
      </c>
      <c r="FT188" s="73">
        <v>1298</v>
      </c>
      <c r="FU188" s="73">
        <v>334</v>
      </c>
      <c r="FV188" s="73">
        <v>964</v>
      </c>
      <c r="FW188" s="73">
        <v>0</v>
      </c>
      <c r="FX188" s="73">
        <v>0</v>
      </c>
      <c r="FY188" s="73">
        <v>0</v>
      </c>
      <c r="FZ188" s="73">
        <v>228</v>
      </c>
      <c r="GA188" s="73">
        <v>109</v>
      </c>
      <c r="GB188" s="73">
        <v>119</v>
      </c>
      <c r="GC188" s="73">
        <v>2580</v>
      </c>
      <c r="GD188" s="73">
        <v>1295</v>
      </c>
      <c r="GE188" s="73">
        <v>1285</v>
      </c>
      <c r="GF188" s="73">
        <v>0</v>
      </c>
      <c r="GG188" s="73">
        <v>0</v>
      </c>
      <c r="GH188" s="73">
        <v>0</v>
      </c>
      <c r="GI188" s="73">
        <v>0</v>
      </c>
      <c r="GJ188" s="73">
        <v>0</v>
      </c>
      <c r="GK188" s="73">
        <v>23</v>
      </c>
      <c r="GL188" s="73">
        <v>23</v>
      </c>
      <c r="GM188" s="73">
        <v>147</v>
      </c>
      <c r="GN188" s="73">
        <v>272</v>
      </c>
      <c r="GO188" s="73">
        <v>1364</v>
      </c>
      <c r="GP188" s="73">
        <v>0</v>
      </c>
      <c r="GQ188" s="73">
        <v>0</v>
      </c>
      <c r="GR188" s="73">
        <v>299</v>
      </c>
      <c r="GS188" s="73">
        <v>0</v>
      </c>
      <c r="GT188" s="73">
        <v>0</v>
      </c>
      <c r="GU188" s="73">
        <v>0</v>
      </c>
      <c r="GV188" s="73">
        <v>0</v>
      </c>
      <c r="GW188" s="73">
        <v>1014</v>
      </c>
      <c r="GX188" s="73">
        <v>3096</v>
      </c>
      <c r="GY188" s="73">
        <v>0</v>
      </c>
      <c r="GZ188" s="73">
        <v>0</v>
      </c>
      <c r="HA188" s="73">
        <v>0</v>
      </c>
      <c r="HB188" s="73">
        <v>0</v>
      </c>
      <c r="HC188" s="73">
        <v>0</v>
      </c>
      <c r="HD188" s="73">
        <v>0</v>
      </c>
      <c r="HE188" s="73">
        <v>0</v>
      </c>
      <c r="HF188" s="73">
        <v>0</v>
      </c>
      <c r="HG188" s="73">
        <v>82</v>
      </c>
      <c r="HH188" s="73">
        <v>0</v>
      </c>
      <c r="HI188" s="73">
        <v>0</v>
      </c>
      <c r="HJ188" s="73">
        <v>0</v>
      </c>
      <c r="HK188" s="73">
        <v>7685</v>
      </c>
      <c r="HL188" s="73">
        <v>-486</v>
      </c>
      <c r="HM188" s="73">
        <v>7281</v>
      </c>
      <c r="HN188" s="73">
        <v>1246</v>
      </c>
      <c r="HO188" s="73">
        <v>3640</v>
      </c>
      <c r="HP188" s="73">
        <v>0</v>
      </c>
      <c r="HQ188" s="73">
        <v>108</v>
      </c>
      <c r="HR188" s="73">
        <v>-18</v>
      </c>
      <c r="HS188" s="73">
        <v>0</v>
      </c>
      <c r="HT188" s="73">
        <v>4515</v>
      </c>
      <c r="HU188" s="73">
        <v>0</v>
      </c>
      <c r="HV188" s="73">
        <v>0</v>
      </c>
      <c r="HW188" s="73">
        <v>0</v>
      </c>
      <c r="HX188" s="73">
        <v>0</v>
      </c>
    </row>
    <row r="189" spans="1:232" x14ac:dyDescent="0.2">
      <c r="A189" s="74" t="s">
        <v>562</v>
      </c>
      <c r="B189" s="74" t="s">
        <v>563</v>
      </c>
      <c r="C189" s="75" t="s">
        <v>200</v>
      </c>
      <c r="D189" s="75">
        <v>12</v>
      </c>
      <c r="E189" s="76">
        <v>41907</v>
      </c>
      <c r="F189" s="76">
        <v>-1538</v>
      </c>
      <c r="G189" s="76">
        <v>-31454</v>
      </c>
      <c r="H189" s="76">
        <v>8915</v>
      </c>
      <c r="I189" s="76">
        <v>1621</v>
      </c>
      <c r="J189" s="76">
        <v>0</v>
      </c>
      <c r="K189" s="76">
        <v>0</v>
      </c>
      <c r="L189" s="76">
        <v>0</v>
      </c>
      <c r="M189" s="76">
        <v>673</v>
      </c>
      <c r="N189" s="76">
        <v>-4902</v>
      </c>
      <c r="O189" s="76">
        <v>2498</v>
      </c>
      <c r="P189" s="76">
        <v>-40</v>
      </c>
      <c r="Q189" s="76">
        <v>0</v>
      </c>
      <c r="R189" s="76">
        <v>0</v>
      </c>
      <c r="S189" s="76">
        <v>8765</v>
      </c>
      <c r="T189" s="76">
        <v>0</v>
      </c>
      <c r="U189" s="76">
        <v>8765</v>
      </c>
      <c r="V189" s="76">
        <v>0</v>
      </c>
      <c r="W189" s="76">
        <v>0</v>
      </c>
      <c r="X189" s="76">
        <v>-442</v>
      </c>
      <c r="Y189" s="76">
        <v>0</v>
      </c>
      <c r="Z189" s="76">
        <v>8323</v>
      </c>
      <c r="AA189" s="76">
        <v>27262</v>
      </c>
      <c r="AB189" s="76">
        <v>3130</v>
      </c>
      <c r="AC189" s="76">
        <v>30392</v>
      </c>
      <c r="AD189" s="76">
        <v>1989</v>
      </c>
      <c r="AE189" s="76">
        <v>0</v>
      </c>
      <c r="AF189" s="76">
        <v>2512</v>
      </c>
      <c r="AG189" s="76">
        <v>0</v>
      </c>
      <c r="AH189" s="76">
        <v>34893</v>
      </c>
      <c r="AI189" s="76">
        <v>5426</v>
      </c>
      <c r="AJ189" s="76">
        <v>3098</v>
      </c>
      <c r="AK189" s="76">
        <v>5439</v>
      </c>
      <c r="AL189" s="76">
        <v>3273</v>
      </c>
      <c r="AM189" s="76">
        <v>381</v>
      </c>
      <c r="AN189" s="76">
        <v>134</v>
      </c>
      <c r="AO189" s="76">
        <v>5814</v>
      </c>
      <c r="AP189" s="76">
        <v>0</v>
      </c>
      <c r="AQ189" s="76">
        <v>3202</v>
      </c>
      <c r="AR189" s="76">
        <v>26767</v>
      </c>
      <c r="AS189" s="76">
        <v>8126</v>
      </c>
      <c r="AT189" s="76">
        <v>224</v>
      </c>
      <c r="AU189" s="76">
        <v>405536</v>
      </c>
      <c r="AV189" s="76">
        <v>0</v>
      </c>
      <c r="AW189" s="76">
        <v>9360</v>
      </c>
      <c r="AX189" s="76">
        <v>0</v>
      </c>
      <c r="AY189" s="76">
        <v>0</v>
      </c>
      <c r="AZ189" s="76">
        <v>11050</v>
      </c>
      <c r="BA189" s="76">
        <v>0</v>
      </c>
      <c r="BB189" s="76">
        <v>10</v>
      </c>
      <c r="BC189" s="76">
        <v>14095</v>
      </c>
      <c r="BD189" s="76">
        <v>0</v>
      </c>
      <c r="BE189" s="76">
        <v>440051</v>
      </c>
      <c r="BF189" s="76">
        <v>5098</v>
      </c>
      <c r="BG189" s="76">
        <v>3380</v>
      </c>
      <c r="BH189" s="76">
        <v>11961</v>
      </c>
      <c r="BI189" s="76">
        <v>102</v>
      </c>
      <c r="BJ189" s="76">
        <v>1218</v>
      </c>
      <c r="BK189" s="76">
        <v>21759</v>
      </c>
      <c r="BL189" s="76">
        <v>2229</v>
      </c>
      <c r="BM189" s="76">
        <v>0</v>
      </c>
      <c r="BN189" s="76">
        <v>2088</v>
      </c>
      <c r="BO189" s="76">
        <v>15252</v>
      </c>
      <c r="BP189" s="76">
        <v>19569</v>
      </c>
      <c r="BQ189" s="76">
        <v>2190</v>
      </c>
      <c r="BR189" s="76">
        <v>442241</v>
      </c>
      <c r="BS189" s="76">
        <v>156986</v>
      </c>
      <c r="BT189" s="76">
        <v>0</v>
      </c>
      <c r="BU189" s="76">
        <v>0</v>
      </c>
      <c r="BV189" s="76">
        <v>184845</v>
      </c>
      <c r="BW189" s="76">
        <v>0</v>
      </c>
      <c r="BX189" s="76">
        <v>4303</v>
      </c>
      <c r="BY189" s="76">
        <v>3383</v>
      </c>
      <c r="BZ189" s="76">
        <v>349517</v>
      </c>
      <c r="CA189" s="76">
        <v>0</v>
      </c>
      <c r="CB189" s="76">
        <v>0</v>
      </c>
      <c r="CC189" s="76">
        <v>92724</v>
      </c>
      <c r="CD189" s="76">
        <v>96987</v>
      </c>
      <c r="CE189" s="76">
        <v>0</v>
      </c>
      <c r="CF189" s="76">
        <v>0</v>
      </c>
      <c r="CG189" s="76">
        <v>-4263</v>
      </c>
      <c r="CH189" s="76">
        <v>0</v>
      </c>
      <c r="CI189" s="76">
        <v>92724</v>
      </c>
      <c r="CJ189" s="76">
        <v>2966</v>
      </c>
      <c r="CK189" s="76">
        <v>1538</v>
      </c>
      <c r="CL189" s="76">
        <v>0</v>
      </c>
      <c r="CM189" s="76">
        <v>1428</v>
      </c>
      <c r="CN189" s="76">
        <v>63</v>
      </c>
      <c r="CO189" s="76">
        <v>0</v>
      </c>
      <c r="CP189" s="76">
        <v>128</v>
      </c>
      <c r="CQ189" s="76">
        <v>-65</v>
      </c>
      <c r="CR189" s="76">
        <v>49</v>
      </c>
      <c r="CS189" s="76">
        <v>0</v>
      </c>
      <c r="CT189" s="76">
        <v>936</v>
      </c>
      <c r="CU189" s="76">
        <v>-887</v>
      </c>
      <c r="CV189" s="76">
        <v>0</v>
      </c>
      <c r="CW189" s="76">
        <v>0</v>
      </c>
      <c r="CX189" s="76">
        <v>0</v>
      </c>
      <c r="CY189" s="76">
        <v>0</v>
      </c>
      <c r="CZ189" s="76">
        <v>0</v>
      </c>
      <c r="DA189" s="76">
        <v>0</v>
      </c>
      <c r="DB189" s="76">
        <v>0</v>
      </c>
      <c r="DC189" s="76">
        <v>0</v>
      </c>
      <c r="DD189" s="76">
        <v>3078</v>
      </c>
      <c r="DE189" s="76">
        <v>1538</v>
      </c>
      <c r="DF189" s="76">
        <v>1064</v>
      </c>
      <c r="DG189" s="76">
        <v>476</v>
      </c>
      <c r="DH189" s="76">
        <v>0</v>
      </c>
      <c r="DI189" s="76">
        <v>0</v>
      </c>
      <c r="DJ189" s="76">
        <v>0</v>
      </c>
      <c r="DK189" s="76">
        <v>0</v>
      </c>
      <c r="DL189" s="76">
        <v>0</v>
      </c>
      <c r="DM189" s="76">
        <v>0</v>
      </c>
      <c r="DN189" s="76">
        <v>0</v>
      </c>
      <c r="DO189" s="76">
        <v>0</v>
      </c>
      <c r="DP189" s="76">
        <v>0</v>
      </c>
      <c r="DQ189" s="76">
        <v>0</v>
      </c>
      <c r="DR189" s="76">
        <v>0</v>
      </c>
      <c r="DS189" s="76">
        <v>0</v>
      </c>
      <c r="DT189" s="76">
        <v>114</v>
      </c>
      <c r="DU189" s="76">
        <v>0</v>
      </c>
      <c r="DV189" s="76">
        <v>13</v>
      </c>
      <c r="DW189" s="76">
        <v>101</v>
      </c>
      <c r="DX189" s="76">
        <v>0</v>
      </c>
      <c r="DY189" s="76">
        <v>0</v>
      </c>
      <c r="DZ189" s="76">
        <v>0</v>
      </c>
      <c r="EA189" s="76">
        <v>0</v>
      </c>
      <c r="EB189" s="76">
        <v>3822</v>
      </c>
      <c r="EC189" s="76">
        <v>0</v>
      </c>
      <c r="ED189" s="76">
        <v>3610</v>
      </c>
      <c r="EE189" s="76">
        <v>212</v>
      </c>
      <c r="EF189" s="76">
        <v>3936</v>
      </c>
      <c r="EG189" s="76">
        <v>0</v>
      </c>
      <c r="EH189" s="76">
        <v>3623</v>
      </c>
      <c r="EI189" s="76">
        <v>313</v>
      </c>
      <c r="EJ189" s="76">
        <v>7014</v>
      </c>
      <c r="EK189" s="76">
        <v>1538</v>
      </c>
      <c r="EL189" s="76">
        <v>4687</v>
      </c>
      <c r="EM189" s="76">
        <v>789</v>
      </c>
      <c r="EN189" s="76">
        <v>1045</v>
      </c>
      <c r="EO189" s="76">
        <v>268</v>
      </c>
      <c r="EP189" s="76">
        <v>268</v>
      </c>
      <c r="EQ189" s="76">
        <v>268</v>
      </c>
      <c r="ER189" s="76">
        <v>446766</v>
      </c>
      <c r="ES189" s="76">
        <v>0</v>
      </c>
      <c r="ET189" s="76">
        <v>446766</v>
      </c>
      <c r="EU189" s="76">
        <v>19934</v>
      </c>
      <c r="EV189" s="76">
        <v>-9933</v>
      </c>
      <c r="EW189" s="76">
        <v>0</v>
      </c>
      <c r="EX189" s="76">
        <v>0</v>
      </c>
      <c r="EY189" s="76">
        <v>0</v>
      </c>
      <c r="EZ189" s="76">
        <v>456767</v>
      </c>
      <c r="FA189" s="76">
        <v>46456</v>
      </c>
      <c r="FB189" s="76">
        <v>5508</v>
      </c>
      <c r="FC189" s="76">
        <v>0</v>
      </c>
      <c r="FD189" s="76">
        <v>0</v>
      </c>
      <c r="FE189" s="76">
        <v>-733</v>
      </c>
      <c r="FF189" s="76">
        <v>0</v>
      </c>
      <c r="FG189" s="76">
        <v>0</v>
      </c>
      <c r="FH189" s="76">
        <v>51231</v>
      </c>
      <c r="FI189" s="76">
        <v>405536</v>
      </c>
      <c r="FJ189" s="76">
        <v>400310</v>
      </c>
      <c r="FK189" s="76">
        <v>2925</v>
      </c>
      <c r="FL189" s="76">
        <v>1567</v>
      </c>
      <c r="FM189" s="76">
        <v>1358</v>
      </c>
      <c r="FN189" s="76">
        <v>0</v>
      </c>
      <c r="FO189" s="76">
        <v>0</v>
      </c>
      <c r="FP189" s="76">
        <v>0</v>
      </c>
      <c r="FQ189" s="76">
        <v>0</v>
      </c>
      <c r="FR189" s="76">
        <v>0</v>
      </c>
      <c r="FS189" s="76">
        <v>0</v>
      </c>
      <c r="FT189" s="76">
        <v>325</v>
      </c>
      <c r="FU189" s="76">
        <v>62</v>
      </c>
      <c r="FV189" s="76">
        <v>263</v>
      </c>
      <c r="FW189" s="76">
        <v>7323</v>
      </c>
      <c r="FX189" s="76">
        <v>7323</v>
      </c>
      <c r="FY189" s="76">
        <v>0</v>
      </c>
      <c r="FZ189" s="76">
        <v>0</v>
      </c>
      <c r="GA189" s="76">
        <v>0</v>
      </c>
      <c r="GB189" s="76">
        <v>0</v>
      </c>
      <c r="GC189" s="76">
        <v>10573</v>
      </c>
      <c r="GD189" s="76">
        <v>8952</v>
      </c>
      <c r="GE189" s="76">
        <v>1621</v>
      </c>
      <c r="GF189" s="76">
        <v>109</v>
      </c>
      <c r="GG189" s="76">
        <v>21</v>
      </c>
      <c r="GH189" s="76">
        <v>0</v>
      </c>
      <c r="GI189" s="76">
        <v>0</v>
      </c>
      <c r="GJ189" s="76">
        <v>0</v>
      </c>
      <c r="GK189" s="76">
        <v>1088</v>
      </c>
      <c r="GL189" s="76">
        <v>1218</v>
      </c>
      <c r="GM189" s="76">
        <v>6481</v>
      </c>
      <c r="GN189" s="76">
        <v>1417</v>
      </c>
      <c r="GO189" s="76">
        <v>95</v>
      </c>
      <c r="GP189" s="76">
        <v>1132</v>
      </c>
      <c r="GQ189" s="76">
        <v>0</v>
      </c>
      <c r="GR189" s="76">
        <v>3190</v>
      </c>
      <c r="GS189" s="76">
        <v>0</v>
      </c>
      <c r="GT189" s="76">
        <v>0</v>
      </c>
      <c r="GU189" s="76">
        <v>233</v>
      </c>
      <c r="GV189" s="76">
        <v>0</v>
      </c>
      <c r="GW189" s="76">
        <v>2704</v>
      </c>
      <c r="GX189" s="76">
        <v>15252</v>
      </c>
      <c r="GY189" s="76">
        <v>1683</v>
      </c>
      <c r="GZ189" s="76">
        <v>0</v>
      </c>
      <c r="HA189" s="76">
        <v>1700</v>
      </c>
      <c r="HB189" s="76">
        <v>0</v>
      </c>
      <c r="HC189" s="76">
        <v>3383</v>
      </c>
      <c r="HD189" s="76">
        <v>0</v>
      </c>
      <c r="HE189" s="76">
        <v>0</v>
      </c>
      <c r="HF189" s="76">
        <v>0</v>
      </c>
      <c r="HG189" s="76">
        <v>5484</v>
      </c>
      <c r="HH189" s="76">
        <v>0</v>
      </c>
      <c r="HI189" s="76">
        <v>0</v>
      </c>
      <c r="HJ189" s="76">
        <v>8</v>
      </c>
      <c r="HK189" s="76">
        <v>0</v>
      </c>
      <c r="HL189" s="76">
        <v>-590</v>
      </c>
      <c r="HM189" s="76">
        <v>4902</v>
      </c>
      <c r="HN189" s="76">
        <v>3554</v>
      </c>
      <c r="HO189" s="76">
        <v>6310</v>
      </c>
      <c r="HP189" s="76">
        <v>-5</v>
      </c>
      <c r="HQ189" s="76">
        <v>35</v>
      </c>
      <c r="HR189" s="76">
        <v>-6</v>
      </c>
      <c r="HS189" s="76">
        <v>29</v>
      </c>
      <c r="HT189" s="76">
        <v>4469</v>
      </c>
      <c r="HU189" s="76">
        <v>0</v>
      </c>
      <c r="HV189" s="76">
        <v>0</v>
      </c>
      <c r="HW189" s="76">
        <v>0</v>
      </c>
      <c r="HX189" s="76">
        <v>6</v>
      </c>
    </row>
    <row r="190" spans="1:232" x14ac:dyDescent="0.2">
      <c r="A190" s="74" t="s">
        <v>565</v>
      </c>
      <c r="B190" s="74" t="s">
        <v>566</v>
      </c>
      <c r="C190" s="75" t="s">
        <v>200</v>
      </c>
      <c r="D190" s="75">
        <v>12</v>
      </c>
      <c r="E190" s="76">
        <v>31792</v>
      </c>
      <c r="F190" s="76">
        <v>-293</v>
      </c>
      <c r="G190" s="76">
        <v>-23818</v>
      </c>
      <c r="H190" s="76">
        <v>7681</v>
      </c>
      <c r="I190" s="76">
        <v>2477</v>
      </c>
      <c r="J190" s="76">
        <v>556</v>
      </c>
      <c r="K190" s="76">
        <v>0</v>
      </c>
      <c r="L190" s="76">
        <v>0</v>
      </c>
      <c r="M190" s="76">
        <v>104</v>
      </c>
      <c r="N190" s="76">
        <v>-6903</v>
      </c>
      <c r="O190" s="76">
        <v>1143</v>
      </c>
      <c r="P190" s="76">
        <v>-360</v>
      </c>
      <c r="Q190" s="76">
        <v>0</v>
      </c>
      <c r="R190" s="76">
        <v>0</v>
      </c>
      <c r="S190" s="76">
        <v>4698</v>
      </c>
      <c r="T190" s="76">
        <v>0</v>
      </c>
      <c r="U190" s="76">
        <v>4698</v>
      </c>
      <c r="V190" s="76">
        <v>0</v>
      </c>
      <c r="W190" s="76">
        <v>0</v>
      </c>
      <c r="X190" s="76">
        <v>383</v>
      </c>
      <c r="Y190" s="76">
        <v>0</v>
      </c>
      <c r="Z190" s="76">
        <v>5081</v>
      </c>
      <c r="AA190" s="76">
        <v>23209</v>
      </c>
      <c r="AB190" s="76">
        <v>5163</v>
      </c>
      <c r="AC190" s="76">
        <v>28372</v>
      </c>
      <c r="AD190" s="76">
        <v>1812</v>
      </c>
      <c r="AE190" s="76">
        <v>0</v>
      </c>
      <c r="AF190" s="76">
        <v>0</v>
      </c>
      <c r="AG190" s="76">
        <v>301</v>
      </c>
      <c r="AH190" s="76">
        <v>30485</v>
      </c>
      <c r="AI190" s="76">
        <v>2523</v>
      </c>
      <c r="AJ190" s="76">
        <v>6829</v>
      </c>
      <c r="AK190" s="76">
        <v>6244</v>
      </c>
      <c r="AL190" s="76">
        <v>2937</v>
      </c>
      <c r="AM190" s="76">
        <v>0</v>
      </c>
      <c r="AN190" s="76">
        <v>119</v>
      </c>
      <c r="AO190" s="76">
        <v>4607</v>
      </c>
      <c r="AP190" s="76">
        <v>0</v>
      </c>
      <c r="AQ190" s="76">
        <v>9</v>
      </c>
      <c r="AR190" s="76">
        <v>23268</v>
      </c>
      <c r="AS190" s="76">
        <v>7217</v>
      </c>
      <c r="AT190" s="76">
        <v>290</v>
      </c>
      <c r="AU190" s="76">
        <v>398541</v>
      </c>
      <c r="AV190" s="76">
        <v>0</v>
      </c>
      <c r="AW190" s="76">
        <v>230</v>
      </c>
      <c r="AX190" s="76">
        <v>0</v>
      </c>
      <c r="AY190" s="76">
        <v>0</v>
      </c>
      <c r="AZ190" s="76">
        <v>4768</v>
      </c>
      <c r="BA190" s="76">
        <v>0</v>
      </c>
      <c r="BB190" s="76">
        <v>0</v>
      </c>
      <c r="BC190" s="76">
        <v>934</v>
      </c>
      <c r="BD190" s="76">
        <v>2553</v>
      </c>
      <c r="BE190" s="76">
        <v>407026</v>
      </c>
      <c r="BF190" s="76">
        <v>970</v>
      </c>
      <c r="BG190" s="76">
        <v>6871</v>
      </c>
      <c r="BH190" s="76">
        <v>25</v>
      </c>
      <c r="BI190" s="76">
        <v>0</v>
      </c>
      <c r="BJ190" s="76">
        <v>22544</v>
      </c>
      <c r="BK190" s="76">
        <v>30410</v>
      </c>
      <c r="BL190" s="76">
        <v>4111</v>
      </c>
      <c r="BM190" s="76">
        <v>22</v>
      </c>
      <c r="BN190" s="76">
        <v>1701</v>
      </c>
      <c r="BO190" s="76">
        <v>12177</v>
      </c>
      <c r="BP190" s="76">
        <v>18011</v>
      </c>
      <c r="BQ190" s="76">
        <v>12399</v>
      </c>
      <c r="BR190" s="76">
        <v>419425</v>
      </c>
      <c r="BS190" s="76">
        <v>0</v>
      </c>
      <c r="BT190" s="76">
        <v>193016</v>
      </c>
      <c r="BU190" s="76">
        <v>0</v>
      </c>
      <c r="BV190" s="76">
        <v>182891</v>
      </c>
      <c r="BW190" s="76">
        <v>0</v>
      </c>
      <c r="BX190" s="76">
        <v>16807</v>
      </c>
      <c r="BY190" s="76">
        <v>3162</v>
      </c>
      <c r="BZ190" s="76">
        <v>395876</v>
      </c>
      <c r="CA190" s="76">
        <v>0</v>
      </c>
      <c r="CB190" s="76">
        <v>849</v>
      </c>
      <c r="CC190" s="76">
        <v>22700</v>
      </c>
      <c r="CD190" s="76">
        <v>40043</v>
      </c>
      <c r="CE190" s="76">
        <v>0</v>
      </c>
      <c r="CF190" s="76">
        <v>0</v>
      </c>
      <c r="CG190" s="76">
        <v>-17343</v>
      </c>
      <c r="CH190" s="76">
        <v>0</v>
      </c>
      <c r="CI190" s="76">
        <v>22700</v>
      </c>
      <c r="CJ190" s="76">
        <v>928</v>
      </c>
      <c r="CK190" s="76">
        <v>293</v>
      </c>
      <c r="CL190" s="76">
        <v>0</v>
      </c>
      <c r="CM190" s="76">
        <v>635</v>
      </c>
      <c r="CN190" s="76">
        <v>0</v>
      </c>
      <c r="CO190" s="76">
        <v>0</v>
      </c>
      <c r="CP190" s="76">
        <v>3</v>
      </c>
      <c r="CQ190" s="76">
        <v>-3</v>
      </c>
      <c r="CR190" s="76">
        <v>0</v>
      </c>
      <c r="CS190" s="76">
        <v>0</v>
      </c>
      <c r="CT190" s="76">
        <v>94</v>
      </c>
      <c r="CU190" s="76">
        <v>-94</v>
      </c>
      <c r="CV190" s="76">
        <v>37</v>
      </c>
      <c r="CW190" s="76">
        <v>0</v>
      </c>
      <c r="CX190" s="76">
        <v>240</v>
      </c>
      <c r="CY190" s="76">
        <v>-203</v>
      </c>
      <c r="CZ190" s="76">
        <v>0</v>
      </c>
      <c r="DA190" s="76">
        <v>0</v>
      </c>
      <c r="DB190" s="76">
        <v>0</v>
      </c>
      <c r="DC190" s="76">
        <v>0</v>
      </c>
      <c r="DD190" s="76">
        <v>965</v>
      </c>
      <c r="DE190" s="76">
        <v>293</v>
      </c>
      <c r="DF190" s="76">
        <v>337</v>
      </c>
      <c r="DG190" s="76">
        <v>335</v>
      </c>
      <c r="DH190" s="76">
        <v>0</v>
      </c>
      <c r="DI190" s="76">
        <v>0</v>
      </c>
      <c r="DJ190" s="76">
        <v>0</v>
      </c>
      <c r="DK190" s="76">
        <v>0</v>
      </c>
      <c r="DL190" s="76">
        <v>0</v>
      </c>
      <c r="DM190" s="76">
        <v>0</v>
      </c>
      <c r="DN190" s="76">
        <v>0</v>
      </c>
      <c r="DO190" s="76">
        <v>0</v>
      </c>
      <c r="DP190" s="76">
        <v>0</v>
      </c>
      <c r="DQ190" s="76">
        <v>0</v>
      </c>
      <c r="DR190" s="76">
        <v>0</v>
      </c>
      <c r="DS190" s="76">
        <v>0</v>
      </c>
      <c r="DT190" s="76">
        <v>83</v>
      </c>
      <c r="DU190" s="76">
        <v>0</v>
      </c>
      <c r="DV190" s="76">
        <v>92</v>
      </c>
      <c r="DW190" s="76">
        <v>-9</v>
      </c>
      <c r="DX190" s="76">
        <v>0</v>
      </c>
      <c r="DY190" s="76">
        <v>0</v>
      </c>
      <c r="DZ190" s="76">
        <v>0</v>
      </c>
      <c r="EA190" s="76">
        <v>0</v>
      </c>
      <c r="EB190" s="76">
        <v>259</v>
      </c>
      <c r="EC190" s="76">
        <v>0</v>
      </c>
      <c r="ED190" s="76">
        <v>121</v>
      </c>
      <c r="EE190" s="76">
        <v>138</v>
      </c>
      <c r="EF190" s="76">
        <v>342</v>
      </c>
      <c r="EG190" s="76">
        <v>0</v>
      </c>
      <c r="EH190" s="76">
        <v>213</v>
      </c>
      <c r="EI190" s="76">
        <v>129</v>
      </c>
      <c r="EJ190" s="76">
        <v>1307</v>
      </c>
      <c r="EK190" s="76">
        <v>293</v>
      </c>
      <c r="EL190" s="76">
        <v>550</v>
      </c>
      <c r="EM190" s="76">
        <v>464</v>
      </c>
      <c r="EN190" s="76">
        <v>3092</v>
      </c>
      <c r="EO190" s="76">
        <v>561</v>
      </c>
      <c r="EP190" s="76">
        <v>615</v>
      </c>
      <c r="EQ190" s="76">
        <v>561</v>
      </c>
      <c r="ER190" s="76">
        <v>420381</v>
      </c>
      <c r="ES190" s="76">
        <v>0</v>
      </c>
      <c r="ET190" s="76">
        <v>420381</v>
      </c>
      <c r="EU190" s="76">
        <v>11550</v>
      </c>
      <c r="EV190" s="76">
        <v>-2133</v>
      </c>
      <c r="EW190" s="76">
        <v>0</v>
      </c>
      <c r="EX190" s="76">
        <v>-65</v>
      </c>
      <c r="EY190" s="76">
        <v>-69</v>
      </c>
      <c r="EZ190" s="76">
        <v>429664</v>
      </c>
      <c r="FA190" s="76">
        <v>26665</v>
      </c>
      <c r="FB190" s="76">
        <v>4589</v>
      </c>
      <c r="FC190" s="76">
        <v>0</v>
      </c>
      <c r="FD190" s="76">
        <v>0</v>
      </c>
      <c r="FE190" s="76">
        <v>-113</v>
      </c>
      <c r="FF190" s="76">
        <v>0</v>
      </c>
      <c r="FG190" s="76">
        <v>-18</v>
      </c>
      <c r="FH190" s="76">
        <v>31123</v>
      </c>
      <c r="FI190" s="76">
        <v>398541</v>
      </c>
      <c r="FJ190" s="76">
        <v>393716</v>
      </c>
      <c r="FK190" s="76">
        <v>2968</v>
      </c>
      <c r="FL190" s="76">
        <v>1613</v>
      </c>
      <c r="FM190" s="76">
        <v>1355</v>
      </c>
      <c r="FN190" s="76">
        <v>2273</v>
      </c>
      <c r="FO190" s="76">
        <v>1145</v>
      </c>
      <c r="FP190" s="76">
        <v>1128</v>
      </c>
      <c r="FQ190" s="76">
        <v>0</v>
      </c>
      <c r="FR190" s="76">
        <v>0</v>
      </c>
      <c r="FS190" s="76">
        <v>0</v>
      </c>
      <c r="FT190" s="76">
        <v>0</v>
      </c>
      <c r="FU190" s="76">
        <v>0</v>
      </c>
      <c r="FV190" s="76">
        <v>0</v>
      </c>
      <c r="FW190" s="76">
        <v>0</v>
      </c>
      <c r="FX190" s="76">
        <v>0</v>
      </c>
      <c r="FY190" s="76">
        <v>0</v>
      </c>
      <c r="FZ190" s="76">
        <v>4</v>
      </c>
      <c r="GA190" s="76">
        <v>10</v>
      </c>
      <c r="GB190" s="76">
        <v>-6</v>
      </c>
      <c r="GC190" s="76">
        <v>5245</v>
      </c>
      <c r="GD190" s="76">
        <v>2768</v>
      </c>
      <c r="GE190" s="76">
        <v>2477</v>
      </c>
      <c r="GF190" s="76">
        <v>22084</v>
      </c>
      <c r="GG190" s="76">
        <v>0</v>
      </c>
      <c r="GH190" s="76">
        <v>0</v>
      </c>
      <c r="GI190" s="76">
        <v>0</v>
      </c>
      <c r="GJ190" s="76">
        <v>0</v>
      </c>
      <c r="GK190" s="76">
        <v>460</v>
      </c>
      <c r="GL190" s="76">
        <v>22544</v>
      </c>
      <c r="GM190" s="76">
        <v>47</v>
      </c>
      <c r="GN190" s="76">
        <v>762</v>
      </c>
      <c r="GO190" s="76">
        <v>3020</v>
      </c>
      <c r="GP190" s="76">
        <v>500</v>
      </c>
      <c r="GQ190" s="76">
        <v>0</v>
      </c>
      <c r="GR190" s="76">
        <v>6590</v>
      </c>
      <c r="GS190" s="76">
        <v>0</v>
      </c>
      <c r="GT190" s="76">
        <v>0</v>
      </c>
      <c r="GU190" s="76">
        <v>0</v>
      </c>
      <c r="GV190" s="76">
        <v>0</v>
      </c>
      <c r="GW190" s="76">
        <v>1258</v>
      </c>
      <c r="GX190" s="76">
        <v>12177</v>
      </c>
      <c r="GY190" s="76">
        <v>1110</v>
      </c>
      <c r="GZ190" s="76">
        <v>178</v>
      </c>
      <c r="HA190" s="76">
        <v>0</v>
      </c>
      <c r="HB190" s="76">
        <v>1874</v>
      </c>
      <c r="HC190" s="76">
        <v>3162</v>
      </c>
      <c r="HD190" s="76">
        <v>255</v>
      </c>
      <c r="HE190" s="76">
        <v>594</v>
      </c>
      <c r="HF190" s="76">
        <v>849</v>
      </c>
      <c r="HG190" s="76">
        <v>7506</v>
      </c>
      <c r="HH190" s="76">
        <v>-39</v>
      </c>
      <c r="HI190" s="76">
        <v>0</v>
      </c>
      <c r="HJ190" s="76">
        <v>6</v>
      </c>
      <c r="HK190" s="76">
        <v>0</v>
      </c>
      <c r="HL190" s="76">
        <v>-570</v>
      </c>
      <c r="HM190" s="76">
        <v>6903</v>
      </c>
      <c r="HN190" s="76">
        <v>6114</v>
      </c>
      <c r="HO190" s="76">
        <v>4646</v>
      </c>
      <c r="HP190" s="76">
        <v>0</v>
      </c>
      <c r="HQ190" s="76">
        <v>130</v>
      </c>
      <c r="HR190" s="76">
        <v>-17</v>
      </c>
      <c r="HS190" s="76">
        <v>13</v>
      </c>
      <c r="HT190" s="76">
        <v>5434</v>
      </c>
      <c r="HU190" s="76">
        <v>0</v>
      </c>
      <c r="HV190" s="76">
        <v>0</v>
      </c>
      <c r="HW190" s="76">
        <v>0</v>
      </c>
      <c r="HX190" s="76">
        <v>147</v>
      </c>
    </row>
    <row r="191" spans="1:232" x14ac:dyDescent="0.2">
      <c r="A191" s="74" t="s">
        <v>567</v>
      </c>
      <c r="B191" s="74" t="s">
        <v>568</v>
      </c>
      <c r="C191" s="75" t="s">
        <v>200</v>
      </c>
      <c r="D191" s="75">
        <v>12</v>
      </c>
      <c r="E191" s="76">
        <v>17385</v>
      </c>
      <c r="F191" s="76">
        <v>0</v>
      </c>
      <c r="G191" s="76">
        <v>-17000</v>
      </c>
      <c r="H191" s="76">
        <v>385</v>
      </c>
      <c r="I191" s="76">
        <v>0</v>
      </c>
      <c r="J191" s="76">
        <v>0</v>
      </c>
      <c r="K191" s="76">
        <v>0</v>
      </c>
      <c r="L191" s="76">
        <v>0</v>
      </c>
      <c r="M191" s="76">
        <v>0</v>
      </c>
      <c r="N191" s="76">
        <v>-10</v>
      </c>
      <c r="O191" s="76">
        <v>0</v>
      </c>
      <c r="P191" s="76">
        <v>0</v>
      </c>
      <c r="Q191" s="76">
        <v>0</v>
      </c>
      <c r="R191" s="76">
        <v>0</v>
      </c>
      <c r="S191" s="76">
        <v>375</v>
      </c>
      <c r="T191" s="76">
        <v>-79</v>
      </c>
      <c r="U191" s="76">
        <v>296</v>
      </c>
      <c r="V191" s="76">
        <v>0</v>
      </c>
      <c r="W191" s="76">
        <v>0</v>
      </c>
      <c r="X191" s="76">
        <v>0</v>
      </c>
      <c r="Y191" s="76">
        <v>0</v>
      </c>
      <c r="Z191" s="76">
        <v>296</v>
      </c>
      <c r="AA191" s="76">
        <v>17385</v>
      </c>
      <c r="AB191" s="76">
        <v>0</v>
      </c>
      <c r="AC191" s="76">
        <v>17385</v>
      </c>
      <c r="AD191" s="76">
        <v>0</v>
      </c>
      <c r="AE191" s="76">
        <v>0</v>
      </c>
      <c r="AF191" s="76">
        <v>0</v>
      </c>
      <c r="AG191" s="76">
        <v>0</v>
      </c>
      <c r="AH191" s="76">
        <v>17385</v>
      </c>
      <c r="AI191" s="76">
        <v>23</v>
      </c>
      <c r="AJ191" s="76">
        <v>0</v>
      </c>
      <c r="AK191" s="76">
        <v>0</v>
      </c>
      <c r="AL191" s="76">
        <v>0</v>
      </c>
      <c r="AM191" s="76">
        <v>0</v>
      </c>
      <c r="AN191" s="76">
        <v>0</v>
      </c>
      <c r="AO191" s="76">
        <v>31</v>
      </c>
      <c r="AP191" s="76">
        <v>0</v>
      </c>
      <c r="AQ191" s="76">
        <v>16946</v>
      </c>
      <c r="AR191" s="76">
        <v>17000</v>
      </c>
      <c r="AS191" s="76">
        <v>385</v>
      </c>
      <c r="AT191" s="76">
        <v>459</v>
      </c>
      <c r="AU191" s="76">
        <v>785</v>
      </c>
      <c r="AV191" s="76">
        <v>0</v>
      </c>
      <c r="AW191" s="76">
        <v>12</v>
      </c>
      <c r="AX191" s="76">
        <v>0</v>
      </c>
      <c r="AY191" s="76">
        <v>0</v>
      </c>
      <c r="AZ191" s="76">
        <v>0</v>
      </c>
      <c r="BA191" s="76">
        <v>0</v>
      </c>
      <c r="BB191" s="76">
        <v>0</v>
      </c>
      <c r="BC191" s="76">
        <v>0</v>
      </c>
      <c r="BD191" s="76">
        <v>0</v>
      </c>
      <c r="BE191" s="76">
        <v>797</v>
      </c>
      <c r="BF191" s="76">
        <v>0</v>
      </c>
      <c r="BG191" s="76">
        <v>2764</v>
      </c>
      <c r="BH191" s="76">
        <v>1042</v>
      </c>
      <c r="BI191" s="76">
        <v>0</v>
      </c>
      <c r="BJ191" s="76">
        <v>1299</v>
      </c>
      <c r="BK191" s="76">
        <v>5105</v>
      </c>
      <c r="BL191" s="76">
        <v>22</v>
      </c>
      <c r="BM191" s="76">
        <v>0</v>
      </c>
      <c r="BN191" s="76">
        <v>0</v>
      </c>
      <c r="BO191" s="76">
        <v>4737</v>
      </c>
      <c r="BP191" s="76">
        <v>4759</v>
      </c>
      <c r="BQ191" s="76">
        <v>346</v>
      </c>
      <c r="BR191" s="76">
        <v>1143</v>
      </c>
      <c r="BS191" s="76">
        <v>251</v>
      </c>
      <c r="BT191" s="76">
        <v>0</v>
      </c>
      <c r="BU191" s="76">
        <v>0</v>
      </c>
      <c r="BV191" s="76">
        <v>0</v>
      </c>
      <c r="BW191" s="76">
        <v>0</v>
      </c>
      <c r="BX191" s="76">
        <v>0</v>
      </c>
      <c r="BY191" s="76">
        <v>0</v>
      </c>
      <c r="BZ191" s="76">
        <v>251</v>
      </c>
      <c r="CA191" s="76">
        <v>0</v>
      </c>
      <c r="CB191" s="76">
        <v>0</v>
      </c>
      <c r="CC191" s="76">
        <v>892</v>
      </c>
      <c r="CD191" s="76">
        <v>893</v>
      </c>
      <c r="CE191" s="76">
        <v>0</v>
      </c>
      <c r="CF191" s="76">
        <v>0</v>
      </c>
      <c r="CG191" s="76">
        <v>0</v>
      </c>
      <c r="CH191" s="76">
        <v>0</v>
      </c>
      <c r="CI191" s="76">
        <v>893</v>
      </c>
      <c r="CJ191" s="76">
        <v>0</v>
      </c>
      <c r="CK191" s="76">
        <v>0</v>
      </c>
      <c r="CL191" s="76">
        <v>0</v>
      </c>
      <c r="CM191" s="76">
        <v>0</v>
      </c>
      <c r="CN191" s="76">
        <v>0</v>
      </c>
      <c r="CO191" s="76">
        <v>0</v>
      </c>
      <c r="CP191" s="76">
        <v>0</v>
      </c>
      <c r="CQ191" s="76">
        <v>0</v>
      </c>
      <c r="CR191" s="76">
        <v>0</v>
      </c>
      <c r="CS191" s="76">
        <v>0</v>
      </c>
      <c r="CT191" s="76">
        <v>0</v>
      </c>
      <c r="CU191" s="76">
        <v>0</v>
      </c>
      <c r="CV191" s="76">
        <v>0</v>
      </c>
      <c r="CW191" s="76">
        <v>0</v>
      </c>
      <c r="CX191" s="76">
        <v>0</v>
      </c>
      <c r="CY191" s="76">
        <v>0</v>
      </c>
      <c r="CZ191" s="76">
        <v>0</v>
      </c>
      <c r="DA191" s="76">
        <v>0</v>
      </c>
      <c r="DB191" s="76">
        <v>0</v>
      </c>
      <c r="DC191" s="76">
        <v>0</v>
      </c>
      <c r="DD191" s="76">
        <v>0</v>
      </c>
      <c r="DE191" s="76">
        <v>0</v>
      </c>
      <c r="DF191" s="76">
        <v>0</v>
      </c>
      <c r="DG191" s="76">
        <v>0</v>
      </c>
      <c r="DH191" s="76">
        <v>0</v>
      </c>
      <c r="DI191" s="76">
        <v>0</v>
      </c>
      <c r="DJ191" s="76">
        <v>0</v>
      </c>
      <c r="DK191" s="76">
        <v>0</v>
      </c>
      <c r="DL191" s="76">
        <v>0</v>
      </c>
      <c r="DM191" s="76">
        <v>0</v>
      </c>
      <c r="DN191" s="76">
        <v>0</v>
      </c>
      <c r="DO191" s="76">
        <v>0</v>
      </c>
      <c r="DP191" s="76">
        <v>0</v>
      </c>
      <c r="DQ191" s="76">
        <v>0</v>
      </c>
      <c r="DR191" s="76">
        <v>0</v>
      </c>
      <c r="DS191" s="76">
        <v>0</v>
      </c>
      <c r="DT191" s="76">
        <v>0</v>
      </c>
      <c r="DU191" s="76">
        <v>0</v>
      </c>
      <c r="DV191" s="76">
        <v>0</v>
      </c>
      <c r="DW191" s="76">
        <v>0</v>
      </c>
      <c r="DX191" s="76">
        <v>0</v>
      </c>
      <c r="DY191" s="76">
        <v>0</v>
      </c>
      <c r="DZ191" s="76">
        <v>0</v>
      </c>
      <c r="EA191" s="76">
        <v>0</v>
      </c>
      <c r="EB191" s="76">
        <v>0</v>
      </c>
      <c r="EC191" s="76">
        <v>0</v>
      </c>
      <c r="ED191" s="76">
        <v>0</v>
      </c>
      <c r="EE191" s="76">
        <v>0</v>
      </c>
      <c r="EF191" s="76">
        <v>0</v>
      </c>
      <c r="EG191" s="76">
        <v>0</v>
      </c>
      <c r="EH191" s="76">
        <v>0</v>
      </c>
      <c r="EI191" s="76">
        <v>0</v>
      </c>
      <c r="EJ191" s="76">
        <v>0</v>
      </c>
      <c r="EK191" s="76">
        <v>0</v>
      </c>
      <c r="EL191" s="76">
        <v>0</v>
      </c>
      <c r="EM191" s="76">
        <v>0</v>
      </c>
      <c r="EN191" s="76">
        <v>674</v>
      </c>
      <c r="EO191" s="76">
        <v>1946</v>
      </c>
      <c r="EP191" s="76">
        <v>108</v>
      </c>
      <c r="EQ191" s="76">
        <v>1946</v>
      </c>
      <c r="ER191" s="76">
        <v>816</v>
      </c>
      <c r="ES191" s="76">
        <v>0</v>
      </c>
      <c r="ET191" s="76">
        <v>816</v>
      </c>
      <c r="EU191" s="76">
        <v>0</v>
      </c>
      <c r="EV191" s="76">
        <v>0</v>
      </c>
      <c r="EW191" s="76">
        <v>0</v>
      </c>
      <c r="EX191" s="76">
        <v>0</v>
      </c>
      <c r="EY191" s="76">
        <v>0</v>
      </c>
      <c r="EZ191" s="76">
        <v>816</v>
      </c>
      <c r="FA191" s="76">
        <v>0</v>
      </c>
      <c r="FB191" s="76">
        <v>31</v>
      </c>
      <c r="FC191" s="76">
        <v>0</v>
      </c>
      <c r="FD191" s="76">
        <v>0</v>
      </c>
      <c r="FE191" s="76">
        <v>0</v>
      </c>
      <c r="FF191" s="76">
        <v>0</v>
      </c>
      <c r="FG191" s="76">
        <v>0</v>
      </c>
      <c r="FH191" s="76">
        <v>31</v>
      </c>
      <c r="FI191" s="76">
        <v>785</v>
      </c>
      <c r="FJ191" s="76">
        <v>816</v>
      </c>
      <c r="FK191" s="76">
        <v>0</v>
      </c>
      <c r="FL191" s="76">
        <v>0</v>
      </c>
      <c r="FM191" s="76">
        <v>0</v>
      </c>
      <c r="FN191" s="76">
        <v>0</v>
      </c>
      <c r="FO191" s="76">
        <v>0</v>
      </c>
      <c r="FP191" s="76">
        <v>0</v>
      </c>
      <c r="FQ191" s="76">
        <v>0</v>
      </c>
      <c r="FR191" s="76">
        <v>0</v>
      </c>
      <c r="FS191" s="76">
        <v>0</v>
      </c>
      <c r="FT191" s="76">
        <v>0</v>
      </c>
      <c r="FU191" s="76">
        <v>0</v>
      </c>
      <c r="FV191" s="76">
        <v>0</v>
      </c>
      <c r="FW191" s="76">
        <v>0</v>
      </c>
      <c r="FX191" s="76">
        <v>0</v>
      </c>
      <c r="FY191" s="76">
        <v>0</v>
      </c>
      <c r="FZ191" s="76">
        <v>0</v>
      </c>
      <c r="GA191" s="76">
        <v>0</v>
      </c>
      <c r="GB191" s="76">
        <v>0</v>
      </c>
      <c r="GC191" s="76">
        <v>0</v>
      </c>
      <c r="GD191" s="76">
        <v>0</v>
      </c>
      <c r="GE191" s="76">
        <v>0</v>
      </c>
      <c r="GF191" s="76">
        <v>1258</v>
      </c>
      <c r="GG191" s="76">
        <v>0</v>
      </c>
      <c r="GH191" s="76">
        <v>0</v>
      </c>
      <c r="GI191" s="76">
        <v>0</v>
      </c>
      <c r="GJ191" s="76">
        <v>0</v>
      </c>
      <c r="GK191" s="76">
        <v>41</v>
      </c>
      <c r="GL191" s="76">
        <v>1299</v>
      </c>
      <c r="GM191" s="76">
        <v>562</v>
      </c>
      <c r="GN191" s="76">
        <v>0</v>
      </c>
      <c r="GO191" s="76">
        <v>52</v>
      </c>
      <c r="GP191" s="76">
        <v>0</v>
      </c>
      <c r="GQ191" s="76">
        <v>0</v>
      </c>
      <c r="GR191" s="76">
        <v>3707</v>
      </c>
      <c r="GS191" s="76">
        <v>0</v>
      </c>
      <c r="GT191" s="76">
        <v>0</v>
      </c>
      <c r="GU191" s="76">
        <v>0</v>
      </c>
      <c r="GV191" s="76">
        <v>0</v>
      </c>
      <c r="GW191" s="76">
        <v>416</v>
      </c>
      <c r="GX191" s="76">
        <v>4737</v>
      </c>
      <c r="GY191" s="76">
        <v>0</v>
      </c>
      <c r="GZ191" s="76">
        <v>0</v>
      </c>
      <c r="HA191" s="76">
        <v>0</v>
      </c>
      <c r="HB191" s="76">
        <v>0</v>
      </c>
      <c r="HC191" s="76">
        <v>0</v>
      </c>
      <c r="HD191" s="76">
        <v>0</v>
      </c>
      <c r="HE191" s="76">
        <v>0</v>
      </c>
      <c r="HF191" s="76">
        <v>0</v>
      </c>
      <c r="HG191" s="76">
        <v>10</v>
      </c>
      <c r="HH191" s="76">
        <v>0</v>
      </c>
      <c r="HI191" s="76">
        <v>0</v>
      </c>
      <c r="HJ191" s="76">
        <v>0</v>
      </c>
      <c r="HK191" s="76">
        <v>0</v>
      </c>
      <c r="HL191" s="76">
        <v>0</v>
      </c>
      <c r="HM191" s="76">
        <v>10</v>
      </c>
      <c r="HN191" s="76">
        <v>0</v>
      </c>
      <c r="HO191" s="76">
        <v>15</v>
      </c>
      <c r="HP191" s="76">
        <v>0</v>
      </c>
      <c r="HQ191" s="76">
        <v>0</v>
      </c>
      <c r="HR191" s="76">
        <v>0</v>
      </c>
      <c r="HS191" s="76">
        <v>-451</v>
      </c>
      <c r="HT191" s="76">
        <v>1004</v>
      </c>
      <c r="HU191" s="76">
        <v>0</v>
      </c>
      <c r="HV191" s="76">
        <v>0</v>
      </c>
      <c r="HW191" s="76">
        <v>0</v>
      </c>
      <c r="HX191" s="76">
        <v>0</v>
      </c>
    </row>
    <row r="192" spans="1:232" x14ac:dyDescent="0.2">
      <c r="A192" s="71" t="s">
        <v>128</v>
      </c>
      <c r="B192" s="71" t="s">
        <v>127</v>
      </c>
      <c r="C192" s="72" t="s">
        <v>200</v>
      </c>
      <c r="D192" s="72">
        <v>12</v>
      </c>
      <c r="E192" s="73">
        <v>160202</v>
      </c>
      <c r="F192" s="73">
        <v>-12664</v>
      </c>
      <c r="G192" s="73">
        <v>-112535</v>
      </c>
      <c r="H192" s="73">
        <v>35003</v>
      </c>
      <c r="I192" s="73">
        <v>15628</v>
      </c>
      <c r="J192" s="73">
        <v>31478</v>
      </c>
      <c r="K192" s="73">
        <v>-63</v>
      </c>
      <c r="L192" s="73">
        <v>0</v>
      </c>
      <c r="M192" s="73">
        <v>2080</v>
      </c>
      <c r="N192" s="73">
        <v>-28831</v>
      </c>
      <c r="O192" s="73">
        <v>27064</v>
      </c>
      <c r="P192" s="73">
        <v>-11646</v>
      </c>
      <c r="Q192" s="73">
        <v>0</v>
      </c>
      <c r="R192" s="73">
        <v>0</v>
      </c>
      <c r="S192" s="73">
        <v>70713</v>
      </c>
      <c r="T192" s="73">
        <v>-147</v>
      </c>
      <c r="U192" s="73">
        <v>70566</v>
      </c>
      <c r="V192" s="73">
        <v>0</v>
      </c>
      <c r="W192" s="73">
        <v>270</v>
      </c>
      <c r="X192" s="73">
        <v>0</v>
      </c>
      <c r="Y192" s="73">
        <v>0</v>
      </c>
      <c r="Z192" s="73">
        <v>70836</v>
      </c>
      <c r="AA192" s="73">
        <v>80197</v>
      </c>
      <c r="AB192" s="73">
        <v>17467</v>
      </c>
      <c r="AC192" s="73">
        <v>97664</v>
      </c>
      <c r="AD192" s="73">
        <v>4531</v>
      </c>
      <c r="AE192" s="73">
        <v>0</v>
      </c>
      <c r="AF192" s="73">
        <v>0</v>
      </c>
      <c r="AG192" s="73">
        <v>132</v>
      </c>
      <c r="AH192" s="73">
        <v>102327</v>
      </c>
      <c r="AI192" s="73">
        <v>18299</v>
      </c>
      <c r="AJ192" s="73">
        <v>18882</v>
      </c>
      <c r="AK192" s="73">
        <v>12443</v>
      </c>
      <c r="AL192" s="73">
        <v>7501</v>
      </c>
      <c r="AM192" s="73">
        <v>5814</v>
      </c>
      <c r="AN192" s="73">
        <v>578</v>
      </c>
      <c r="AO192" s="73">
        <v>15008</v>
      </c>
      <c r="AP192" s="73">
        <v>0</v>
      </c>
      <c r="AQ192" s="73">
        <v>1749</v>
      </c>
      <c r="AR192" s="73">
        <v>80274</v>
      </c>
      <c r="AS192" s="73">
        <v>22053</v>
      </c>
      <c r="AT192" s="73">
        <v>1731</v>
      </c>
      <c r="AU192" s="73">
        <v>1584611</v>
      </c>
      <c r="AV192" s="73">
        <v>0</v>
      </c>
      <c r="AW192" s="73">
        <v>11489</v>
      </c>
      <c r="AX192" s="73">
        <v>0</v>
      </c>
      <c r="AY192" s="73">
        <v>0</v>
      </c>
      <c r="AZ192" s="73">
        <v>159934</v>
      </c>
      <c r="BA192" s="73">
        <v>0</v>
      </c>
      <c r="BB192" s="73">
        <v>0</v>
      </c>
      <c r="BC192" s="73">
        <v>0</v>
      </c>
      <c r="BD192" s="73">
        <v>101583</v>
      </c>
      <c r="BE192" s="73">
        <v>1857617</v>
      </c>
      <c r="BF192" s="73">
        <v>64418</v>
      </c>
      <c r="BG192" s="73">
        <v>8497</v>
      </c>
      <c r="BH192" s="73">
        <v>85159</v>
      </c>
      <c r="BI192" s="73">
        <v>0</v>
      </c>
      <c r="BJ192" s="73">
        <v>80303</v>
      </c>
      <c r="BK192" s="73">
        <v>238377</v>
      </c>
      <c r="BL192" s="73">
        <v>43851</v>
      </c>
      <c r="BM192" s="73">
        <v>3098</v>
      </c>
      <c r="BN192" s="73">
        <v>0</v>
      </c>
      <c r="BO192" s="73">
        <v>69400</v>
      </c>
      <c r="BP192" s="73">
        <v>116349</v>
      </c>
      <c r="BQ192" s="73">
        <v>122028</v>
      </c>
      <c r="BR192" s="73">
        <v>1979645</v>
      </c>
      <c r="BS192" s="73">
        <v>930027</v>
      </c>
      <c r="BT192" s="73">
        <v>0</v>
      </c>
      <c r="BU192" s="73">
        <v>0</v>
      </c>
      <c r="BV192" s="73">
        <v>648272</v>
      </c>
      <c r="BW192" s="73">
        <v>0</v>
      </c>
      <c r="BX192" s="73">
        <v>0</v>
      </c>
      <c r="BY192" s="73">
        <v>53466</v>
      </c>
      <c r="BZ192" s="73">
        <v>1631765</v>
      </c>
      <c r="CA192" s="73">
        <v>389</v>
      </c>
      <c r="CB192" s="73">
        <v>535</v>
      </c>
      <c r="CC192" s="73">
        <v>346956</v>
      </c>
      <c r="CD192" s="73">
        <v>346942</v>
      </c>
      <c r="CE192" s="73">
        <v>0</v>
      </c>
      <c r="CF192" s="73">
        <v>14</v>
      </c>
      <c r="CG192" s="73">
        <v>0</v>
      </c>
      <c r="CH192" s="73">
        <v>0</v>
      </c>
      <c r="CI192" s="73">
        <v>346956</v>
      </c>
      <c r="CJ192" s="73">
        <v>16806</v>
      </c>
      <c r="CK192" s="73">
        <v>9367</v>
      </c>
      <c r="CL192" s="73">
        <v>0</v>
      </c>
      <c r="CM192" s="73">
        <v>7439</v>
      </c>
      <c r="CN192" s="73">
        <v>24419</v>
      </c>
      <c r="CO192" s="73">
        <v>0</v>
      </c>
      <c r="CP192" s="73">
        <v>24163</v>
      </c>
      <c r="CQ192" s="73">
        <v>256</v>
      </c>
      <c r="CR192" s="73">
        <v>83</v>
      </c>
      <c r="CS192" s="73">
        <v>0</v>
      </c>
      <c r="CT192" s="73">
        <v>1396</v>
      </c>
      <c r="CU192" s="73">
        <v>-1313</v>
      </c>
      <c r="CV192" s="73">
        <v>0</v>
      </c>
      <c r="CW192" s="73">
        <v>0</v>
      </c>
      <c r="CX192" s="73">
        <v>-116</v>
      </c>
      <c r="CY192" s="73">
        <v>116</v>
      </c>
      <c r="CZ192" s="73">
        <v>0</v>
      </c>
      <c r="DA192" s="73">
        <v>0</v>
      </c>
      <c r="DB192" s="73">
        <v>0</v>
      </c>
      <c r="DC192" s="73">
        <v>0</v>
      </c>
      <c r="DD192" s="73">
        <v>41308</v>
      </c>
      <c r="DE192" s="73">
        <v>9367</v>
      </c>
      <c r="DF192" s="73">
        <v>25443</v>
      </c>
      <c r="DG192" s="73">
        <v>6498</v>
      </c>
      <c r="DH192" s="73">
        <v>3781</v>
      </c>
      <c r="DI192" s="73">
        <v>3297</v>
      </c>
      <c r="DJ192" s="73">
        <v>0</v>
      </c>
      <c r="DK192" s="73">
        <v>484</v>
      </c>
      <c r="DL192" s="73">
        <v>0</v>
      </c>
      <c r="DM192" s="73">
        <v>0</v>
      </c>
      <c r="DN192" s="73">
        <v>0</v>
      </c>
      <c r="DO192" s="73">
        <v>0</v>
      </c>
      <c r="DP192" s="73">
        <v>0</v>
      </c>
      <c r="DQ192" s="73">
        <v>0</v>
      </c>
      <c r="DR192" s="73">
        <v>0</v>
      </c>
      <c r="DS192" s="73">
        <v>0</v>
      </c>
      <c r="DT192" s="73">
        <v>3084</v>
      </c>
      <c r="DU192" s="73">
        <v>0</v>
      </c>
      <c r="DV192" s="73">
        <v>982</v>
      </c>
      <c r="DW192" s="73">
        <v>2102</v>
      </c>
      <c r="DX192" s="73">
        <v>3375</v>
      </c>
      <c r="DY192" s="73">
        <v>0</v>
      </c>
      <c r="DZ192" s="73">
        <v>997</v>
      </c>
      <c r="EA192" s="73">
        <v>2378</v>
      </c>
      <c r="EB192" s="73">
        <v>6327</v>
      </c>
      <c r="EC192" s="73">
        <v>0</v>
      </c>
      <c r="ED192" s="73">
        <v>4839</v>
      </c>
      <c r="EE192" s="73">
        <v>1488</v>
      </c>
      <c r="EF192" s="73">
        <v>16567</v>
      </c>
      <c r="EG192" s="73">
        <v>3297</v>
      </c>
      <c r="EH192" s="73">
        <v>6818</v>
      </c>
      <c r="EI192" s="73">
        <v>6452</v>
      </c>
      <c r="EJ192" s="73">
        <v>57875</v>
      </c>
      <c r="EK192" s="73">
        <v>12664</v>
      </c>
      <c r="EL192" s="73">
        <v>32261</v>
      </c>
      <c r="EM192" s="73">
        <v>12950</v>
      </c>
      <c r="EN192" s="73">
        <v>8711</v>
      </c>
      <c r="EO192" s="73">
        <v>3966</v>
      </c>
      <c r="EP192" s="73">
        <v>2093</v>
      </c>
      <c r="EQ192" s="73">
        <v>3966</v>
      </c>
      <c r="ER192" s="73">
        <v>1677736</v>
      </c>
      <c r="ES192" s="73">
        <v>0</v>
      </c>
      <c r="ET192" s="73">
        <v>1677736</v>
      </c>
      <c r="EU192" s="73">
        <v>62595</v>
      </c>
      <c r="EV192" s="73">
        <v>-15225</v>
      </c>
      <c r="EW192" s="73">
        <v>0</v>
      </c>
      <c r="EX192" s="73">
        <v>1587</v>
      </c>
      <c r="EY192" s="73">
        <v>-13157</v>
      </c>
      <c r="EZ192" s="73">
        <v>1713536</v>
      </c>
      <c r="FA192" s="73">
        <v>117131</v>
      </c>
      <c r="FB192" s="73">
        <v>9484</v>
      </c>
      <c r="FC192" s="73">
        <v>0</v>
      </c>
      <c r="FD192" s="73">
        <v>0</v>
      </c>
      <c r="FE192" s="73">
        <v>-885</v>
      </c>
      <c r="FF192" s="73">
        <v>0</v>
      </c>
      <c r="FG192" s="73">
        <v>3195</v>
      </c>
      <c r="FH192" s="73">
        <v>128925</v>
      </c>
      <c r="FI192" s="73">
        <v>1584611</v>
      </c>
      <c r="FJ192" s="73">
        <v>1560605</v>
      </c>
      <c r="FK192" s="73">
        <v>25280</v>
      </c>
      <c r="FL192" s="73">
        <v>12978</v>
      </c>
      <c r="FM192" s="73">
        <v>12302</v>
      </c>
      <c r="FN192" s="73">
        <v>0</v>
      </c>
      <c r="FO192" s="73">
        <v>0</v>
      </c>
      <c r="FP192" s="73">
        <v>0</v>
      </c>
      <c r="FQ192" s="73">
        <v>0</v>
      </c>
      <c r="FR192" s="73">
        <v>0</v>
      </c>
      <c r="FS192" s="73">
        <v>0</v>
      </c>
      <c r="FT192" s="73">
        <v>0</v>
      </c>
      <c r="FU192" s="73">
        <v>0</v>
      </c>
      <c r="FV192" s="73">
        <v>0</v>
      </c>
      <c r="FW192" s="73">
        <v>0</v>
      </c>
      <c r="FX192" s="73">
        <v>0</v>
      </c>
      <c r="FY192" s="73">
        <v>0</v>
      </c>
      <c r="FZ192" s="73">
        <v>7769</v>
      </c>
      <c r="GA192" s="73">
        <v>4443</v>
      </c>
      <c r="GB192" s="73">
        <v>3326</v>
      </c>
      <c r="GC192" s="73">
        <v>33049</v>
      </c>
      <c r="GD192" s="73">
        <v>17421</v>
      </c>
      <c r="GE192" s="73">
        <v>15628</v>
      </c>
      <c r="GF192" s="73">
        <v>73202</v>
      </c>
      <c r="GG192" s="73">
        <v>0</v>
      </c>
      <c r="GH192" s="73">
        <v>0</v>
      </c>
      <c r="GI192" s="73">
        <v>0</v>
      </c>
      <c r="GJ192" s="73">
        <v>0</v>
      </c>
      <c r="GK192" s="73">
        <v>7101</v>
      </c>
      <c r="GL192" s="73">
        <v>80303</v>
      </c>
      <c r="GM192" s="73">
        <v>818</v>
      </c>
      <c r="GN192" s="73">
        <v>4572</v>
      </c>
      <c r="GO192" s="73">
        <v>33925</v>
      </c>
      <c r="GP192" s="73">
        <v>0</v>
      </c>
      <c r="GQ192" s="73">
        <v>0</v>
      </c>
      <c r="GR192" s="73">
        <v>19708</v>
      </c>
      <c r="GS192" s="73">
        <v>0</v>
      </c>
      <c r="GT192" s="73">
        <v>0</v>
      </c>
      <c r="GU192" s="73">
        <v>1168</v>
      </c>
      <c r="GV192" s="73">
        <v>0</v>
      </c>
      <c r="GW192" s="73">
        <v>9209</v>
      </c>
      <c r="GX192" s="73">
        <v>69400</v>
      </c>
      <c r="GY192" s="73">
        <v>28135</v>
      </c>
      <c r="GZ192" s="73">
        <v>5901</v>
      </c>
      <c r="HA192" s="73">
        <v>6996</v>
      </c>
      <c r="HB192" s="73">
        <v>12434</v>
      </c>
      <c r="HC192" s="73">
        <v>53466</v>
      </c>
      <c r="HD192" s="73">
        <v>0</v>
      </c>
      <c r="HE192" s="73">
        <v>535</v>
      </c>
      <c r="HF192" s="73">
        <v>535</v>
      </c>
      <c r="HG192" s="73">
        <v>32818</v>
      </c>
      <c r="HH192" s="73">
        <v>1280</v>
      </c>
      <c r="HI192" s="73">
        <v>39</v>
      </c>
      <c r="HJ192" s="73">
        <v>0</v>
      </c>
      <c r="HK192" s="73">
        <v>15</v>
      </c>
      <c r="HL192" s="73">
        <v>-5321</v>
      </c>
      <c r="HM192" s="73">
        <v>28831</v>
      </c>
      <c r="HN192" s="73">
        <v>2813</v>
      </c>
      <c r="HO192" s="73">
        <v>10340</v>
      </c>
      <c r="HP192" s="73">
        <v>0</v>
      </c>
      <c r="HQ192" s="73">
        <v>697</v>
      </c>
      <c r="HR192" s="73">
        <v>-85</v>
      </c>
      <c r="HS192" s="73">
        <v>-65</v>
      </c>
      <c r="HT192" s="73">
        <v>13801</v>
      </c>
      <c r="HU192" s="73">
        <v>17</v>
      </c>
      <c r="HV192" s="73">
        <v>0</v>
      </c>
      <c r="HW192" s="73">
        <v>0</v>
      </c>
      <c r="HX192" s="73">
        <v>176</v>
      </c>
    </row>
    <row r="193" spans="1:232" x14ac:dyDescent="0.2">
      <c r="A193" s="74" t="s">
        <v>132</v>
      </c>
      <c r="B193" s="74" t="s">
        <v>131</v>
      </c>
      <c r="C193" s="75" t="s">
        <v>200</v>
      </c>
      <c r="D193" s="75">
        <v>12</v>
      </c>
      <c r="E193" s="76">
        <v>62737</v>
      </c>
      <c r="F193" s="76">
        <v>-2929</v>
      </c>
      <c r="G193" s="76">
        <v>-45015</v>
      </c>
      <c r="H193" s="76">
        <v>14793</v>
      </c>
      <c r="I193" s="76">
        <v>1292</v>
      </c>
      <c r="J193" s="76">
        <v>0</v>
      </c>
      <c r="K193" s="76">
        <v>3974</v>
      </c>
      <c r="L193" s="76">
        <v>0</v>
      </c>
      <c r="M193" s="76">
        <v>305</v>
      </c>
      <c r="N193" s="76">
        <v>-7820</v>
      </c>
      <c r="O193" s="76">
        <v>10</v>
      </c>
      <c r="P193" s="76">
        <v>0</v>
      </c>
      <c r="Q193" s="76">
        <v>0</v>
      </c>
      <c r="R193" s="76">
        <v>0</v>
      </c>
      <c r="S193" s="76">
        <v>12554</v>
      </c>
      <c r="T193" s="76">
        <v>0</v>
      </c>
      <c r="U193" s="76">
        <v>12554</v>
      </c>
      <c r="V193" s="76">
        <v>0</v>
      </c>
      <c r="W193" s="76">
        <v>-4923</v>
      </c>
      <c r="X193" s="76">
        <v>0</v>
      </c>
      <c r="Y193" s="76">
        <v>-46</v>
      </c>
      <c r="Z193" s="76">
        <v>7585</v>
      </c>
      <c r="AA193" s="76">
        <v>54198</v>
      </c>
      <c r="AB193" s="76">
        <v>3263</v>
      </c>
      <c r="AC193" s="76">
        <v>57461</v>
      </c>
      <c r="AD193" s="76">
        <v>7</v>
      </c>
      <c r="AE193" s="76">
        <v>0</v>
      </c>
      <c r="AF193" s="76">
        <v>-48</v>
      </c>
      <c r="AG193" s="76">
        <v>493</v>
      </c>
      <c r="AH193" s="76">
        <v>57913</v>
      </c>
      <c r="AI193" s="76">
        <v>11479</v>
      </c>
      <c r="AJ193" s="76">
        <v>3263</v>
      </c>
      <c r="AK193" s="76">
        <v>4286</v>
      </c>
      <c r="AL193" s="76">
        <v>9477</v>
      </c>
      <c r="AM193" s="76">
        <v>7800</v>
      </c>
      <c r="AN193" s="76">
        <v>1228</v>
      </c>
      <c r="AO193" s="76">
        <v>6554</v>
      </c>
      <c r="AP193" s="76">
        <v>0</v>
      </c>
      <c r="AQ193" s="76">
        <v>652</v>
      </c>
      <c r="AR193" s="76">
        <v>44739</v>
      </c>
      <c r="AS193" s="76">
        <v>13174</v>
      </c>
      <c r="AT193" s="76">
        <v>723</v>
      </c>
      <c r="AU193" s="76">
        <v>147625</v>
      </c>
      <c r="AV193" s="76">
        <v>0</v>
      </c>
      <c r="AW193" s="76">
        <v>7215</v>
      </c>
      <c r="AX193" s="76">
        <v>0</v>
      </c>
      <c r="AY193" s="76">
        <v>0</v>
      </c>
      <c r="AZ193" s="76">
        <v>8117</v>
      </c>
      <c r="BA193" s="76">
        <v>0</v>
      </c>
      <c r="BB193" s="76">
        <v>0</v>
      </c>
      <c r="BC193" s="76">
        <v>0</v>
      </c>
      <c r="BD193" s="76">
        <v>0</v>
      </c>
      <c r="BE193" s="76">
        <v>162957</v>
      </c>
      <c r="BF193" s="76">
        <v>1594</v>
      </c>
      <c r="BG193" s="76">
        <v>2199</v>
      </c>
      <c r="BH193" s="76">
        <v>5203</v>
      </c>
      <c r="BI193" s="76">
        <v>0</v>
      </c>
      <c r="BJ193" s="76">
        <v>11504</v>
      </c>
      <c r="BK193" s="76">
        <v>20500</v>
      </c>
      <c r="BL193" s="76">
        <v>1260</v>
      </c>
      <c r="BM193" s="76">
        <v>0</v>
      </c>
      <c r="BN193" s="76">
        <v>43</v>
      </c>
      <c r="BO193" s="76">
        <v>7484</v>
      </c>
      <c r="BP193" s="76">
        <v>8787</v>
      </c>
      <c r="BQ193" s="76">
        <v>11713</v>
      </c>
      <c r="BR193" s="76">
        <v>174670</v>
      </c>
      <c r="BS193" s="76">
        <v>119750</v>
      </c>
      <c r="BT193" s="76">
        <v>0</v>
      </c>
      <c r="BU193" s="76">
        <v>0</v>
      </c>
      <c r="BV193" s="76">
        <v>4368</v>
      </c>
      <c r="BW193" s="76">
        <v>0</v>
      </c>
      <c r="BX193" s="76">
        <v>0</v>
      </c>
      <c r="BY193" s="76">
        <v>1362</v>
      </c>
      <c r="BZ193" s="76">
        <v>125480</v>
      </c>
      <c r="CA193" s="76">
        <v>14537</v>
      </c>
      <c r="CB193" s="76">
        <v>0</v>
      </c>
      <c r="CC193" s="76">
        <v>34653</v>
      </c>
      <c r="CD193" s="76">
        <v>34214</v>
      </c>
      <c r="CE193" s="76">
        <v>439</v>
      </c>
      <c r="CF193" s="76">
        <v>0</v>
      </c>
      <c r="CG193" s="76">
        <v>0</v>
      </c>
      <c r="CH193" s="76">
        <v>0</v>
      </c>
      <c r="CI193" s="76">
        <v>34653</v>
      </c>
      <c r="CJ193" s="76">
        <v>3962</v>
      </c>
      <c r="CK193" s="76">
        <v>2929</v>
      </c>
      <c r="CL193" s="76">
        <v>0</v>
      </c>
      <c r="CM193" s="76">
        <v>1033</v>
      </c>
      <c r="CN193" s="76">
        <v>0</v>
      </c>
      <c r="CO193" s="76">
        <v>0</v>
      </c>
      <c r="CP193" s="76">
        <v>0</v>
      </c>
      <c r="CQ193" s="76">
        <v>0</v>
      </c>
      <c r="CR193" s="76">
        <v>0</v>
      </c>
      <c r="CS193" s="76">
        <v>0</v>
      </c>
      <c r="CT193" s="76">
        <v>0</v>
      </c>
      <c r="CU193" s="76">
        <v>0</v>
      </c>
      <c r="CV193" s="76">
        <v>0</v>
      </c>
      <c r="CW193" s="76">
        <v>0</v>
      </c>
      <c r="CX193" s="76">
        <v>0</v>
      </c>
      <c r="CY193" s="76">
        <v>0</v>
      </c>
      <c r="CZ193" s="76">
        <v>0</v>
      </c>
      <c r="DA193" s="76">
        <v>0</v>
      </c>
      <c r="DB193" s="76">
        <v>0</v>
      </c>
      <c r="DC193" s="76">
        <v>0</v>
      </c>
      <c r="DD193" s="76">
        <v>3962</v>
      </c>
      <c r="DE193" s="76">
        <v>2929</v>
      </c>
      <c r="DF193" s="76">
        <v>0</v>
      </c>
      <c r="DG193" s="76">
        <v>1033</v>
      </c>
      <c r="DH193" s="76">
        <v>0</v>
      </c>
      <c r="DI193" s="76">
        <v>0</v>
      </c>
      <c r="DJ193" s="76">
        <v>0</v>
      </c>
      <c r="DK193" s="76">
        <v>0</v>
      </c>
      <c r="DL193" s="76">
        <v>0</v>
      </c>
      <c r="DM193" s="76">
        <v>0</v>
      </c>
      <c r="DN193" s="76">
        <v>0</v>
      </c>
      <c r="DO193" s="76">
        <v>0</v>
      </c>
      <c r="DP193" s="76">
        <v>0</v>
      </c>
      <c r="DQ193" s="76">
        <v>0</v>
      </c>
      <c r="DR193" s="76">
        <v>0</v>
      </c>
      <c r="DS193" s="76">
        <v>0</v>
      </c>
      <c r="DT193" s="76">
        <v>622</v>
      </c>
      <c r="DU193" s="76">
        <v>0</v>
      </c>
      <c r="DV193" s="76">
        <v>177</v>
      </c>
      <c r="DW193" s="76">
        <v>445</v>
      </c>
      <c r="DX193" s="76">
        <v>0</v>
      </c>
      <c r="DY193" s="76">
        <v>0</v>
      </c>
      <c r="DZ193" s="76">
        <v>0</v>
      </c>
      <c r="EA193" s="76">
        <v>0</v>
      </c>
      <c r="EB193" s="76">
        <v>240</v>
      </c>
      <c r="EC193" s="76">
        <v>0</v>
      </c>
      <c r="ED193" s="76">
        <v>99</v>
      </c>
      <c r="EE193" s="76">
        <v>141</v>
      </c>
      <c r="EF193" s="76">
        <v>862</v>
      </c>
      <c r="EG193" s="76">
        <v>0</v>
      </c>
      <c r="EH193" s="76">
        <v>276</v>
      </c>
      <c r="EI193" s="76">
        <v>586</v>
      </c>
      <c r="EJ193" s="76">
        <v>4824</v>
      </c>
      <c r="EK193" s="76">
        <v>2929</v>
      </c>
      <c r="EL193" s="76">
        <v>276</v>
      </c>
      <c r="EM193" s="76">
        <v>1619</v>
      </c>
      <c r="EN193" s="76">
        <v>2605</v>
      </c>
      <c r="EO193" s="76">
        <v>2390</v>
      </c>
      <c r="EP193" s="76">
        <v>843</v>
      </c>
      <c r="EQ193" s="76">
        <v>2033</v>
      </c>
      <c r="ER193" s="76">
        <v>153653</v>
      </c>
      <c r="ES193" s="76">
        <v>0</v>
      </c>
      <c r="ET193" s="76">
        <v>153653</v>
      </c>
      <c r="EU193" s="76">
        <v>28287</v>
      </c>
      <c r="EV193" s="76">
        <v>-922</v>
      </c>
      <c r="EW193" s="76">
        <v>0</v>
      </c>
      <c r="EX193" s="76">
        <v>0</v>
      </c>
      <c r="EY193" s="76">
        <v>0</v>
      </c>
      <c r="EZ193" s="76">
        <v>181018</v>
      </c>
      <c r="FA193" s="76">
        <v>27761</v>
      </c>
      <c r="FB193" s="76">
        <v>5890</v>
      </c>
      <c r="FC193" s="76">
        <v>0</v>
      </c>
      <c r="FD193" s="76">
        <v>0</v>
      </c>
      <c r="FE193" s="76">
        <v>-258</v>
      </c>
      <c r="FF193" s="76">
        <v>0</v>
      </c>
      <c r="FG193" s="76">
        <v>0</v>
      </c>
      <c r="FH193" s="76">
        <v>33393</v>
      </c>
      <c r="FI193" s="76">
        <v>147625</v>
      </c>
      <c r="FJ193" s="76">
        <v>125892</v>
      </c>
      <c r="FK193" s="76">
        <v>0</v>
      </c>
      <c r="FL193" s="76">
        <v>0</v>
      </c>
      <c r="FM193" s="76">
        <v>0</v>
      </c>
      <c r="FN193" s="76">
        <v>1687</v>
      </c>
      <c r="FO193" s="76">
        <v>787</v>
      </c>
      <c r="FP193" s="76">
        <v>900</v>
      </c>
      <c r="FQ193" s="76">
        <v>388</v>
      </c>
      <c r="FR193" s="76">
        <v>3</v>
      </c>
      <c r="FS193" s="76">
        <v>385</v>
      </c>
      <c r="FT193" s="76">
        <v>7</v>
      </c>
      <c r="FU193" s="76">
        <v>0</v>
      </c>
      <c r="FV193" s="76">
        <v>7</v>
      </c>
      <c r="FW193" s="76">
        <v>0</v>
      </c>
      <c r="FX193" s="76">
        <v>0</v>
      </c>
      <c r="FY193" s="76">
        <v>0</v>
      </c>
      <c r="FZ193" s="76">
        <v>0</v>
      </c>
      <c r="GA193" s="76">
        <v>0</v>
      </c>
      <c r="GB193" s="76">
        <v>0</v>
      </c>
      <c r="GC193" s="76">
        <v>2082</v>
      </c>
      <c r="GD193" s="76">
        <v>790</v>
      </c>
      <c r="GE193" s="76">
        <v>1292</v>
      </c>
      <c r="GF193" s="76">
        <v>9250</v>
      </c>
      <c r="GG193" s="76">
        <v>1</v>
      </c>
      <c r="GH193" s="76">
        <v>1475</v>
      </c>
      <c r="GI193" s="76">
        <v>0</v>
      </c>
      <c r="GJ193" s="76">
        <v>0</v>
      </c>
      <c r="GK193" s="76">
        <v>778</v>
      </c>
      <c r="GL193" s="76">
        <v>11504</v>
      </c>
      <c r="GM193" s="76">
        <v>134</v>
      </c>
      <c r="GN193" s="76">
        <v>1303</v>
      </c>
      <c r="GO193" s="76">
        <v>908</v>
      </c>
      <c r="GP193" s="76">
        <v>0</v>
      </c>
      <c r="GQ193" s="76">
        <v>0</v>
      </c>
      <c r="GR193" s="76">
        <v>3898</v>
      </c>
      <c r="GS193" s="76">
        <v>0</v>
      </c>
      <c r="GT193" s="76">
        <v>0</v>
      </c>
      <c r="GU193" s="76">
        <v>198</v>
      </c>
      <c r="GV193" s="76">
        <v>0</v>
      </c>
      <c r="GW193" s="76">
        <v>1043</v>
      </c>
      <c r="GX193" s="76">
        <v>7484</v>
      </c>
      <c r="GY193" s="76">
        <v>0</v>
      </c>
      <c r="GZ193" s="76">
        <v>0</v>
      </c>
      <c r="HA193" s="76">
        <v>1362</v>
      </c>
      <c r="HB193" s="76">
        <v>0</v>
      </c>
      <c r="HC193" s="76">
        <v>1362</v>
      </c>
      <c r="HD193" s="76">
        <v>0</v>
      </c>
      <c r="HE193" s="76">
        <v>0</v>
      </c>
      <c r="HF193" s="76">
        <v>0</v>
      </c>
      <c r="HG193" s="76">
        <v>7057</v>
      </c>
      <c r="HH193" s="76">
        <v>0</v>
      </c>
      <c r="HI193" s="76">
        <v>335</v>
      </c>
      <c r="HJ193" s="76">
        <v>0</v>
      </c>
      <c r="HK193" s="76">
        <v>428</v>
      </c>
      <c r="HL193" s="76">
        <v>0</v>
      </c>
      <c r="HM193" s="76">
        <v>7820</v>
      </c>
      <c r="HN193" s="76">
        <v>5594</v>
      </c>
      <c r="HO193" s="76">
        <v>6903</v>
      </c>
      <c r="HP193" s="76">
        <v>0</v>
      </c>
      <c r="HQ193" s="76">
        <v>241</v>
      </c>
      <c r="HR193" s="76">
        <v>-261</v>
      </c>
      <c r="HS193" s="76">
        <v>1</v>
      </c>
      <c r="HT193" s="76">
        <v>12332</v>
      </c>
      <c r="HU193" s="76">
        <v>0</v>
      </c>
      <c r="HV193" s="76">
        <v>0</v>
      </c>
      <c r="HW193" s="76">
        <v>10</v>
      </c>
      <c r="HX193" s="76">
        <v>684</v>
      </c>
    </row>
    <row r="194" spans="1:232" x14ac:dyDescent="0.2">
      <c r="A194" s="74" t="s">
        <v>573</v>
      </c>
      <c r="B194" s="74" t="s">
        <v>572</v>
      </c>
      <c r="C194" s="75" t="s">
        <v>200</v>
      </c>
      <c r="D194" s="75">
        <v>12</v>
      </c>
      <c r="E194" s="76">
        <v>44771</v>
      </c>
      <c r="F194" s="76">
        <v>0</v>
      </c>
      <c r="G194" s="76">
        <v>-31882</v>
      </c>
      <c r="H194" s="76">
        <v>12889</v>
      </c>
      <c r="I194" s="76">
        <v>1354</v>
      </c>
      <c r="J194" s="76">
        <v>49</v>
      </c>
      <c r="K194" s="76">
        <v>-98</v>
      </c>
      <c r="L194" s="76">
        <v>0</v>
      </c>
      <c r="M194" s="76">
        <v>71</v>
      </c>
      <c r="N194" s="76">
        <v>-2800</v>
      </c>
      <c r="O194" s="76">
        <v>0</v>
      </c>
      <c r="P194" s="76">
        <v>0</v>
      </c>
      <c r="Q194" s="76">
        <v>0</v>
      </c>
      <c r="R194" s="76">
        <v>0</v>
      </c>
      <c r="S194" s="76">
        <v>11465</v>
      </c>
      <c r="T194" s="76">
        <v>-19</v>
      </c>
      <c r="U194" s="76">
        <v>11446</v>
      </c>
      <c r="V194" s="76">
        <v>0</v>
      </c>
      <c r="W194" s="76">
        <v>-7010</v>
      </c>
      <c r="X194" s="76">
        <v>0</v>
      </c>
      <c r="Y194" s="76">
        <v>0</v>
      </c>
      <c r="Z194" s="76">
        <v>4436</v>
      </c>
      <c r="AA194" s="76">
        <v>40205</v>
      </c>
      <c r="AB194" s="76">
        <v>758</v>
      </c>
      <c r="AC194" s="76">
        <v>40963</v>
      </c>
      <c r="AD194" s="76">
        <v>2343</v>
      </c>
      <c r="AE194" s="76">
        <v>0</v>
      </c>
      <c r="AF194" s="76">
        <v>63</v>
      </c>
      <c r="AG194" s="76">
        <v>650</v>
      </c>
      <c r="AH194" s="76">
        <v>44019</v>
      </c>
      <c r="AI194" s="76">
        <v>4873</v>
      </c>
      <c r="AJ194" s="76">
        <v>1789</v>
      </c>
      <c r="AK194" s="76">
        <v>5310</v>
      </c>
      <c r="AL194" s="76">
        <v>1526</v>
      </c>
      <c r="AM194" s="76">
        <v>2499</v>
      </c>
      <c r="AN194" s="76">
        <v>134</v>
      </c>
      <c r="AO194" s="76">
        <v>9464</v>
      </c>
      <c r="AP194" s="76">
        <v>0</v>
      </c>
      <c r="AQ194" s="76">
        <v>6287</v>
      </c>
      <c r="AR194" s="76">
        <v>31882</v>
      </c>
      <c r="AS194" s="76">
        <v>12137</v>
      </c>
      <c r="AT194" s="76">
        <v>413</v>
      </c>
      <c r="AU194" s="76">
        <v>160260</v>
      </c>
      <c r="AV194" s="76">
        <v>0</v>
      </c>
      <c r="AW194" s="76">
        <v>136</v>
      </c>
      <c r="AX194" s="76">
        <v>0</v>
      </c>
      <c r="AY194" s="76">
        <v>0</v>
      </c>
      <c r="AZ194" s="76">
        <v>0</v>
      </c>
      <c r="BA194" s="76">
        <v>0</v>
      </c>
      <c r="BB194" s="76">
        <v>0</v>
      </c>
      <c r="BC194" s="76">
        <v>0</v>
      </c>
      <c r="BD194" s="76">
        <v>0</v>
      </c>
      <c r="BE194" s="76">
        <v>160396</v>
      </c>
      <c r="BF194" s="76">
        <v>0</v>
      </c>
      <c r="BG194" s="76">
        <v>2428</v>
      </c>
      <c r="BH194" s="76">
        <v>27755</v>
      </c>
      <c r="BI194" s="76">
        <v>0</v>
      </c>
      <c r="BJ194" s="76">
        <v>351</v>
      </c>
      <c r="BK194" s="76">
        <v>30534</v>
      </c>
      <c r="BL194" s="76">
        <v>0</v>
      </c>
      <c r="BM194" s="76">
        <v>0</v>
      </c>
      <c r="BN194" s="76">
        <v>0</v>
      </c>
      <c r="BO194" s="76">
        <v>6184</v>
      </c>
      <c r="BP194" s="76">
        <v>6184</v>
      </c>
      <c r="BQ194" s="76">
        <v>24350</v>
      </c>
      <c r="BR194" s="76">
        <v>184746</v>
      </c>
      <c r="BS194" s="76">
        <v>70125</v>
      </c>
      <c r="BT194" s="76">
        <v>0</v>
      </c>
      <c r="BU194" s="76">
        <v>0</v>
      </c>
      <c r="BV194" s="76">
        <v>43367</v>
      </c>
      <c r="BW194" s="76">
        <v>0</v>
      </c>
      <c r="BX194" s="76">
        <v>0</v>
      </c>
      <c r="BY194" s="76">
        <v>0</v>
      </c>
      <c r="BZ194" s="76">
        <v>113492</v>
      </c>
      <c r="CA194" s="76">
        <v>9793</v>
      </c>
      <c r="CB194" s="76">
        <v>70</v>
      </c>
      <c r="CC194" s="76">
        <v>61391</v>
      </c>
      <c r="CD194" s="76">
        <v>61391</v>
      </c>
      <c r="CE194" s="76">
        <v>0</v>
      </c>
      <c r="CF194" s="76">
        <v>0</v>
      </c>
      <c r="CG194" s="76">
        <v>0</v>
      </c>
      <c r="CH194" s="76">
        <v>0</v>
      </c>
      <c r="CI194" s="76">
        <v>61391</v>
      </c>
      <c r="CJ194" s="76">
        <v>0</v>
      </c>
      <c r="CK194" s="76">
        <v>0</v>
      </c>
      <c r="CL194" s="76">
        <v>0</v>
      </c>
      <c r="CM194" s="76">
        <v>0</v>
      </c>
      <c r="CN194" s="76">
        <v>0</v>
      </c>
      <c r="CO194" s="76">
        <v>0</v>
      </c>
      <c r="CP194" s="76">
        <v>0</v>
      </c>
      <c r="CQ194" s="76">
        <v>0</v>
      </c>
      <c r="CR194" s="76">
        <v>0</v>
      </c>
      <c r="CS194" s="76">
        <v>0</v>
      </c>
      <c r="CT194" s="76">
        <v>0</v>
      </c>
      <c r="CU194" s="76">
        <v>0</v>
      </c>
      <c r="CV194" s="76">
        <v>0</v>
      </c>
      <c r="CW194" s="76">
        <v>0</v>
      </c>
      <c r="CX194" s="76">
        <v>0</v>
      </c>
      <c r="CY194" s="76">
        <v>0</v>
      </c>
      <c r="CZ194" s="76">
        <v>0</v>
      </c>
      <c r="DA194" s="76">
        <v>0</v>
      </c>
      <c r="DB194" s="76">
        <v>0</v>
      </c>
      <c r="DC194" s="76">
        <v>0</v>
      </c>
      <c r="DD194" s="76">
        <v>0</v>
      </c>
      <c r="DE194" s="76">
        <v>0</v>
      </c>
      <c r="DF194" s="76">
        <v>0</v>
      </c>
      <c r="DG194" s="76">
        <v>0</v>
      </c>
      <c r="DH194" s="76">
        <v>0</v>
      </c>
      <c r="DI194" s="76">
        <v>0</v>
      </c>
      <c r="DJ194" s="76">
        <v>0</v>
      </c>
      <c r="DK194" s="76">
        <v>0</v>
      </c>
      <c r="DL194" s="76">
        <v>0</v>
      </c>
      <c r="DM194" s="76">
        <v>0</v>
      </c>
      <c r="DN194" s="76">
        <v>0</v>
      </c>
      <c r="DO194" s="76">
        <v>0</v>
      </c>
      <c r="DP194" s="76">
        <v>0</v>
      </c>
      <c r="DQ194" s="76">
        <v>0</v>
      </c>
      <c r="DR194" s="76">
        <v>0</v>
      </c>
      <c r="DS194" s="76">
        <v>0</v>
      </c>
      <c r="DT194" s="76">
        <v>0</v>
      </c>
      <c r="DU194" s="76">
        <v>0</v>
      </c>
      <c r="DV194" s="76">
        <v>0</v>
      </c>
      <c r="DW194" s="76">
        <v>0</v>
      </c>
      <c r="DX194" s="76">
        <v>0</v>
      </c>
      <c r="DY194" s="76">
        <v>0</v>
      </c>
      <c r="DZ194" s="76">
        <v>0</v>
      </c>
      <c r="EA194" s="76">
        <v>0</v>
      </c>
      <c r="EB194" s="76">
        <v>752</v>
      </c>
      <c r="EC194" s="76">
        <v>0</v>
      </c>
      <c r="ED194" s="76">
        <v>0</v>
      </c>
      <c r="EE194" s="76">
        <v>752</v>
      </c>
      <c r="EF194" s="76">
        <v>752</v>
      </c>
      <c r="EG194" s="76">
        <v>0</v>
      </c>
      <c r="EH194" s="76">
        <v>0</v>
      </c>
      <c r="EI194" s="76">
        <v>752</v>
      </c>
      <c r="EJ194" s="76">
        <v>752</v>
      </c>
      <c r="EK194" s="76">
        <v>0</v>
      </c>
      <c r="EL194" s="76">
        <v>0</v>
      </c>
      <c r="EM194" s="76">
        <v>752</v>
      </c>
      <c r="EN194" s="76">
        <v>2046</v>
      </c>
      <c r="EO194" s="76">
        <v>965</v>
      </c>
      <c r="EP194" s="76">
        <v>684</v>
      </c>
      <c r="EQ194" s="76">
        <v>965</v>
      </c>
      <c r="ER194" s="76">
        <v>206509</v>
      </c>
      <c r="ES194" s="76">
        <v>0</v>
      </c>
      <c r="ET194" s="76">
        <v>206509</v>
      </c>
      <c r="EU194" s="76">
        <v>13707</v>
      </c>
      <c r="EV194" s="76">
        <v>-1313</v>
      </c>
      <c r="EW194" s="76">
        <v>0</v>
      </c>
      <c r="EX194" s="76">
        <v>0</v>
      </c>
      <c r="EY194" s="76">
        <v>0</v>
      </c>
      <c r="EZ194" s="76">
        <v>218903</v>
      </c>
      <c r="FA194" s="76">
        <v>49629</v>
      </c>
      <c r="FB194" s="76">
        <v>9429</v>
      </c>
      <c r="FC194" s="76">
        <v>0</v>
      </c>
      <c r="FD194" s="76">
        <v>0</v>
      </c>
      <c r="FE194" s="76">
        <v>-415</v>
      </c>
      <c r="FF194" s="76">
        <v>0</v>
      </c>
      <c r="FG194" s="76">
        <v>0</v>
      </c>
      <c r="FH194" s="76">
        <v>58643</v>
      </c>
      <c r="FI194" s="76">
        <v>160260</v>
      </c>
      <c r="FJ194" s="76">
        <v>156880</v>
      </c>
      <c r="FK194" s="76">
        <v>0</v>
      </c>
      <c r="FL194" s="76">
        <v>0</v>
      </c>
      <c r="FM194" s="76">
        <v>0</v>
      </c>
      <c r="FN194" s="76">
        <v>1825</v>
      </c>
      <c r="FO194" s="76">
        <v>500</v>
      </c>
      <c r="FP194" s="76">
        <v>1325</v>
      </c>
      <c r="FQ194" s="76">
        <v>44</v>
      </c>
      <c r="FR194" s="76">
        <v>15</v>
      </c>
      <c r="FS194" s="76">
        <v>29</v>
      </c>
      <c r="FT194" s="76">
        <v>0</v>
      </c>
      <c r="FU194" s="76">
        <v>0</v>
      </c>
      <c r="FV194" s="76">
        <v>0</v>
      </c>
      <c r="FW194" s="76">
        <v>0</v>
      </c>
      <c r="FX194" s="76">
        <v>0</v>
      </c>
      <c r="FY194" s="76">
        <v>0</v>
      </c>
      <c r="FZ194" s="76">
        <v>0</v>
      </c>
      <c r="GA194" s="76">
        <v>0</v>
      </c>
      <c r="GB194" s="76">
        <v>0</v>
      </c>
      <c r="GC194" s="76">
        <v>1869</v>
      </c>
      <c r="GD194" s="76">
        <v>515</v>
      </c>
      <c r="GE194" s="76">
        <v>1354</v>
      </c>
      <c r="GF194" s="76">
        <v>0</v>
      </c>
      <c r="GG194" s="76">
        <v>0</v>
      </c>
      <c r="GH194" s="76">
        <v>0</v>
      </c>
      <c r="GI194" s="76">
        <v>0</v>
      </c>
      <c r="GJ194" s="76">
        <v>0</v>
      </c>
      <c r="GK194" s="76">
        <v>351</v>
      </c>
      <c r="GL194" s="76">
        <v>351</v>
      </c>
      <c r="GM194" s="76">
        <v>195</v>
      </c>
      <c r="GN194" s="76">
        <v>758</v>
      </c>
      <c r="GO194" s="76">
        <v>220</v>
      </c>
      <c r="GP194" s="76">
        <v>0</v>
      </c>
      <c r="GQ194" s="76">
        <v>0</v>
      </c>
      <c r="GR194" s="76">
        <v>4349</v>
      </c>
      <c r="GS194" s="76">
        <v>0</v>
      </c>
      <c r="GT194" s="76">
        <v>0</v>
      </c>
      <c r="GU194" s="76">
        <v>0</v>
      </c>
      <c r="GV194" s="76">
        <v>0</v>
      </c>
      <c r="GW194" s="76">
        <v>662</v>
      </c>
      <c r="GX194" s="76">
        <v>6184</v>
      </c>
      <c r="GY194" s="76">
        <v>0</v>
      </c>
      <c r="GZ194" s="76">
        <v>0</v>
      </c>
      <c r="HA194" s="76">
        <v>0</v>
      </c>
      <c r="HB194" s="76">
        <v>0</v>
      </c>
      <c r="HC194" s="76">
        <v>0</v>
      </c>
      <c r="HD194" s="76">
        <v>0</v>
      </c>
      <c r="HE194" s="76">
        <v>70</v>
      </c>
      <c r="HF194" s="76">
        <v>70</v>
      </c>
      <c r="HG194" s="76">
        <v>2800</v>
      </c>
      <c r="HH194" s="76">
        <v>0</v>
      </c>
      <c r="HI194" s="76">
        <v>0</v>
      </c>
      <c r="HJ194" s="76">
        <v>0</v>
      </c>
      <c r="HK194" s="76">
        <v>0</v>
      </c>
      <c r="HL194" s="76">
        <v>0</v>
      </c>
      <c r="HM194" s="76">
        <v>2800</v>
      </c>
      <c r="HN194" s="76">
        <v>6408</v>
      </c>
      <c r="HO194" s="76">
        <v>9464</v>
      </c>
      <c r="HP194" s="76">
        <v>0</v>
      </c>
      <c r="HQ194" s="76">
        <v>53</v>
      </c>
      <c r="HR194" s="76">
        <v>-79</v>
      </c>
      <c r="HS194" s="76">
        <v>4</v>
      </c>
      <c r="HT194" s="76">
        <v>9981</v>
      </c>
      <c r="HU194" s="76">
        <v>0</v>
      </c>
      <c r="HV194" s="76">
        <v>0</v>
      </c>
      <c r="HW194" s="76">
        <v>0</v>
      </c>
      <c r="HX194" s="76">
        <v>0</v>
      </c>
    </row>
    <row r="195" spans="1:232" x14ac:dyDescent="0.2">
      <c r="A195" s="74" t="s">
        <v>134</v>
      </c>
      <c r="B195" s="74" t="s">
        <v>133</v>
      </c>
      <c r="C195" s="75" t="s">
        <v>200</v>
      </c>
      <c r="D195" s="75">
        <v>12</v>
      </c>
      <c r="E195" s="76">
        <v>15208</v>
      </c>
      <c r="F195" s="76">
        <v>0</v>
      </c>
      <c r="G195" s="76">
        <v>-10890</v>
      </c>
      <c r="H195" s="76">
        <v>4318</v>
      </c>
      <c r="I195" s="76">
        <v>284</v>
      </c>
      <c r="J195" s="76">
        <v>0</v>
      </c>
      <c r="K195" s="76">
        <v>0</v>
      </c>
      <c r="L195" s="76">
        <v>0</v>
      </c>
      <c r="M195" s="76">
        <v>23</v>
      </c>
      <c r="N195" s="76">
        <v>-2702</v>
      </c>
      <c r="O195" s="76">
        <v>0</v>
      </c>
      <c r="P195" s="76">
        <v>0</v>
      </c>
      <c r="Q195" s="76">
        <v>0</v>
      </c>
      <c r="R195" s="76">
        <v>0</v>
      </c>
      <c r="S195" s="76">
        <v>1923</v>
      </c>
      <c r="T195" s="76">
        <v>0</v>
      </c>
      <c r="U195" s="76">
        <v>1923</v>
      </c>
      <c r="V195" s="76">
        <v>0</v>
      </c>
      <c r="W195" s="76">
        <v>-1409</v>
      </c>
      <c r="X195" s="76">
        <v>0</v>
      </c>
      <c r="Y195" s="76">
        <v>0</v>
      </c>
      <c r="Z195" s="76">
        <v>514</v>
      </c>
      <c r="AA195" s="76">
        <v>10308</v>
      </c>
      <c r="AB195" s="76">
        <v>1070</v>
      </c>
      <c r="AC195" s="76">
        <v>11378</v>
      </c>
      <c r="AD195" s="76">
        <v>762</v>
      </c>
      <c r="AE195" s="76">
        <v>0</v>
      </c>
      <c r="AF195" s="76">
        <v>0</v>
      </c>
      <c r="AG195" s="76">
        <v>2471</v>
      </c>
      <c r="AH195" s="76">
        <v>14611</v>
      </c>
      <c r="AI195" s="76">
        <v>1948</v>
      </c>
      <c r="AJ195" s="76">
        <v>1312</v>
      </c>
      <c r="AK195" s="76">
        <v>3300</v>
      </c>
      <c r="AL195" s="76">
        <v>1058</v>
      </c>
      <c r="AM195" s="76">
        <v>303</v>
      </c>
      <c r="AN195" s="76">
        <v>116</v>
      </c>
      <c r="AO195" s="76">
        <v>2251</v>
      </c>
      <c r="AP195" s="76">
        <v>0</v>
      </c>
      <c r="AQ195" s="76">
        <v>0</v>
      </c>
      <c r="AR195" s="76">
        <v>10288</v>
      </c>
      <c r="AS195" s="76">
        <v>4323</v>
      </c>
      <c r="AT195" s="76">
        <v>54</v>
      </c>
      <c r="AU195" s="76">
        <v>107926</v>
      </c>
      <c r="AV195" s="76">
        <v>0</v>
      </c>
      <c r="AW195" s="76">
        <v>2186</v>
      </c>
      <c r="AX195" s="76">
        <v>0</v>
      </c>
      <c r="AY195" s="76">
        <v>0</v>
      </c>
      <c r="AZ195" s="76">
        <v>0</v>
      </c>
      <c r="BA195" s="76">
        <v>0</v>
      </c>
      <c r="BB195" s="76">
        <v>0</v>
      </c>
      <c r="BC195" s="76">
        <v>0</v>
      </c>
      <c r="BD195" s="76">
        <v>0</v>
      </c>
      <c r="BE195" s="76">
        <v>110112</v>
      </c>
      <c r="BF195" s="76">
        <v>0</v>
      </c>
      <c r="BG195" s="76">
        <v>213</v>
      </c>
      <c r="BH195" s="76">
        <v>4438</v>
      </c>
      <c r="BI195" s="76">
        <v>0</v>
      </c>
      <c r="BJ195" s="76">
        <v>1570</v>
      </c>
      <c r="BK195" s="76">
        <v>6221</v>
      </c>
      <c r="BL195" s="76">
        <v>0</v>
      </c>
      <c r="BM195" s="76">
        <v>0</v>
      </c>
      <c r="BN195" s="76">
        <v>762</v>
      </c>
      <c r="BO195" s="76">
        <v>2921</v>
      </c>
      <c r="BP195" s="76">
        <v>3683</v>
      </c>
      <c r="BQ195" s="76">
        <v>2538</v>
      </c>
      <c r="BR195" s="76">
        <v>112650</v>
      </c>
      <c r="BS195" s="76">
        <v>52822</v>
      </c>
      <c r="BT195" s="76">
        <v>0</v>
      </c>
      <c r="BU195" s="76">
        <v>0</v>
      </c>
      <c r="BV195" s="76">
        <v>43735</v>
      </c>
      <c r="BW195" s="76">
        <v>0</v>
      </c>
      <c r="BX195" s="76">
        <v>0</v>
      </c>
      <c r="BY195" s="76">
        <v>614</v>
      </c>
      <c r="BZ195" s="76">
        <v>97171</v>
      </c>
      <c r="CA195" s="76">
        <v>4928</v>
      </c>
      <c r="CB195" s="76">
        <v>0</v>
      </c>
      <c r="CC195" s="76">
        <v>10551</v>
      </c>
      <c r="CD195" s="76">
        <v>10551</v>
      </c>
      <c r="CE195" s="76">
        <v>0</v>
      </c>
      <c r="CF195" s="76">
        <v>0</v>
      </c>
      <c r="CG195" s="76">
        <v>0</v>
      </c>
      <c r="CH195" s="76">
        <v>0</v>
      </c>
      <c r="CI195" s="76">
        <v>10551</v>
      </c>
      <c r="CJ195" s="76">
        <v>128</v>
      </c>
      <c r="CK195" s="76">
        <v>0</v>
      </c>
      <c r="CL195" s="76">
        <v>92</v>
      </c>
      <c r="CM195" s="76">
        <v>36</v>
      </c>
      <c r="CN195" s="76">
        <v>0</v>
      </c>
      <c r="CO195" s="76">
        <v>0</v>
      </c>
      <c r="CP195" s="76">
        <v>0</v>
      </c>
      <c r="CQ195" s="76">
        <v>0</v>
      </c>
      <c r="CR195" s="76">
        <v>0</v>
      </c>
      <c r="CS195" s="76">
        <v>0</v>
      </c>
      <c r="CT195" s="76">
        <v>62</v>
      </c>
      <c r="CU195" s="76">
        <v>-62</v>
      </c>
      <c r="CV195" s="76">
        <v>0</v>
      </c>
      <c r="CW195" s="76">
        <v>0</v>
      </c>
      <c r="CX195" s="76">
        <v>137</v>
      </c>
      <c r="CY195" s="76">
        <v>-137</v>
      </c>
      <c r="CZ195" s="76">
        <v>0</v>
      </c>
      <c r="DA195" s="76">
        <v>0</v>
      </c>
      <c r="DB195" s="76">
        <v>0</v>
      </c>
      <c r="DC195" s="76">
        <v>0</v>
      </c>
      <c r="DD195" s="76">
        <v>128</v>
      </c>
      <c r="DE195" s="76">
        <v>0</v>
      </c>
      <c r="DF195" s="76">
        <v>291</v>
      </c>
      <c r="DG195" s="76">
        <v>-163</v>
      </c>
      <c r="DH195" s="76">
        <v>0</v>
      </c>
      <c r="DI195" s="76">
        <v>0</v>
      </c>
      <c r="DJ195" s="76">
        <v>0</v>
      </c>
      <c r="DK195" s="76">
        <v>0</v>
      </c>
      <c r="DL195" s="76">
        <v>0</v>
      </c>
      <c r="DM195" s="76">
        <v>0</v>
      </c>
      <c r="DN195" s="76">
        <v>0</v>
      </c>
      <c r="DO195" s="76">
        <v>0</v>
      </c>
      <c r="DP195" s="76">
        <v>0</v>
      </c>
      <c r="DQ195" s="76">
        <v>0</v>
      </c>
      <c r="DR195" s="76">
        <v>0</v>
      </c>
      <c r="DS195" s="76">
        <v>0</v>
      </c>
      <c r="DT195" s="76">
        <v>0</v>
      </c>
      <c r="DU195" s="76">
        <v>0</v>
      </c>
      <c r="DV195" s="76">
        <v>0</v>
      </c>
      <c r="DW195" s="76">
        <v>0</v>
      </c>
      <c r="DX195" s="76">
        <v>0</v>
      </c>
      <c r="DY195" s="76">
        <v>0</v>
      </c>
      <c r="DZ195" s="76">
        <v>0</v>
      </c>
      <c r="EA195" s="76">
        <v>0</v>
      </c>
      <c r="EB195" s="76">
        <v>469</v>
      </c>
      <c r="EC195" s="76">
        <v>0</v>
      </c>
      <c r="ED195" s="76">
        <v>311</v>
      </c>
      <c r="EE195" s="76">
        <v>158</v>
      </c>
      <c r="EF195" s="76">
        <v>469</v>
      </c>
      <c r="EG195" s="76">
        <v>0</v>
      </c>
      <c r="EH195" s="76">
        <v>311</v>
      </c>
      <c r="EI195" s="76">
        <v>158</v>
      </c>
      <c r="EJ195" s="76">
        <v>597</v>
      </c>
      <c r="EK195" s="76">
        <v>0</v>
      </c>
      <c r="EL195" s="76">
        <v>602</v>
      </c>
      <c r="EM195" s="76">
        <v>-5</v>
      </c>
      <c r="EN195" s="76">
        <v>726</v>
      </c>
      <c r="EO195" s="76">
        <v>392</v>
      </c>
      <c r="EP195" s="76">
        <v>513</v>
      </c>
      <c r="EQ195" s="76">
        <v>392</v>
      </c>
      <c r="ER195" s="76">
        <v>140791</v>
      </c>
      <c r="ES195" s="76">
        <v>0</v>
      </c>
      <c r="ET195" s="76">
        <v>140791</v>
      </c>
      <c r="EU195" s="76">
        <v>1446</v>
      </c>
      <c r="EV195" s="76">
        <v>-1191</v>
      </c>
      <c r="EW195" s="76">
        <v>0</v>
      </c>
      <c r="EX195" s="76">
        <v>0</v>
      </c>
      <c r="EY195" s="76">
        <v>0</v>
      </c>
      <c r="EZ195" s="76">
        <v>141046</v>
      </c>
      <c r="FA195" s="76">
        <v>31075</v>
      </c>
      <c r="FB195" s="76">
        <v>2251</v>
      </c>
      <c r="FC195" s="76">
        <v>0</v>
      </c>
      <c r="FD195" s="76">
        <v>0</v>
      </c>
      <c r="FE195" s="76">
        <v>-206</v>
      </c>
      <c r="FF195" s="76">
        <v>0</v>
      </c>
      <c r="FG195" s="76">
        <v>0</v>
      </c>
      <c r="FH195" s="76">
        <v>33120</v>
      </c>
      <c r="FI195" s="76">
        <v>107926</v>
      </c>
      <c r="FJ195" s="76">
        <v>109716</v>
      </c>
      <c r="FK195" s="76">
        <v>644</v>
      </c>
      <c r="FL195" s="76">
        <v>419</v>
      </c>
      <c r="FM195" s="76">
        <v>225</v>
      </c>
      <c r="FN195" s="76">
        <v>265</v>
      </c>
      <c r="FO195" s="76">
        <v>160</v>
      </c>
      <c r="FP195" s="76">
        <v>105</v>
      </c>
      <c r="FQ195" s="76">
        <v>223</v>
      </c>
      <c r="FR195" s="76">
        <v>269</v>
      </c>
      <c r="FS195" s="76">
        <v>-46</v>
      </c>
      <c r="FT195" s="76">
        <v>0</v>
      </c>
      <c r="FU195" s="76">
        <v>0</v>
      </c>
      <c r="FV195" s="76">
        <v>0</v>
      </c>
      <c r="FW195" s="76">
        <v>0</v>
      </c>
      <c r="FX195" s="76">
        <v>0</v>
      </c>
      <c r="FY195" s="76">
        <v>0</v>
      </c>
      <c r="FZ195" s="76">
        <v>0</v>
      </c>
      <c r="GA195" s="76">
        <v>0</v>
      </c>
      <c r="GB195" s="76">
        <v>0</v>
      </c>
      <c r="GC195" s="76">
        <v>1132</v>
      </c>
      <c r="GD195" s="76">
        <v>848</v>
      </c>
      <c r="GE195" s="76">
        <v>284</v>
      </c>
      <c r="GF195" s="76">
        <v>1510</v>
      </c>
      <c r="GG195" s="76">
        <v>0</v>
      </c>
      <c r="GH195" s="76">
        <v>0</v>
      </c>
      <c r="GI195" s="76">
        <v>0</v>
      </c>
      <c r="GJ195" s="76">
        <v>0</v>
      </c>
      <c r="GK195" s="76">
        <v>60</v>
      </c>
      <c r="GL195" s="76">
        <v>1570</v>
      </c>
      <c r="GM195" s="76">
        <v>0</v>
      </c>
      <c r="GN195" s="76">
        <v>318</v>
      </c>
      <c r="GO195" s="76">
        <v>370</v>
      </c>
      <c r="GP195" s="76">
        <v>133</v>
      </c>
      <c r="GQ195" s="76">
        <v>196</v>
      </c>
      <c r="GR195" s="76">
        <v>1785</v>
      </c>
      <c r="GS195" s="76">
        <v>0</v>
      </c>
      <c r="GT195" s="76">
        <v>0</v>
      </c>
      <c r="GU195" s="76">
        <v>0</v>
      </c>
      <c r="GV195" s="76">
        <v>0</v>
      </c>
      <c r="GW195" s="76">
        <v>119</v>
      </c>
      <c r="GX195" s="76">
        <v>2921</v>
      </c>
      <c r="GY195" s="76">
        <v>362</v>
      </c>
      <c r="GZ195" s="76">
        <v>252</v>
      </c>
      <c r="HA195" s="76">
        <v>0</v>
      </c>
      <c r="HB195" s="76">
        <v>0</v>
      </c>
      <c r="HC195" s="76">
        <v>614</v>
      </c>
      <c r="HD195" s="76">
        <v>0</v>
      </c>
      <c r="HE195" s="76">
        <v>0</v>
      </c>
      <c r="HF195" s="76">
        <v>0</v>
      </c>
      <c r="HG195" s="76">
        <v>2574</v>
      </c>
      <c r="HH195" s="76">
        <v>0</v>
      </c>
      <c r="HI195" s="76">
        <v>128</v>
      </c>
      <c r="HJ195" s="76">
        <v>0</v>
      </c>
      <c r="HK195" s="76">
        <v>0</v>
      </c>
      <c r="HL195" s="76">
        <v>0</v>
      </c>
      <c r="HM195" s="76">
        <v>2702</v>
      </c>
      <c r="HN195" s="76">
        <v>1446</v>
      </c>
      <c r="HO195" s="76">
        <v>2285</v>
      </c>
      <c r="HP195" s="76">
        <v>0</v>
      </c>
      <c r="HQ195" s="76">
        <v>62</v>
      </c>
      <c r="HR195" s="76">
        <v>-46</v>
      </c>
      <c r="HS195" s="76">
        <v>31</v>
      </c>
      <c r="HT195" s="76">
        <v>5176</v>
      </c>
      <c r="HU195" s="76">
        <v>0</v>
      </c>
      <c r="HV195" s="76">
        <v>0</v>
      </c>
      <c r="HW195" s="76">
        <v>0</v>
      </c>
      <c r="HX195" s="76">
        <v>0</v>
      </c>
    </row>
    <row r="196" spans="1:232" x14ac:dyDescent="0.2">
      <c r="A196" s="74" t="s">
        <v>576</v>
      </c>
      <c r="B196" s="74" t="s">
        <v>575</v>
      </c>
      <c r="C196" s="75" t="s">
        <v>200</v>
      </c>
      <c r="D196" s="75">
        <v>12</v>
      </c>
      <c r="E196" s="76">
        <v>89139</v>
      </c>
      <c r="F196" s="76">
        <v>-39894</v>
      </c>
      <c r="G196" s="76">
        <v>-28863</v>
      </c>
      <c r="H196" s="76">
        <v>20382</v>
      </c>
      <c r="I196" s="76">
        <v>3924</v>
      </c>
      <c r="J196" s="76">
        <v>13266</v>
      </c>
      <c r="K196" s="76">
        <v>1700</v>
      </c>
      <c r="L196" s="76">
        <v>0</v>
      </c>
      <c r="M196" s="76">
        <v>1543</v>
      </c>
      <c r="N196" s="76">
        <v>-6960</v>
      </c>
      <c r="O196" s="76">
        <v>0</v>
      </c>
      <c r="P196" s="76">
        <v>-10</v>
      </c>
      <c r="Q196" s="76">
        <v>0</v>
      </c>
      <c r="R196" s="76">
        <v>0</v>
      </c>
      <c r="S196" s="76">
        <v>33845</v>
      </c>
      <c r="T196" s="76">
        <v>0</v>
      </c>
      <c r="U196" s="76">
        <v>33845</v>
      </c>
      <c r="V196" s="76">
        <v>5</v>
      </c>
      <c r="W196" s="76">
        <v>-599</v>
      </c>
      <c r="X196" s="76">
        <v>0</v>
      </c>
      <c r="Y196" s="76">
        <v>0</v>
      </c>
      <c r="Z196" s="76">
        <v>33251</v>
      </c>
      <c r="AA196" s="76">
        <v>10755</v>
      </c>
      <c r="AB196" s="76">
        <v>1826</v>
      </c>
      <c r="AC196" s="76">
        <v>12581</v>
      </c>
      <c r="AD196" s="76">
        <v>786</v>
      </c>
      <c r="AE196" s="76">
        <v>0</v>
      </c>
      <c r="AF196" s="76">
        <v>0</v>
      </c>
      <c r="AG196" s="76">
        <v>601</v>
      </c>
      <c r="AH196" s="76">
        <v>13968</v>
      </c>
      <c r="AI196" s="76">
        <v>1504</v>
      </c>
      <c r="AJ196" s="76">
        <v>1558</v>
      </c>
      <c r="AK196" s="76">
        <v>15</v>
      </c>
      <c r="AL196" s="76">
        <v>-2</v>
      </c>
      <c r="AM196" s="76">
        <v>0</v>
      </c>
      <c r="AN196" s="76">
        <v>-12</v>
      </c>
      <c r="AO196" s="76">
        <v>1905</v>
      </c>
      <c r="AP196" s="76">
        <v>0</v>
      </c>
      <c r="AQ196" s="76">
        <v>0</v>
      </c>
      <c r="AR196" s="76">
        <v>4968</v>
      </c>
      <c r="AS196" s="76">
        <v>9000</v>
      </c>
      <c r="AT196" s="76">
        <v>5</v>
      </c>
      <c r="AU196" s="76">
        <v>293920</v>
      </c>
      <c r="AV196" s="76">
        <v>0</v>
      </c>
      <c r="AW196" s="76">
        <v>8079</v>
      </c>
      <c r="AX196" s="76">
        <v>0</v>
      </c>
      <c r="AY196" s="76">
        <v>13828</v>
      </c>
      <c r="AZ196" s="76">
        <v>0</v>
      </c>
      <c r="BA196" s="76">
        <v>0</v>
      </c>
      <c r="BB196" s="76">
        <v>0</v>
      </c>
      <c r="BC196" s="76">
        <v>0</v>
      </c>
      <c r="BD196" s="76">
        <v>34013</v>
      </c>
      <c r="BE196" s="76">
        <v>349840</v>
      </c>
      <c r="BF196" s="76">
        <v>51180</v>
      </c>
      <c r="BG196" s="76">
        <v>2733</v>
      </c>
      <c r="BH196" s="76">
        <v>19187</v>
      </c>
      <c r="BI196" s="76">
        <v>3465</v>
      </c>
      <c r="BJ196" s="76">
        <v>104362</v>
      </c>
      <c r="BK196" s="76">
        <v>180927</v>
      </c>
      <c r="BL196" s="76">
        <v>1820</v>
      </c>
      <c r="BM196" s="76">
        <v>0</v>
      </c>
      <c r="BN196" s="76">
        <v>786</v>
      </c>
      <c r="BO196" s="76">
        <v>123314</v>
      </c>
      <c r="BP196" s="76">
        <v>125920</v>
      </c>
      <c r="BQ196" s="76">
        <v>55007</v>
      </c>
      <c r="BR196" s="76">
        <v>404847</v>
      </c>
      <c r="BS196" s="76">
        <v>80134</v>
      </c>
      <c r="BT196" s="76">
        <v>0</v>
      </c>
      <c r="BU196" s="76">
        <v>0</v>
      </c>
      <c r="BV196" s="76">
        <v>58068</v>
      </c>
      <c r="BW196" s="76">
        <v>11712</v>
      </c>
      <c r="BX196" s="76">
        <v>0</v>
      </c>
      <c r="BY196" s="76">
        <v>27098</v>
      </c>
      <c r="BZ196" s="76">
        <v>177012</v>
      </c>
      <c r="CA196" s="76">
        <v>0</v>
      </c>
      <c r="CB196" s="76">
        <v>0</v>
      </c>
      <c r="CC196" s="76">
        <v>227835</v>
      </c>
      <c r="CD196" s="76">
        <v>227614</v>
      </c>
      <c r="CE196" s="76">
        <v>221</v>
      </c>
      <c r="CF196" s="76">
        <v>0</v>
      </c>
      <c r="CG196" s="76">
        <v>0</v>
      </c>
      <c r="CH196" s="76">
        <v>0</v>
      </c>
      <c r="CI196" s="76">
        <v>227835</v>
      </c>
      <c r="CJ196" s="76">
        <v>52845</v>
      </c>
      <c r="CK196" s="76">
        <v>35630</v>
      </c>
      <c r="CL196" s="76">
        <v>5404</v>
      </c>
      <c r="CM196" s="76">
        <v>11811</v>
      </c>
      <c r="CN196" s="76">
        <v>0</v>
      </c>
      <c r="CO196" s="76">
        <v>0</v>
      </c>
      <c r="CP196" s="76">
        <v>0</v>
      </c>
      <c r="CQ196" s="76">
        <v>0</v>
      </c>
      <c r="CR196" s="76">
        <v>4264</v>
      </c>
      <c r="CS196" s="76">
        <v>4264</v>
      </c>
      <c r="CT196" s="76">
        <v>0</v>
      </c>
      <c r="CU196" s="76">
        <v>0</v>
      </c>
      <c r="CV196" s="76">
        <v>0</v>
      </c>
      <c r="CW196" s="76">
        <v>0</v>
      </c>
      <c r="CX196" s="76">
        <v>0</v>
      </c>
      <c r="CY196" s="76">
        <v>0</v>
      </c>
      <c r="CZ196" s="76">
        <v>17984</v>
      </c>
      <c r="DA196" s="76">
        <v>0</v>
      </c>
      <c r="DB196" s="76">
        <v>18464</v>
      </c>
      <c r="DC196" s="76">
        <v>-480</v>
      </c>
      <c r="DD196" s="76">
        <v>75093</v>
      </c>
      <c r="DE196" s="76">
        <v>39894</v>
      </c>
      <c r="DF196" s="76">
        <v>23868</v>
      </c>
      <c r="DG196" s="76">
        <v>11331</v>
      </c>
      <c r="DH196" s="76">
        <v>0</v>
      </c>
      <c r="DI196" s="76">
        <v>0</v>
      </c>
      <c r="DJ196" s="76">
        <v>0</v>
      </c>
      <c r="DK196" s="76">
        <v>0</v>
      </c>
      <c r="DL196" s="76">
        <v>0</v>
      </c>
      <c r="DM196" s="76">
        <v>0</v>
      </c>
      <c r="DN196" s="76">
        <v>0</v>
      </c>
      <c r="DO196" s="76">
        <v>0</v>
      </c>
      <c r="DP196" s="76">
        <v>0</v>
      </c>
      <c r="DQ196" s="76">
        <v>0</v>
      </c>
      <c r="DR196" s="76">
        <v>0</v>
      </c>
      <c r="DS196" s="76">
        <v>0</v>
      </c>
      <c r="DT196" s="76">
        <v>0</v>
      </c>
      <c r="DU196" s="76">
        <v>0</v>
      </c>
      <c r="DV196" s="76">
        <v>0</v>
      </c>
      <c r="DW196" s="76">
        <v>0</v>
      </c>
      <c r="DX196" s="76">
        <v>0</v>
      </c>
      <c r="DY196" s="76">
        <v>0</v>
      </c>
      <c r="DZ196" s="76">
        <v>0</v>
      </c>
      <c r="EA196" s="76">
        <v>0</v>
      </c>
      <c r="EB196" s="76">
        <v>78</v>
      </c>
      <c r="EC196" s="76">
        <v>0</v>
      </c>
      <c r="ED196" s="76">
        <v>27</v>
      </c>
      <c r="EE196" s="76">
        <v>51</v>
      </c>
      <c r="EF196" s="76">
        <v>78</v>
      </c>
      <c r="EG196" s="76">
        <v>0</v>
      </c>
      <c r="EH196" s="76">
        <v>27</v>
      </c>
      <c r="EI196" s="76">
        <v>51</v>
      </c>
      <c r="EJ196" s="76">
        <v>75171</v>
      </c>
      <c r="EK196" s="76">
        <v>39894</v>
      </c>
      <c r="EL196" s="76">
        <v>23895</v>
      </c>
      <c r="EM196" s="76">
        <v>11382</v>
      </c>
      <c r="EN196" s="76">
        <v>432</v>
      </c>
      <c r="EO196" s="76">
        <v>26</v>
      </c>
      <c r="EP196" s="76">
        <v>26</v>
      </c>
      <c r="EQ196" s="76">
        <v>26</v>
      </c>
      <c r="ER196" s="76">
        <v>269662</v>
      </c>
      <c r="ES196" s="76">
        <v>0</v>
      </c>
      <c r="ET196" s="76">
        <v>269662</v>
      </c>
      <c r="EU196" s="76">
        <v>65080</v>
      </c>
      <c r="EV196" s="76">
        <v>-4111</v>
      </c>
      <c r="EW196" s="76">
        <v>0</v>
      </c>
      <c r="EX196" s="76">
        <v>32207</v>
      </c>
      <c r="EY196" s="76">
        <v>-51676</v>
      </c>
      <c r="EZ196" s="76">
        <v>311162</v>
      </c>
      <c r="FA196" s="76">
        <v>15704</v>
      </c>
      <c r="FB196" s="76">
        <v>1905</v>
      </c>
      <c r="FC196" s="76">
        <v>0</v>
      </c>
      <c r="FD196" s="76">
        <v>0</v>
      </c>
      <c r="FE196" s="76">
        <v>-367</v>
      </c>
      <c r="FF196" s="76">
        <v>0</v>
      </c>
      <c r="FG196" s="76">
        <v>0</v>
      </c>
      <c r="FH196" s="76">
        <v>17242</v>
      </c>
      <c r="FI196" s="76">
        <v>293920</v>
      </c>
      <c r="FJ196" s="76">
        <v>253958</v>
      </c>
      <c r="FK196" s="76">
        <v>8340</v>
      </c>
      <c r="FL196" s="76">
        <v>4407</v>
      </c>
      <c r="FM196" s="76">
        <v>3933</v>
      </c>
      <c r="FN196" s="76">
        <v>0</v>
      </c>
      <c r="FO196" s="76">
        <v>0</v>
      </c>
      <c r="FP196" s="76">
        <v>0</v>
      </c>
      <c r="FQ196" s="76">
        <v>0</v>
      </c>
      <c r="FR196" s="76">
        <v>0</v>
      </c>
      <c r="FS196" s="76">
        <v>0</v>
      </c>
      <c r="FT196" s="76">
        <v>0</v>
      </c>
      <c r="FU196" s="76">
        <v>0</v>
      </c>
      <c r="FV196" s="76">
        <v>0</v>
      </c>
      <c r="FW196" s="76">
        <v>46</v>
      </c>
      <c r="FX196" s="76">
        <v>55</v>
      </c>
      <c r="FY196" s="76">
        <v>-9</v>
      </c>
      <c r="FZ196" s="76">
        <v>0</v>
      </c>
      <c r="GA196" s="76">
        <v>0</v>
      </c>
      <c r="GB196" s="76">
        <v>0</v>
      </c>
      <c r="GC196" s="76">
        <v>8386</v>
      </c>
      <c r="GD196" s="76">
        <v>4462</v>
      </c>
      <c r="GE196" s="76">
        <v>3924</v>
      </c>
      <c r="GF196" s="76">
        <v>103329</v>
      </c>
      <c r="GG196" s="76">
        <v>0</v>
      </c>
      <c r="GH196" s="76">
        <v>0</v>
      </c>
      <c r="GI196" s="76">
        <v>0</v>
      </c>
      <c r="GJ196" s="76">
        <v>0</v>
      </c>
      <c r="GK196" s="76">
        <v>1033</v>
      </c>
      <c r="GL196" s="76">
        <v>104362</v>
      </c>
      <c r="GM196" s="76">
        <v>8456</v>
      </c>
      <c r="GN196" s="76">
        <v>288</v>
      </c>
      <c r="GO196" s="76">
        <v>102340</v>
      </c>
      <c r="GP196" s="76">
        <v>4536</v>
      </c>
      <c r="GQ196" s="76">
        <v>0</v>
      </c>
      <c r="GR196" s="76">
        <v>0</v>
      </c>
      <c r="GS196" s="76">
        <v>0</v>
      </c>
      <c r="GT196" s="76">
        <v>0</v>
      </c>
      <c r="GU196" s="76">
        <v>2726</v>
      </c>
      <c r="GV196" s="76">
        <v>0</v>
      </c>
      <c r="GW196" s="76">
        <v>4968</v>
      </c>
      <c r="GX196" s="76">
        <v>123314</v>
      </c>
      <c r="GY196" s="76">
        <v>5815</v>
      </c>
      <c r="GZ196" s="76">
        <v>0</v>
      </c>
      <c r="HA196" s="76">
        <v>18323</v>
      </c>
      <c r="HB196" s="76">
        <v>2960</v>
      </c>
      <c r="HC196" s="76">
        <v>27098</v>
      </c>
      <c r="HD196" s="76">
        <v>0</v>
      </c>
      <c r="HE196" s="76">
        <v>0</v>
      </c>
      <c r="HF196" s="76">
        <v>0</v>
      </c>
      <c r="HG196" s="76">
        <v>6861</v>
      </c>
      <c r="HH196" s="76">
        <v>0</v>
      </c>
      <c r="HI196" s="76">
        <v>438</v>
      </c>
      <c r="HJ196" s="76">
        <v>28</v>
      </c>
      <c r="HK196" s="76">
        <v>0</v>
      </c>
      <c r="HL196" s="76">
        <v>-367</v>
      </c>
      <c r="HM196" s="76">
        <v>6960</v>
      </c>
      <c r="HN196" s="76">
        <v>0</v>
      </c>
      <c r="HO196" s="76">
        <v>3859</v>
      </c>
      <c r="HP196" s="76">
        <v>0</v>
      </c>
      <c r="HQ196" s="76">
        <v>558</v>
      </c>
      <c r="HR196" s="76">
        <v>-34</v>
      </c>
      <c r="HS196" s="76">
        <v>1</v>
      </c>
      <c r="HT196" s="76">
        <v>4945</v>
      </c>
      <c r="HU196" s="76">
        <v>0</v>
      </c>
      <c r="HV196" s="76">
        <v>0</v>
      </c>
      <c r="HW196" s="76">
        <v>0</v>
      </c>
      <c r="HX196" s="76">
        <v>0</v>
      </c>
    </row>
    <row r="197" spans="1:232" x14ac:dyDescent="0.2">
      <c r="A197" s="74" t="s">
        <v>577</v>
      </c>
      <c r="B197" s="74" t="s">
        <v>578</v>
      </c>
      <c r="C197" s="75" t="s">
        <v>200</v>
      </c>
      <c r="D197" s="75">
        <v>12</v>
      </c>
      <c r="E197" s="76">
        <v>108685</v>
      </c>
      <c r="F197" s="76">
        <v>-1083</v>
      </c>
      <c r="G197" s="76">
        <v>-75085</v>
      </c>
      <c r="H197" s="76">
        <v>32517</v>
      </c>
      <c r="I197" s="76">
        <v>8285</v>
      </c>
      <c r="J197" s="76">
        <v>0</v>
      </c>
      <c r="K197" s="76">
        <v>0</v>
      </c>
      <c r="L197" s="76">
        <v>0</v>
      </c>
      <c r="M197" s="76">
        <v>29</v>
      </c>
      <c r="N197" s="76">
        <v>-19464</v>
      </c>
      <c r="O197" s="76">
        <v>0</v>
      </c>
      <c r="P197" s="76">
        <v>44</v>
      </c>
      <c r="Q197" s="76">
        <v>0</v>
      </c>
      <c r="R197" s="76">
        <v>0</v>
      </c>
      <c r="S197" s="76">
        <v>21411</v>
      </c>
      <c r="T197" s="76">
        <v>0</v>
      </c>
      <c r="U197" s="76">
        <v>21411</v>
      </c>
      <c r="V197" s="76">
        <v>0</v>
      </c>
      <c r="W197" s="76">
        <v>-1075</v>
      </c>
      <c r="X197" s="76">
        <v>0</v>
      </c>
      <c r="Y197" s="76">
        <v>0</v>
      </c>
      <c r="Z197" s="76">
        <v>20336</v>
      </c>
      <c r="AA197" s="76">
        <v>85619</v>
      </c>
      <c r="AB197" s="76">
        <v>9244</v>
      </c>
      <c r="AC197" s="76">
        <v>94863</v>
      </c>
      <c r="AD197" s="76">
        <v>5000</v>
      </c>
      <c r="AE197" s="76">
        <v>0</v>
      </c>
      <c r="AF197" s="76">
        <v>0</v>
      </c>
      <c r="AG197" s="76">
        <v>0</v>
      </c>
      <c r="AH197" s="76">
        <v>99863</v>
      </c>
      <c r="AI197" s="76">
        <v>10929</v>
      </c>
      <c r="AJ197" s="76">
        <v>9913</v>
      </c>
      <c r="AK197" s="76">
        <v>14344</v>
      </c>
      <c r="AL197" s="76">
        <v>12787</v>
      </c>
      <c r="AM197" s="76">
        <v>0</v>
      </c>
      <c r="AN197" s="76">
        <v>807</v>
      </c>
      <c r="AO197" s="76">
        <v>14379</v>
      </c>
      <c r="AP197" s="76">
        <v>1443</v>
      </c>
      <c r="AQ197" s="76">
        <v>165</v>
      </c>
      <c r="AR197" s="76">
        <v>64767</v>
      </c>
      <c r="AS197" s="76">
        <v>35096</v>
      </c>
      <c r="AT197" s="76">
        <v>1503</v>
      </c>
      <c r="AU197" s="76">
        <v>1037159</v>
      </c>
      <c r="AV197" s="76">
        <v>0</v>
      </c>
      <c r="AW197" s="76">
        <v>1754</v>
      </c>
      <c r="AX197" s="76">
        <v>0</v>
      </c>
      <c r="AY197" s="76">
        <v>0</v>
      </c>
      <c r="AZ197" s="76">
        <v>0</v>
      </c>
      <c r="BA197" s="76">
        <v>0</v>
      </c>
      <c r="BB197" s="76">
        <v>0</v>
      </c>
      <c r="BC197" s="76">
        <v>0</v>
      </c>
      <c r="BD197" s="76">
        <v>724</v>
      </c>
      <c r="BE197" s="76">
        <v>1039637</v>
      </c>
      <c r="BF197" s="76">
        <v>59</v>
      </c>
      <c r="BG197" s="76">
        <v>5462</v>
      </c>
      <c r="BH197" s="76">
        <v>2986</v>
      </c>
      <c r="BI197" s="76">
        <v>0</v>
      </c>
      <c r="BJ197" s="76">
        <v>74580</v>
      </c>
      <c r="BK197" s="76">
        <v>83087</v>
      </c>
      <c r="BL197" s="76">
        <v>12626</v>
      </c>
      <c r="BM197" s="76">
        <v>0</v>
      </c>
      <c r="BN197" s="76">
        <v>5000</v>
      </c>
      <c r="BO197" s="76">
        <v>78501</v>
      </c>
      <c r="BP197" s="76">
        <v>96127</v>
      </c>
      <c r="BQ197" s="76">
        <v>-13040</v>
      </c>
      <c r="BR197" s="76">
        <v>1026597</v>
      </c>
      <c r="BS197" s="76">
        <v>24565</v>
      </c>
      <c r="BT197" s="76">
        <v>480844</v>
      </c>
      <c r="BU197" s="76">
        <v>0</v>
      </c>
      <c r="BV197" s="76">
        <v>372643</v>
      </c>
      <c r="BW197" s="76">
        <v>0</v>
      </c>
      <c r="BX197" s="76">
        <v>0</v>
      </c>
      <c r="BY197" s="76">
        <v>15205</v>
      </c>
      <c r="BZ197" s="76">
        <v>893257</v>
      </c>
      <c r="CA197" s="76">
        <v>3660</v>
      </c>
      <c r="CB197" s="76">
        <v>713</v>
      </c>
      <c r="CC197" s="76">
        <v>128967</v>
      </c>
      <c r="CD197" s="76">
        <v>135170</v>
      </c>
      <c r="CE197" s="76">
        <v>0</v>
      </c>
      <c r="CF197" s="76">
        <v>0</v>
      </c>
      <c r="CG197" s="76">
        <v>0</v>
      </c>
      <c r="CH197" s="76">
        <v>-6203</v>
      </c>
      <c r="CI197" s="76">
        <v>128967</v>
      </c>
      <c r="CJ197" s="76">
        <v>1372</v>
      </c>
      <c r="CK197" s="76">
        <v>1083</v>
      </c>
      <c r="CL197" s="76">
        <v>0</v>
      </c>
      <c r="CM197" s="76">
        <v>289</v>
      </c>
      <c r="CN197" s="76">
        <v>1029</v>
      </c>
      <c r="CO197" s="76">
        <v>0</v>
      </c>
      <c r="CP197" s="76">
        <v>1306</v>
      </c>
      <c r="CQ197" s="76">
        <v>-277</v>
      </c>
      <c r="CR197" s="76">
        <v>0</v>
      </c>
      <c r="CS197" s="76">
        <v>0</v>
      </c>
      <c r="CT197" s="76">
        <v>0</v>
      </c>
      <c r="CU197" s="76">
        <v>0</v>
      </c>
      <c r="CV197" s="76">
        <v>0</v>
      </c>
      <c r="CW197" s="76">
        <v>0</v>
      </c>
      <c r="CX197" s="76">
        <v>0</v>
      </c>
      <c r="CY197" s="76">
        <v>0</v>
      </c>
      <c r="CZ197" s="76">
        <v>4787</v>
      </c>
      <c r="DA197" s="76">
        <v>0</v>
      </c>
      <c r="DB197" s="76">
        <v>7535</v>
      </c>
      <c r="DC197" s="76">
        <v>-2748</v>
      </c>
      <c r="DD197" s="76">
        <v>7188</v>
      </c>
      <c r="DE197" s="76">
        <v>1083</v>
      </c>
      <c r="DF197" s="76">
        <v>8841</v>
      </c>
      <c r="DG197" s="76">
        <v>-2736</v>
      </c>
      <c r="DH197" s="76">
        <v>0</v>
      </c>
      <c r="DI197" s="76">
        <v>0</v>
      </c>
      <c r="DJ197" s="76">
        <v>0</v>
      </c>
      <c r="DK197" s="76">
        <v>0</v>
      </c>
      <c r="DL197" s="76">
        <v>0</v>
      </c>
      <c r="DM197" s="76">
        <v>0</v>
      </c>
      <c r="DN197" s="76">
        <v>0</v>
      </c>
      <c r="DO197" s="76">
        <v>0</v>
      </c>
      <c r="DP197" s="76">
        <v>0</v>
      </c>
      <c r="DQ197" s="76">
        <v>0</v>
      </c>
      <c r="DR197" s="76">
        <v>0</v>
      </c>
      <c r="DS197" s="76">
        <v>0</v>
      </c>
      <c r="DT197" s="76">
        <v>0</v>
      </c>
      <c r="DU197" s="76">
        <v>0</v>
      </c>
      <c r="DV197" s="76">
        <v>0</v>
      </c>
      <c r="DW197" s="76">
        <v>0</v>
      </c>
      <c r="DX197" s="76">
        <v>0</v>
      </c>
      <c r="DY197" s="76">
        <v>0</v>
      </c>
      <c r="DZ197" s="76">
        <v>0</v>
      </c>
      <c r="EA197" s="76">
        <v>0</v>
      </c>
      <c r="EB197" s="76">
        <v>1634</v>
      </c>
      <c r="EC197" s="76">
        <v>0</v>
      </c>
      <c r="ED197" s="76">
        <v>1477</v>
      </c>
      <c r="EE197" s="76">
        <v>157</v>
      </c>
      <c r="EF197" s="76">
        <v>1634</v>
      </c>
      <c r="EG197" s="76">
        <v>0</v>
      </c>
      <c r="EH197" s="76">
        <v>1477</v>
      </c>
      <c r="EI197" s="76">
        <v>157</v>
      </c>
      <c r="EJ197" s="76">
        <v>8822</v>
      </c>
      <c r="EK197" s="76">
        <v>1083</v>
      </c>
      <c r="EL197" s="76">
        <v>10318</v>
      </c>
      <c r="EM197" s="76">
        <v>-2579</v>
      </c>
      <c r="EN197" s="76">
        <v>3726</v>
      </c>
      <c r="EO197" s="76">
        <v>1551</v>
      </c>
      <c r="EP197" s="76">
        <v>258</v>
      </c>
      <c r="EQ197" s="76">
        <v>1482</v>
      </c>
      <c r="ER197" s="76">
        <v>1069296</v>
      </c>
      <c r="ES197" s="76">
        <v>0</v>
      </c>
      <c r="ET197" s="76">
        <v>1069296</v>
      </c>
      <c r="EU197" s="76">
        <v>110083</v>
      </c>
      <c r="EV197" s="76">
        <v>-7662</v>
      </c>
      <c r="EW197" s="76">
        <v>0</v>
      </c>
      <c r="EX197" s="76">
        <v>-4398</v>
      </c>
      <c r="EY197" s="76">
        <v>-473</v>
      </c>
      <c r="EZ197" s="76">
        <v>1166846</v>
      </c>
      <c r="FA197" s="76">
        <v>116902</v>
      </c>
      <c r="FB197" s="76">
        <v>13936</v>
      </c>
      <c r="FC197" s="76">
        <v>1443</v>
      </c>
      <c r="FD197" s="76">
        <v>0</v>
      </c>
      <c r="FE197" s="76">
        <v>-2594</v>
      </c>
      <c r="FF197" s="76">
        <v>0</v>
      </c>
      <c r="FG197" s="76">
        <v>0</v>
      </c>
      <c r="FH197" s="76">
        <v>129687</v>
      </c>
      <c r="FI197" s="76">
        <v>1037159</v>
      </c>
      <c r="FJ197" s="76">
        <v>952394</v>
      </c>
      <c r="FK197" s="76">
        <v>48</v>
      </c>
      <c r="FL197" s="76">
        <v>38</v>
      </c>
      <c r="FM197" s="76">
        <v>10</v>
      </c>
      <c r="FN197" s="76">
        <v>1284</v>
      </c>
      <c r="FO197" s="76">
        <v>971</v>
      </c>
      <c r="FP197" s="76">
        <v>313</v>
      </c>
      <c r="FQ197" s="76">
        <v>0</v>
      </c>
      <c r="FR197" s="76">
        <v>0</v>
      </c>
      <c r="FS197" s="76">
        <v>0</v>
      </c>
      <c r="FT197" s="76">
        <v>10523</v>
      </c>
      <c r="FU197" s="76">
        <v>2561</v>
      </c>
      <c r="FV197" s="76">
        <v>7962</v>
      </c>
      <c r="FW197" s="76">
        <v>0</v>
      </c>
      <c r="FX197" s="76">
        <v>0</v>
      </c>
      <c r="FY197" s="76">
        <v>0</v>
      </c>
      <c r="FZ197" s="76">
        <v>0</v>
      </c>
      <c r="GA197" s="76">
        <v>0</v>
      </c>
      <c r="GB197" s="76">
        <v>0</v>
      </c>
      <c r="GC197" s="76">
        <v>11855</v>
      </c>
      <c r="GD197" s="76">
        <v>3570</v>
      </c>
      <c r="GE197" s="76">
        <v>8285</v>
      </c>
      <c r="GF197" s="76">
        <v>72938</v>
      </c>
      <c r="GG197" s="76">
        <v>0</v>
      </c>
      <c r="GH197" s="76">
        <v>720</v>
      </c>
      <c r="GI197" s="76">
        <v>0</v>
      </c>
      <c r="GJ197" s="76">
        <v>0</v>
      </c>
      <c r="GK197" s="76">
        <v>922</v>
      </c>
      <c r="GL197" s="76">
        <v>74580</v>
      </c>
      <c r="GM197" s="76">
        <v>0</v>
      </c>
      <c r="GN197" s="76">
        <v>2115</v>
      </c>
      <c r="GO197" s="76">
        <v>64321</v>
      </c>
      <c r="GP197" s="76">
        <v>1767</v>
      </c>
      <c r="GQ197" s="76">
        <v>138</v>
      </c>
      <c r="GR197" s="76">
        <v>5919</v>
      </c>
      <c r="GS197" s="76">
        <v>0</v>
      </c>
      <c r="GT197" s="76">
        <v>0</v>
      </c>
      <c r="GU197" s="76">
        <v>0</v>
      </c>
      <c r="GV197" s="76">
        <v>0</v>
      </c>
      <c r="GW197" s="76">
        <v>4241</v>
      </c>
      <c r="GX197" s="76">
        <v>78501</v>
      </c>
      <c r="GY197" s="76">
        <v>2285</v>
      </c>
      <c r="GZ197" s="76">
        <v>3</v>
      </c>
      <c r="HA197" s="76">
        <v>0</v>
      </c>
      <c r="HB197" s="76">
        <v>12917</v>
      </c>
      <c r="HC197" s="76">
        <v>15205</v>
      </c>
      <c r="HD197" s="76">
        <v>0</v>
      </c>
      <c r="HE197" s="76">
        <v>713</v>
      </c>
      <c r="HF197" s="76">
        <v>713</v>
      </c>
      <c r="HG197" s="76">
        <v>20440</v>
      </c>
      <c r="HH197" s="76">
        <v>-104</v>
      </c>
      <c r="HI197" s="76">
        <v>91</v>
      </c>
      <c r="HJ197" s="76">
        <v>0</v>
      </c>
      <c r="HK197" s="76">
        <v>0</v>
      </c>
      <c r="HL197" s="76">
        <v>-963</v>
      </c>
      <c r="HM197" s="76">
        <v>19464</v>
      </c>
      <c r="HN197" s="76">
        <v>9032</v>
      </c>
      <c r="HO197" s="76">
        <v>14512</v>
      </c>
      <c r="HP197" s="76">
        <v>1443</v>
      </c>
      <c r="HQ197" s="76">
        <v>414</v>
      </c>
      <c r="HR197" s="76">
        <v>-43</v>
      </c>
      <c r="HS197" s="76">
        <v>-8</v>
      </c>
      <c r="HT197" s="76">
        <v>18618</v>
      </c>
      <c r="HU197" s="76">
        <v>0</v>
      </c>
      <c r="HV197" s="76">
        <v>0</v>
      </c>
      <c r="HW197" s="76">
        <v>0</v>
      </c>
      <c r="HX197" s="76">
        <v>17</v>
      </c>
    </row>
    <row r="198" spans="1:232" x14ac:dyDescent="0.2">
      <c r="A198" s="74" t="s">
        <v>581</v>
      </c>
      <c r="B198" s="74" t="s">
        <v>580</v>
      </c>
      <c r="C198" s="75" t="s">
        <v>200</v>
      </c>
      <c r="D198" s="75">
        <v>12</v>
      </c>
      <c r="E198" s="76">
        <v>53589</v>
      </c>
      <c r="F198" s="76">
        <v>-3141</v>
      </c>
      <c r="G198" s="76">
        <v>-31696</v>
      </c>
      <c r="H198" s="76">
        <v>18752</v>
      </c>
      <c r="I198" s="76">
        <v>5673</v>
      </c>
      <c r="J198" s="76">
        <v>0</v>
      </c>
      <c r="K198" s="76">
        <v>0</v>
      </c>
      <c r="L198" s="76">
        <v>0</v>
      </c>
      <c r="M198" s="76">
        <v>581</v>
      </c>
      <c r="N198" s="76">
        <v>-12045</v>
      </c>
      <c r="O198" s="76">
        <v>10039</v>
      </c>
      <c r="P198" s="76">
        <v>0</v>
      </c>
      <c r="Q198" s="76">
        <v>0</v>
      </c>
      <c r="R198" s="76">
        <v>0</v>
      </c>
      <c r="S198" s="76">
        <v>23000</v>
      </c>
      <c r="T198" s="76">
        <v>0</v>
      </c>
      <c r="U198" s="76">
        <v>23000</v>
      </c>
      <c r="V198" s="76">
        <v>0</v>
      </c>
      <c r="W198" s="76">
        <v>0</v>
      </c>
      <c r="X198" s="76">
        <v>0</v>
      </c>
      <c r="Y198" s="76">
        <v>0</v>
      </c>
      <c r="Z198" s="76">
        <v>23000</v>
      </c>
      <c r="AA198" s="76">
        <v>31956</v>
      </c>
      <c r="AB198" s="76">
        <v>4850</v>
      </c>
      <c r="AC198" s="76">
        <v>36806</v>
      </c>
      <c r="AD198" s="76">
        <v>1767</v>
      </c>
      <c r="AE198" s="76">
        <v>0</v>
      </c>
      <c r="AF198" s="76">
        <v>0</v>
      </c>
      <c r="AG198" s="76">
        <v>3242</v>
      </c>
      <c r="AH198" s="76">
        <v>41815</v>
      </c>
      <c r="AI198" s="76">
        <v>4766</v>
      </c>
      <c r="AJ198" s="76">
        <v>5388</v>
      </c>
      <c r="AK198" s="76">
        <v>3657</v>
      </c>
      <c r="AL198" s="76">
        <v>3344</v>
      </c>
      <c r="AM198" s="76">
        <v>0</v>
      </c>
      <c r="AN198" s="76">
        <v>316</v>
      </c>
      <c r="AO198" s="76">
        <v>4123</v>
      </c>
      <c r="AP198" s="76">
        <v>-190</v>
      </c>
      <c r="AQ198" s="76">
        <v>6011</v>
      </c>
      <c r="AR198" s="76">
        <v>27415</v>
      </c>
      <c r="AS198" s="76">
        <v>14400</v>
      </c>
      <c r="AT198" s="76">
        <v>867</v>
      </c>
      <c r="AU198" s="76">
        <v>622537</v>
      </c>
      <c r="AV198" s="76">
        <v>0</v>
      </c>
      <c r="AW198" s="76">
        <v>2829</v>
      </c>
      <c r="AX198" s="76">
        <v>0</v>
      </c>
      <c r="AY198" s="76">
        <v>2778</v>
      </c>
      <c r="AZ198" s="76">
        <v>54743</v>
      </c>
      <c r="BA198" s="76">
        <v>0</v>
      </c>
      <c r="BB198" s="76">
        <v>0</v>
      </c>
      <c r="BC198" s="76">
        <v>14100</v>
      </c>
      <c r="BD198" s="76">
        <v>0</v>
      </c>
      <c r="BE198" s="76">
        <v>696987</v>
      </c>
      <c r="BF198" s="76">
        <v>6506</v>
      </c>
      <c r="BG198" s="76">
        <v>6248</v>
      </c>
      <c r="BH198" s="76">
        <v>15533</v>
      </c>
      <c r="BI198" s="76">
        <v>0</v>
      </c>
      <c r="BJ198" s="76">
        <v>9489</v>
      </c>
      <c r="BK198" s="76">
        <v>37776</v>
      </c>
      <c r="BL198" s="76">
        <v>18532</v>
      </c>
      <c r="BM198" s="76">
        <v>0</v>
      </c>
      <c r="BN198" s="76">
        <v>6</v>
      </c>
      <c r="BO198" s="76">
        <v>15467</v>
      </c>
      <c r="BP198" s="76">
        <v>34005</v>
      </c>
      <c r="BQ198" s="76">
        <v>3771</v>
      </c>
      <c r="BR198" s="76">
        <v>700758</v>
      </c>
      <c r="BS198" s="76">
        <v>250103</v>
      </c>
      <c r="BT198" s="76">
        <v>0</v>
      </c>
      <c r="BU198" s="76">
        <v>0</v>
      </c>
      <c r="BV198" s="76">
        <v>151824</v>
      </c>
      <c r="BW198" s="76">
        <v>0</v>
      </c>
      <c r="BX198" s="76">
        <v>0</v>
      </c>
      <c r="BY198" s="76">
        <v>3283</v>
      </c>
      <c r="BZ198" s="76">
        <v>405210</v>
      </c>
      <c r="CA198" s="76">
        <v>4813</v>
      </c>
      <c r="CB198" s="76">
        <v>0</v>
      </c>
      <c r="CC198" s="76">
        <v>290735</v>
      </c>
      <c r="CD198" s="76">
        <v>212327</v>
      </c>
      <c r="CE198" s="76">
        <v>78408</v>
      </c>
      <c r="CF198" s="76">
        <v>0</v>
      </c>
      <c r="CG198" s="76">
        <v>0</v>
      </c>
      <c r="CH198" s="76">
        <v>0</v>
      </c>
      <c r="CI198" s="76">
        <v>290735</v>
      </c>
      <c r="CJ198" s="76">
        <v>1549</v>
      </c>
      <c r="CK198" s="76">
        <v>1141</v>
      </c>
      <c r="CL198" s="76">
        <v>242</v>
      </c>
      <c r="CM198" s="76">
        <v>166</v>
      </c>
      <c r="CN198" s="76">
        <v>1651</v>
      </c>
      <c r="CO198" s="76">
        <v>0</v>
      </c>
      <c r="CP198" s="76">
        <v>1451</v>
      </c>
      <c r="CQ198" s="76">
        <v>200</v>
      </c>
      <c r="CR198" s="76">
        <v>22</v>
      </c>
      <c r="CS198" s="76">
        <v>0</v>
      </c>
      <c r="CT198" s="76">
        <v>244</v>
      </c>
      <c r="CU198" s="76">
        <v>-222</v>
      </c>
      <c r="CV198" s="76">
        <v>110</v>
      </c>
      <c r="CW198" s="76">
        <v>0</v>
      </c>
      <c r="CX198" s="76">
        <v>314</v>
      </c>
      <c r="CY198" s="76">
        <v>-204</v>
      </c>
      <c r="CZ198" s="76">
        <v>0</v>
      </c>
      <c r="DA198" s="76">
        <v>0</v>
      </c>
      <c r="DB198" s="76">
        <v>0</v>
      </c>
      <c r="DC198" s="76">
        <v>0</v>
      </c>
      <c r="DD198" s="76">
        <v>3332</v>
      </c>
      <c r="DE198" s="76">
        <v>1141</v>
      </c>
      <c r="DF198" s="76">
        <v>2251</v>
      </c>
      <c r="DG198" s="76">
        <v>-60</v>
      </c>
      <c r="DH198" s="76">
        <v>2000</v>
      </c>
      <c r="DI198" s="76">
        <v>2000</v>
      </c>
      <c r="DJ198" s="76">
        <v>0</v>
      </c>
      <c r="DK198" s="76">
        <v>0</v>
      </c>
      <c r="DL198" s="76">
        <v>0</v>
      </c>
      <c r="DM198" s="76">
        <v>0</v>
      </c>
      <c r="DN198" s="76">
        <v>0</v>
      </c>
      <c r="DO198" s="76">
        <v>0</v>
      </c>
      <c r="DP198" s="76">
        <v>0</v>
      </c>
      <c r="DQ198" s="76">
        <v>0</v>
      </c>
      <c r="DR198" s="76">
        <v>0</v>
      </c>
      <c r="DS198" s="76">
        <v>0</v>
      </c>
      <c r="DT198" s="76">
        <v>2275</v>
      </c>
      <c r="DU198" s="76">
        <v>0</v>
      </c>
      <c r="DV198" s="76">
        <v>685</v>
      </c>
      <c r="DW198" s="76">
        <v>1590</v>
      </c>
      <c r="DX198" s="76">
        <v>268</v>
      </c>
      <c r="DY198" s="76">
        <v>0</v>
      </c>
      <c r="DZ198" s="76">
        <v>255</v>
      </c>
      <c r="EA198" s="76">
        <v>13</v>
      </c>
      <c r="EB198" s="76">
        <v>3899</v>
      </c>
      <c r="EC198" s="76">
        <v>0</v>
      </c>
      <c r="ED198" s="76">
        <v>1090</v>
      </c>
      <c r="EE198" s="76">
        <v>2809</v>
      </c>
      <c r="EF198" s="76">
        <v>8442</v>
      </c>
      <c r="EG198" s="76">
        <v>2000</v>
      </c>
      <c r="EH198" s="76">
        <v>2030</v>
      </c>
      <c r="EI198" s="76">
        <v>4412</v>
      </c>
      <c r="EJ198" s="76">
        <v>11774</v>
      </c>
      <c r="EK198" s="76">
        <v>3141</v>
      </c>
      <c r="EL198" s="76">
        <v>4281</v>
      </c>
      <c r="EM198" s="76">
        <v>4352</v>
      </c>
      <c r="EN198" s="76">
        <v>3714</v>
      </c>
      <c r="EO198" s="76">
        <v>495</v>
      </c>
      <c r="EP198" s="76">
        <v>0</v>
      </c>
      <c r="EQ198" s="76">
        <v>495</v>
      </c>
      <c r="ER198" s="76">
        <v>668000</v>
      </c>
      <c r="ES198" s="76">
        <v>0</v>
      </c>
      <c r="ET198" s="76">
        <v>668000</v>
      </c>
      <c r="EU198" s="76">
        <v>22360</v>
      </c>
      <c r="EV198" s="76">
        <v>-9795</v>
      </c>
      <c r="EW198" s="76">
        <v>0</v>
      </c>
      <c r="EX198" s="76">
        <v>0</v>
      </c>
      <c r="EY198" s="76">
        <v>-4702</v>
      </c>
      <c r="EZ198" s="76">
        <v>675863</v>
      </c>
      <c r="FA198" s="76">
        <v>52050</v>
      </c>
      <c r="FB198" s="76">
        <v>4782</v>
      </c>
      <c r="FC198" s="76">
        <v>-190</v>
      </c>
      <c r="FD198" s="76">
        <v>0</v>
      </c>
      <c r="FE198" s="76">
        <v>-3316</v>
      </c>
      <c r="FF198" s="76">
        <v>0</v>
      </c>
      <c r="FG198" s="76">
        <v>0</v>
      </c>
      <c r="FH198" s="76">
        <v>53326</v>
      </c>
      <c r="FI198" s="76">
        <v>622537</v>
      </c>
      <c r="FJ198" s="76">
        <v>615950</v>
      </c>
      <c r="FK198" s="76">
        <v>5902</v>
      </c>
      <c r="FL198" s="76">
        <v>3128</v>
      </c>
      <c r="FM198" s="76">
        <v>2774</v>
      </c>
      <c r="FN198" s="76">
        <v>0</v>
      </c>
      <c r="FO198" s="76">
        <v>0</v>
      </c>
      <c r="FP198" s="76">
        <v>0</v>
      </c>
      <c r="FQ198" s="76">
        <v>0</v>
      </c>
      <c r="FR198" s="76">
        <v>0</v>
      </c>
      <c r="FS198" s="76">
        <v>0</v>
      </c>
      <c r="FT198" s="76">
        <v>3840</v>
      </c>
      <c r="FU198" s="76">
        <v>941</v>
      </c>
      <c r="FV198" s="76">
        <v>2899</v>
      </c>
      <c r="FW198" s="76">
        <v>0</v>
      </c>
      <c r="FX198" s="76">
        <v>0</v>
      </c>
      <c r="FY198" s="76">
        <v>0</v>
      </c>
      <c r="FZ198" s="76">
        <v>0</v>
      </c>
      <c r="GA198" s="76">
        <v>0</v>
      </c>
      <c r="GB198" s="76">
        <v>0</v>
      </c>
      <c r="GC198" s="76">
        <v>9742</v>
      </c>
      <c r="GD198" s="76">
        <v>4069</v>
      </c>
      <c r="GE198" s="76">
        <v>5673</v>
      </c>
      <c r="GF198" s="76">
        <v>9489</v>
      </c>
      <c r="GG198" s="76">
        <v>0</v>
      </c>
      <c r="GH198" s="76">
        <v>0</v>
      </c>
      <c r="GI198" s="76">
        <v>0</v>
      </c>
      <c r="GJ198" s="76">
        <v>0</v>
      </c>
      <c r="GK198" s="76">
        <v>0</v>
      </c>
      <c r="GL198" s="76">
        <v>9489</v>
      </c>
      <c r="GM198" s="76">
        <v>359</v>
      </c>
      <c r="GN198" s="76">
        <v>0</v>
      </c>
      <c r="GO198" s="76">
        <v>0</v>
      </c>
      <c r="GP198" s="76">
        <v>675</v>
      </c>
      <c r="GQ198" s="76">
        <v>0</v>
      </c>
      <c r="GR198" s="76">
        <v>6527</v>
      </c>
      <c r="GS198" s="76">
        <v>0</v>
      </c>
      <c r="GT198" s="76">
        <v>0</v>
      </c>
      <c r="GU198" s="76">
        <v>0</v>
      </c>
      <c r="GV198" s="76">
        <v>0</v>
      </c>
      <c r="GW198" s="76">
        <v>7906</v>
      </c>
      <c r="GX198" s="76">
        <v>15467</v>
      </c>
      <c r="GY198" s="76">
        <v>2863</v>
      </c>
      <c r="GZ198" s="76">
        <v>420</v>
      </c>
      <c r="HA198" s="76">
        <v>0</v>
      </c>
      <c r="HB198" s="76">
        <v>0</v>
      </c>
      <c r="HC198" s="76">
        <v>3283</v>
      </c>
      <c r="HD198" s="76">
        <v>0</v>
      </c>
      <c r="HE198" s="76">
        <v>0</v>
      </c>
      <c r="HF198" s="76">
        <v>0</v>
      </c>
      <c r="HG198" s="76">
        <v>12158</v>
      </c>
      <c r="HH198" s="76">
        <v>202</v>
      </c>
      <c r="HI198" s="76">
        <v>129</v>
      </c>
      <c r="HJ198" s="76">
        <v>0</v>
      </c>
      <c r="HK198" s="76">
        <v>0</v>
      </c>
      <c r="HL198" s="76">
        <v>-444</v>
      </c>
      <c r="HM198" s="76">
        <v>12045</v>
      </c>
      <c r="HN198" s="76">
        <v>11743</v>
      </c>
      <c r="HO198" s="76">
        <v>4846</v>
      </c>
      <c r="HP198" s="76">
        <v>-190</v>
      </c>
      <c r="HQ198" s="76">
        <v>65</v>
      </c>
      <c r="HR198" s="76">
        <v>-58</v>
      </c>
      <c r="HS198" s="76">
        <v>45</v>
      </c>
      <c r="HT198" s="76">
        <v>5415</v>
      </c>
      <c r="HU198" s="76">
        <v>9</v>
      </c>
      <c r="HV198" s="76">
        <v>0</v>
      </c>
      <c r="HW198" s="76">
        <v>-10</v>
      </c>
      <c r="HX198" s="76">
        <v>535</v>
      </c>
    </row>
    <row r="199" spans="1:232" x14ac:dyDescent="0.2">
      <c r="A199" s="74" t="s">
        <v>136</v>
      </c>
      <c r="B199" s="74" t="s">
        <v>135</v>
      </c>
      <c r="C199" s="75" t="s">
        <v>201</v>
      </c>
      <c r="D199" s="75">
        <v>12</v>
      </c>
      <c r="E199" s="76">
        <v>43049</v>
      </c>
      <c r="F199" s="76">
        <v>-790</v>
      </c>
      <c r="G199" s="76">
        <v>-34102</v>
      </c>
      <c r="H199" s="76">
        <v>8157</v>
      </c>
      <c r="I199" s="76">
        <v>65</v>
      </c>
      <c r="J199" s="76">
        <v>61</v>
      </c>
      <c r="K199" s="76">
        <v>0</v>
      </c>
      <c r="L199" s="76">
        <v>0</v>
      </c>
      <c r="M199" s="76">
        <v>53</v>
      </c>
      <c r="N199" s="76">
        <v>-3410</v>
      </c>
      <c r="O199" s="76">
        <v>0</v>
      </c>
      <c r="P199" s="76">
        <v>0</v>
      </c>
      <c r="Q199" s="76">
        <v>0</v>
      </c>
      <c r="R199" s="76">
        <v>0</v>
      </c>
      <c r="S199" s="76">
        <v>4926</v>
      </c>
      <c r="T199" s="76">
        <v>0</v>
      </c>
      <c r="U199" s="76">
        <v>4926</v>
      </c>
      <c r="V199" s="76">
        <v>0</v>
      </c>
      <c r="W199" s="76">
        <v>0</v>
      </c>
      <c r="X199" s="76">
        <v>0</v>
      </c>
      <c r="Y199" s="76">
        <v>0</v>
      </c>
      <c r="Z199" s="76">
        <v>4926</v>
      </c>
      <c r="AA199" s="76">
        <v>15469</v>
      </c>
      <c r="AB199" s="76">
        <v>2277</v>
      </c>
      <c r="AC199" s="76">
        <v>17746</v>
      </c>
      <c r="AD199" s="76">
        <v>962</v>
      </c>
      <c r="AE199" s="76">
        <v>0</v>
      </c>
      <c r="AF199" s="76">
        <v>0</v>
      </c>
      <c r="AG199" s="76">
        <v>1091</v>
      </c>
      <c r="AH199" s="76">
        <v>19799</v>
      </c>
      <c r="AI199" s="76">
        <v>4509</v>
      </c>
      <c r="AJ199" s="76">
        <v>1831</v>
      </c>
      <c r="AK199" s="76">
        <v>2225</v>
      </c>
      <c r="AL199" s="76">
        <v>1558</v>
      </c>
      <c r="AM199" s="76">
        <v>0</v>
      </c>
      <c r="AN199" s="76">
        <v>84</v>
      </c>
      <c r="AO199" s="76">
        <v>1717</v>
      </c>
      <c r="AP199" s="76">
        <v>0</v>
      </c>
      <c r="AQ199" s="76">
        <v>316</v>
      </c>
      <c r="AR199" s="76">
        <v>12240</v>
      </c>
      <c r="AS199" s="76">
        <v>7559</v>
      </c>
      <c r="AT199" s="76">
        <v>214</v>
      </c>
      <c r="AU199" s="76">
        <v>204335</v>
      </c>
      <c r="AV199" s="76">
        <v>0</v>
      </c>
      <c r="AW199" s="76">
        <v>2898</v>
      </c>
      <c r="AX199" s="76">
        <v>194</v>
      </c>
      <c r="AY199" s="76">
        <v>0</v>
      </c>
      <c r="AZ199" s="76">
        <v>0</v>
      </c>
      <c r="BA199" s="76">
        <v>0</v>
      </c>
      <c r="BB199" s="76">
        <v>0</v>
      </c>
      <c r="BC199" s="76">
        <v>0</v>
      </c>
      <c r="BD199" s="76">
        <v>382</v>
      </c>
      <c r="BE199" s="76">
        <v>207809</v>
      </c>
      <c r="BF199" s="76">
        <v>0</v>
      </c>
      <c r="BG199" s="76">
        <v>4847</v>
      </c>
      <c r="BH199" s="76">
        <v>5873</v>
      </c>
      <c r="BI199" s="76">
        <v>0</v>
      </c>
      <c r="BJ199" s="76">
        <v>1105</v>
      </c>
      <c r="BK199" s="76">
        <v>11825</v>
      </c>
      <c r="BL199" s="76">
        <v>1995</v>
      </c>
      <c r="BM199" s="76">
        <v>0</v>
      </c>
      <c r="BN199" s="76">
        <v>1021</v>
      </c>
      <c r="BO199" s="76">
        <v>7655</v>
      </c>
      <c r="BP199" s="76">
        <v>10671</v>
      </c>
      <c r="BQ199" s="76">
        <v>1154</v>
      </c>
      <c r="BR199" s="76">
        <v>208963</v>
      </c>
      <c r="BS199" s="76">
        <v>82701</v>
      </c>
      <c r="BT199" s="76">
        <v>0</v>
      </c>
      <c r="BU199" s="76">
        <v>0</v>
      </c>
      <c r="BV199" s="76">
        <v>70480</v>
      </c>
      <c r="BW199" s="76">
        <v>0</v>
      </c>
      <c r="BX199" s="76">
        <v>0</v>
      </c>
      <c r="BY199" s="76">
        <v>2597</v>
      </c>
      <c r="BZ199" s="76">
        <v>155778</v>
      </c>
      <c r="CA199" s="76">
        <v>0</v>
      </c>
      <c r="CB199" s="76">
        <v>0</v>
      </c>
      <c r="CC199" s="76">
        <v>53185</v>
      </c>
      <c r="CD199" s="76">
        <v>51471</v>
      </c>
      <c r="CE199" s="76">
        <v>0</v>
      </c>
      <c r="CF199" s="76">
        <v>1714</v>
      </c>
      <c r="CG199" s="76">
        <v>0</v>
      </c>
      <c r="CH199" s="76">
        <v>0</v>
      </c>
      <c r="CI199" s="76">
        <v>53185</v>
      </c>
      <c r="CJ199" s="76">
        <v>898</v>
      </c>
      <c r="CK199" s="76">
        <v>790</v>
      </c>
      <c r="CL199" s="76">
        <v>0</v>
      </c>
      <c r="CM199" s="76">
        <v>108</v>
      </c>
      <c r="CN199" s="76">
        <v>2747</v>
      </c>
      <c r="CO199" s="76">
        <v>0</v>
      </c>
      <c r="CP199" s="76">
        <v>2747</v>
      </c>
      <c r="CQ199" s="76">
        <v>0</v>
      </c>
      <c r="CR199" s="76">
        <v>0</v>
      </c>
      <c r="CS199" s="76">
        <v>0</v>
      </c>
      <c r="CT199" s="76">
        <v>0</v>
      </c>
      <c r="CU199" s="76">
        <v>0</v>
      </c>
      <c r="CV199" s="76">
        <v>0</v>
      </c>
      <c r="CW199" s="76">
        <v>0</v>
      </c>
      <c r="CX199" s="76">
        <v>0</v>
      </c>
      <c r="CY199" s="76">
        <v>0</v>
      </c>
      <c r="CZ199" s="76">
        <v>3592</v>
      </c>
      <c r="DA199" s="76">
        <v>0</v>
      </c>
      <c r="DB199" s="76">
        <v>3341</v>
      </c>
      <c r="DC199" s="76">
        <v>251</v>
      </c>
      <c r="DD199" s="76">
        <v>7237</v>
      </c>
      <c r="DE199" s="76">
        <v>790</v>
      </c>
      <c r="DF199" s="76">
        <v>6088</v>
      </c>
      <c r="DG199" s="76">
        <v>359</v>
      </c>
      <c r="DH199" s="76">
        <v>0</v>
      </c>
      <c r="DI199" s="76">
        <v>0</v>
      </c>
      <c r="DJ199" s="76">
        <v>0</v>
      </c>
      <c r="DK199" s="76">
        <v>0</v>
      </c>
      <c r="DL199" s="76">
        <v>0</v>
      </c>
      <c r="DM199" s="76">
        <v>0</v>
      </c>
      <c r="DN199" s="76">
        <v>0</v>
      </c>
      <c r="DO199" s="76">
        <v>0</v>
      </c>
      <c r="DP199" s="76">
        <v>0</v>
      </c>
      <c r="DQ199" s="76">
        <v>0</v>
      </c>
      <c r="DR199" s="76">
        <v>0</v>
      </c>
      <c r="DS199" s="76">
        <v>0</v>
      </c>
      <c r="DT199" s="76">
        <v>118</v>
      </c>
      <c r="DU199" s="76">
        <v>0</v>
      </c>
      <c r="DV199" s="76">
        <v>113</v>
      </c>
      <c r="DW199" s="76">
        <v>5</v>
      </c>
      <c r="DX199" s="76">
        <v>412</v>
      </c>
      <c r="DY199" s="76">
        <v>0</v>
      </c>
      <c r="DZ199" s="76">
        <v>380</v>
      </c>
      <c r="EA199" s="76">
        <v>32</v>
      </c>
      <c r="EB199" s="76">
        <v>15483</v>
      </c>
      <c r="EC199" s="76">
        <v>0</v>
      </c>
      <c r="ED199" s="76">
        <v>15281</v>
      </c>
      <c r="EE199" s="76">
        <v>202</v>
      </c>
      <c r="EF199" s="76">
        <v>16013</v>
      </c>
      <c r="EG199" s="76">
        <v>0</v>
      </c>
      <c r="EH199" s="76">
        <v>15774</v>
      </c>
      <c r="EI199" s="76">
        <v>239</v>
      </c>
      <c r="EJ199" s="76">
        <v>23250</v>
      </c>
      <c r="EK199" s="76">
        <v>790</v>
      </c>
      <c r="EL199" s="76">
        <v>21862</v>
      </c>
      <c r="EM199" s="76">
        <v>598</v>
      </c>
      <c r="EN199" s="76">
        <v>567</v>
      </c>
      <c r="EO199" s="76">
        <v>168</v>
      </c>
      <c r="EP199" s="76">
        <v>0</v>
      </c>
      <c r="EQ199" s="76">
        <v>168</v>
      </c>
      <c r="ER199" s="76">
        <v>212687</v>
      </c>
      <c r="ES199" s="76">
        <v>0</v>
      </c>
      <c r="ET199" s="76">
        <v>212687</v>
      </c>
      <c r="EU199" s="76">
        <v>1777</v>
      </c>
      <c r="EV199" s="76">
        <v>-1274</v>
      </c>
      <c r="EW199" s="76">
        <v>0</v>
      </c>
      <c r="EX199" s="76">
        <v>0</v>
      </c>
      <c r="EY199" s="76">
        <v>7733</v>
      </c>
      <c r="EZ199" s="76">
        <v>220923</v>
      </c>
      <c r="FA199" s="76">
        <v>15500</v>
      </c>
      <c r="FB199" s="76">
        <v>1466</v>
      </c>
      <c r="FC199" s="76">
        <v>0</v>
      </c>
      <c r="FD199" s="76">
        <v>0</v>
      </c>
      <c r="FE199" s="76">
        <v>-378</v>
      </c>
      <c r="FF199" s="76">
        <v>0</v>
      </c>
      <c r="FG199" s="76">
        <v>0</v>
      </c>
      <c r="FH199" s="76">
        <v>16588</v>
      </c>
      <c r="FI199" s="76">
        <v>204335</v>
      </c>
      <c r="FJ199" s="76">
        <v>197187</v>
      </c>
      <c r="FK199" s="76">
        <v>338</v>
      </c>
      <c r="FL199" s="76">
        <v>230</v>
      </c>
      <c r="FM199" s="76">
        <v>108</v>
      </c>
      <c r="FN199" s="76">
        <v>0</v>
      </c>
      <c r="FO199" s="76">
        <v>0</v>
      </c>
      <c r="FP199" s="76">
        <v>0</v>
      </c>
      <c r="FQ199" s="76">
        <v>0</v>
      </c>
      <c r="FR199" s="76">
        <v>0</v>
      </c>
      <c r="FS199" s="76">
        <v>0</v>
      </c>
      <c r="FT199" s="76">
        <v>154</v>
      </c>
      <c r="FU199" s="76">
        <v>197</v>
      </c>
      <c r="FV199" s="76">
        <v>-43</v>
      </c>
      <c r="FW199" s="76">
        <v>0</v>
      </c>
      <c r="FX199" s="76">
        <v>0</v>
      </c>
      <c r="FY199" s="76">
        <v>0</v>
      </c>
      <c r="FZ199" s="76">
        <v>0</v>
      </c>
      <c r="GA199" s="76">
        <v>0</v>
      </c>
      <c r="GB199" s="76">
        <v>0</v>
      </c>
      <c r="GC199" s="76">
        <v>492</v>
      </c>
      <c r="GD199" s="76">
        <v>427</v>
      </c>
      <c r="GE199" s="76">
        <v>65</v>
      </c>
      <c r="GF199" s="76">
        <v>213</v>
      </c>
      <c r="GG199" s="76">
        <v>41</v>
      </c>
      <c r="GH199" s="76">
        <v>0</v>
      </c>
      <c r="GI199" s="76">
        <v>0</v>
      </c>
      <c r="GJ199" s="76">
        <v>0</v>
      </c>
      <c r="GK199" s="76">
        <v>851</v>
      </c>
      <c r="GL199" s="76">
        <v>1105</v>
      </c>
      <c r="GM199" s="76">
        <v>1456</v>
      </c>
      <c r="GN199" s="76">
        <v>288</v>
      </c>
      <c r="GO199" s="76">
        <v>457</v>
      </c>
      <c r="GP199" s="76">
        <v>113</v>
      </c>
      <c r="GQ199" s="76">
        <v>0</v>
      </c>
      <c r="GR199" s="76">
        <v>1921</v>
      </c>
      <c r="GS199" s="76">
        <v>0</v>
      </c>
      <c r="GT199" s="76">
        <v>0</v>
      </c>
      <c r="GU199" s="76">
        <v>0</v>
      </c>
      <c r="GV199" s="76">
        <v>0</v>
      </c>
      <c r="GW199" s="76">
        <v>3420</v>
      </c>
      <c r="GX199" s="76">
        <v>7655</v>
      </c>
      <c r="GY199" s="76">
        <v>396</v>
      </c>
      <c r="GZ199" s="76">
        <v>0</v>
      </c>
      <c r="HA199" s="76">
        <v>2201</v>
      </c>
      <c r="HB199" s="76">
        <v>0</v>
      </c>
      <c r="HC199" s="76">
        <v>2597</v>
      </c>
      <c r="HD199" s="76">
        <v>0</v>
      </c>
      <c r="HE199" s="76">
        <v>0</v>
      </c>
      <c r="HF199" s="76">
        <v>0</v>
      </c>
      <c r="HG199" s="76">
        <v>3309</v>
      </c>
      <c r="HH199" s="76">
        <v>-46</v>
      </c>
      <c r="HI199" s="76">
        <v>143</v>
      </c>
      <c r="HJ199" s="76">
        <v>4</v>
      </c>
      <c r="HK199" s="76">
        <v>0</v>
      </c>
      <c r="HL199" s="76">
        <v>0</v>
      </c>
      <c r="HM199" s="76">
        <v>3410</v>
      </c>
      <c r="HN199" s="76">
        <v>1529</v>
      </c>
      <c r="HO199" s="76">
        <v>1870</v>
      </c>
      <c r="HP199" s="76">
        <v>0</v>
      </c>
      <c r="HQ199" s="76">
        <v>36</v>
      </c>
      <c r="HR199" s="76">
        <v>-4</v>
      </c>
      <c r="HS199" s="76">
        <v>102</v>
      </c>
      <c r="HT199" s="76">
        <v>3693</v>
      </c>
      <c r="HU199" s="76">
        <v>0</v>
      </c>
      <c r="HV199" s="76">
        <v>0</v>
      </c>
      <c r="HW199" s="76">
        <v>-4</v>
      </c>
      <c r="HX199" s="76">
        <v>12</v>
      </c>
    </row>
    <row r="200" spans="1:232" x14ac:dyDescent="0.2">
      <c r="A200" s="71" t="s">
        <v>139</v>
      </c>
      <c r="B200" s="71" t="s">
        <v>138</v>
      </c>
      <c r="C200" s="72" t="s">
        <v>200</v>
      </c>
      <c r="D200" s="72">
        <v>12</v>
      </c>
      <c r="E200" s="73">
        <v>119219</v>
      </c>
      <c r="F200" s="73">
        <v>-24358</v>
      </c>
      <c r="G200" s="73">
        <v>-46279</v>
      </c>
      <c r="H200" s="73">
        <v>48582</v>
      </c>
      <c r="I200" s="73">
        <v>7156</v>
      </c>
      <c r="J200" s="73">
        <v>5902</v>
      </c>
      <c r="K200" s="73">
        <v>0</v>
      </c>
      <c r="L200" s="73">
        <v>0</v>
      </c>
      <c r="M200" s="73">
        <v>895</v>
      </c>
      <c r="N200" s="73">
        <v>-30143</v>
      </c>
      <c r="O200" s="73">
        <v>685</v>
      </c>
      <c r="P200" s="73">
        <v>0</v>
      </c>
      <c r="Q200" s="73">
        <v>0</v>
      </c>
      <c r="R200" s="73">
        <v>0</v>
      </c>
      <c r="S200" s="73">
        <v>33077</v>
      </c>
      <c r="T200" s="73">
        <v>0</v>
      </c>
      <c r="U200" s="73">
        <v>33077</v>
      </c>
      <c r="V200" s="73">
        <v>0</v>
      </c>
      <c r="W200" s="73">
        <v>0</v>
      </c>
      <c r="X200" s="73">
        <v>0</v>
      </c>
      <c r="Y200" s="73">
        <v>0</v>
      </c>
      <c r="Z200" s="73">
        <v>33077</v>
      </c>
      <c r="AA200" s="73">
        <v>82123</v>
      </c>
      <c r="AB200" s="73">
        <v>3763</v>
      </c>
      <c r="AC200" s="73">
        <v>85886</v>
      </c>
      <c r="AD200" s="73">
        <v>133</v>
      </c>
      <c r="AE200" s="73">
        <v>0</v>
      </c>
      <c r="AF200" s="73">
        <v>82</v>
      </c>
      <c r="AG200" s="73">
        <v>663</v>
      </c>
      <c r="AH200" s="73">
        <v>86764</v>
      </c>
      <c r="AI200" s="73">
        <v>6150</v>
      </c>
      <c r="AJ200" s="73">
        <v>4208</v>
      </c>
      <c r="AK200" s="73">
        <v>7993</v>
      </c>
      <c r="AL200" s="73">
        <v>5874</v>
      </c>
      <c r="AM200" s="73">
        <v>0</v>
      </c>
      <c r="AN200" s="73">
        <v>464</v>
      </c>
      <c r="AO200" s="73">
        <v>11339</v>
      </c>
      <c r="AP200" s="73">
        <v>0</v>
      </c>
      <c r="AQ200" s="73">
        <v>7454</v>
      </c>
      <c r="AR200" s="73">
        <v>43482</v>
      </c>
      <c r="AS200" s="73">
        <v>43282</v>
      </c>
      <c r="AT200" s="73">
        <v>506</v>
      </c>
      <c r="AU200" s="73">
        <v>1211778</v>
      </c>
      <c r="AV200" s="73">
        <v>0</v>
      </c>
      <c r="AW200" s="73">
        <v>10646</v>
      </c>
      <c r="AX200" s="73">
        <v>0</v>
      </c>
      <c r="AY200" s="73">
        <v>0</v>
      </c>
      <c r="AZ200" s="73">
        <v>0</v>
      </c>
      <c r="BA200" s="73">
        <v>0</v>
      </c>
      <c r="BB200" s="73">
        <v>24610</v>
      </c>
      <c r="BC200" s="73">
        <v>0</v>
      </c>
      <c r="BD200" s="73">
        <v>9691</v>
      </c>
      <c r="BE200" s="73">
        <v>1256725</v>
      </c>
      <c r="BF200" s="73">
        <v>24805</v>
      </c>
      <c r="BG200" s="73">
        <v>4541</v>
      </c>
      <c r="BH200" s="73">
        <v>16189</v>
      </c>
      <c r="BI200" s="73">
        <v>50765</v>
      </c>
      <c r="BJ200" s="73">
        <v>15562</v>
      </c>
      <c r="BK200" s="73">
        <v>111862</v>
      </c>
      <c r="BL200" s="73">
        <v>6117</v>
      </c>
      <c r="BM200" s="73">
        <v>0</v>
      </c>
      <c r="BN200" s="73">
        <v>411</v>
      </c>
      <c r="BO200" s="73">
        <v>20668</v>
      </c>
      <c r="BP200" s="73">
        <v>27196</v>
      </c>
      <c r="BQ200" s="73">
        <v>84666</v>
      </c>
      <c r="BR200" s="73">
        <v>1341391</v>
      </c>
      <c r="BS200" s="73">
        <v>744931</v>
      </c>
      <c r="BT200" s="73">
        <v>0</v>
      </c>
      <c r="BU200" s="73">
        <v>0</v>
      </c>
      <c r="BV200" s="73">
        <v>21201</v>
      </c>
      <c r="BW200" s="73">
        <v>0</v>
      </c>
      <c r="BX200" s="73">
        <v>0</v>
      </c>
      <c r="BY200" s="73">
        <v>9669</v>
      </c>
      <c r="BZ200" s="73">
        <v>775801</v>
      </c>
      <c r="CA200" s="73">
        <v>0</v>
      </c>
      <c r="CB200" s="73">
        <v>0</v>
      </c>
      <c r="CC200" s="73">
        <v>565590</v>
      </c>
      <c r="CD200" s="73">
        <v>480676</v>
      </c>
      <c r="CE200" s="73">
        <v>84914</v>
      </c>
      <c r="CF200" s="73">
        <v>0</v>
      </c>
      <c r="CG200" s="73">
        <v>0</v>
      </c>
      <c r="CH200" s="73">
        <v>0</v>
      </c>
      <c r="CI200" s="73">
        <v>565590</v>
      </c>
      <c r="CJ200" s="73">
        <v>23893</v>
      </c>
      <c r="CK200" s="73">
        <v>14653</v>
      </c>
      <c r="CL200" s="73">
        <v>0</v>
      </c>
      <c r="CM200" s="73">
        <v>9240</v>
      </c>
      <c r="CN200" s="73">
        <v>15</v>
      </c>
      <c r="CO200" s="73">
        <v>0</v>
      </c>
      <c r="CP200" s="73">
        <v>0</v>
      </c>
      <c r="CQ200" s="73">
        <v>15</v>
      </c>
      <c r="CR200" s="73">
        <v>0</v>
      </c>
      <c r="CS200" s="73">
        <v>0</v>
      </c>
      <c r="CT200" s="73">
        <v>0</v>
      </c>
      <c r="CU200" s="73">
        <v>0</v>
      </c>
      <c r="CV200" s="73">
        <v>0</v>
      </c>
      <c r="CW200" s="73">
        <v>0</v>
      </c>
      <c r="CX200" s="73">
        <v>0</v>
      </c>
      <c r="CY200" s="73">
        <v>0</v>
      </c>
      <c r="CZ200" s="73">
        <v>425</v>
      </c>
      <c r="DA200" s="73">
        <v>0</v>
      </c>
      <c r="DB200" s="73">
        <v>1172</v>
      </c>
      <c r="DC200" s="73">
        <v>-747</v>
      </c>
      <c r="DD200" s="73">
        <v>24333</v>
      </c>
      <c r="DE200" s="73">
        <v>14653</v>
      </c>
      <c r="DF200" s="73">
        <v>1172</v>
      </c>
      <c r="DG200" s="73">
        <v>8508</v>
      </c>
      <c r="DH200" s="73">
        <v>5642</v>
      </c>
      <c r="DI200" s="73">
        <v>9705</v>
      </c>
      <c r="DJ200" s="73">
        <v>0</v>
      </c>
      <c r="DK200" s="73">
        <v>-4063</v>
      </c>
      <c r="DL200" s="73">
        <v>0</v>
      </c>
      <c r="DM200" s="73">
        <v>0</v>
      </c>
      <c r="DN200" s="73">
        <v>0</v>
      </c>
      <c r="DO200" s="73">
        <v>0</v>
      </c>
      <c r="DP200" s="73">
        <v>0</v>
      </c>
      <c r="DQ200" s="73">
        <v>0</v>
      </c>
      <c r="DR200" s="73">
        <v>0</v>
      </c>
      <c r="DS200" s="73">
        <v>0</v>
      </c>
      <c r="DT200" s="73">
        <v>2351</v>
      </c>
      <c r="DU200" s="73">
        <v>0</v>
      </c>
      <c r="DV200" s="73">
        <v>1502</v>
      </c>
      <c r="DW200" s="73">
        <v>849</v>
      </c>
      <c r="DX200" s="73">
        <v>129</v>
      </c>
      <c r="DY200" s="73">
        <v>0</v>
      </c>
      <c r="DZ200" s="73">
        <v>123</v>
      </c>
      <c r="EA200" s="73">
        <v>6</v>
      </c>
      <c r="EB200" s="73">
        <v>0</v>
      </c>
      <c r="EC200" s="73">
        <v>0</v>
      </c>
      <c r="ED200" s="73">
        <v>0</v>
      </c>
      <c r="EE200" s="73">
        <v>0</v>
      </c>
      <c r="EF200" s="73">
        <v>8122</v>
      </c>
      <c r="EG200" s="73">
        <v>9705</v>
      </c>
      <c r="EH200" s="73">
        <v>1625</v>
      </c>
      <c r="EI200" s="73">
        <v>-3208</v>
      </c>
      <c r="EJ200" s="73">
        <v>32455</v>
      </c>
      <c r="EK200" s="73">
        <v>24358</v>
      </c>
      <c r="EL200" s="73">
        <v>2797</v>
      </c>
      <c r="EM200" s="73">
        <v>5300</v>
      </c>
      <c r="EN200" s="73">
        <v>4651</v>
      </c>
      <c r="EO200" s="73">
        <v>813</v>
      </c>
      <c r="EP200" s="73">
        <v>110</v>
      </c>
      <c r="EQ200" s="73">
        <v>813</v>
      </c>
      <c r="ER200" s="73">
        <v>1305084</v>
      </c>
      <c r="ES200" s="73">
        <v>0</v>
      </c>
      <c r="ET200" s="73">
        <v>1305084</v>
      </c>
      <c r="EU200" s="73">
        <v>37805</v>
      </c>
      <c r="EV200" s="73">
        <v>-9401</v>
      </c>
      <c r="EW200" s="73">
        <v>0</v>
      </c>
      <c r="EX200" s="73">
        <v>0</v>
      </c>
      <c r="EY200" s="73">
        <v>0</v>
      </c>
      <c r="EZ200" s="73">
        <v>1333488</v>
      </c>
      <c r="FA200" s="73">
        <v>112634</v>
      </c>
      <c r="FB200" s="73">
        <v>10930</v>
      </c>
      <c r="FC200" s="73">
        <v>0</v>
      </c>
      <c r="FD200" s="73">
        <v>0</v>
      </c>
      <c r="FE200" s="73">
        <v>-1854</v>
      </c>
      <c r="FF200" s="73">
        <v>0</v>
      </c>
      <c r="FG200" s="73">
        <v>0</v>
      </c>
      <c r="FH200" s="73">
        <v>121710</v>
      </c>
      <c r="FI200" s="73">
        <v>1211778</v>
      </c>
      <c r="FJ200" s="73">
        <v>1192450</v>
      </c>
      <c r="FK200" s="73">
        <v>12754</v>
      </c>
      <c r="FL200" s="73">
        <v>8079</v>
      </c>
      <c r="FM200" s="73">
        <v>4675</v>
      </c>
      <c r="FN200" s="73">
        <v>0</v>
      </c>
      <c r="FO200" s="73">
        <v>0</v>
      </c>
      <c r="FP200" s="73">
        <v>0</v>
      </c>
      <c r="FQ200" s="73">
        <v>607</v>
      </c>
      <c r="FR200" s="73">
        <v>242</v>
      </c>
      <c r="FS200" s="73">
        <v>365</v>
      </c>
      <c r="FT200" s="73">
        <v>3367</v>
      </c>
      <c r="FU200" s="73">
        <v>1584</v>
      </c>
      <c r="FV200" s="73">
        <v>1783</v>
      </c>
      <c r="FW200" s="73">
        <v>0</v>
      </c>
      <c r="FX200" s="73">
        <v>0</v>
      </c>
      <c r="FY200" s="73">
        <v>0</v>
      </c>
      <c r="FZ200" s="73">
        <v>685</v>
      </c>
      <c r="GA200" s="73">
        <v>352</v>
      </c>
      <c r="GB200" s="73">
        <v>333</v>
      </c>
      <c r="GC200" s="73">
        <v>17413</v>
      </c>
      <c r="GD200" s="73">
        <v>10257</v>
      </c>
      <c r="GE200" s="73">
        <v>7156</v>
      </c>
      <c r="GF200" s="73">
        <v>9636</v>
      </c>
      <c r="GG200" s="73">
        <v>179</v>
      </c>
      <c r="GH200" s="73">
        <v>25</v>
      </c>
      <c r="GI200" s="73">
        <v>0</v>
      </c>
      <c r="GJ200" s="73">
        <v>0</v>
      </c>
      <c r="GK200" s="73">
        <v>5722</v>
      </c>
      <c r="GL200" s="73">
        <v>15562</v>
      </c>
      <c r="GM200" s="73">
        <v>0</v>
      </c>
      <c r="GN200" s="73">
        <v>4099</v>
      </c>
      <c r="GO200" s="73">
        <v>8935</v>
      </c>
      <c r="GP200" s="73">
        <v>0</v>
      </c>
      <c r="GQ200" s="73">
        <v>0</v>
      </c>
      <c r="GR200" s="73">
        <v>7634</v>
      </c>
      <c r="GS200" s="73">
        <v>0</v>
      </c>
      <c r="GT200" s="73">
        <v>0</v>
      </c>
      <c r="GU200" s="73">
        <v>0</v>
      </c>
      <c r="GV200" s="73">
        <v>0</v>
      </c>
      <c r="GW200" s="73">
        <v>0</v>
      </c>
      <c r="GX200" s="73">
        <v>20668</v>
      </c>
      <c r="GY200" s="73">
        <v>7564</v>
      </c>
      <c r="GZ200" s="73">
        <v>1410</v>
      </c>
      <c r="HA200" s="73">
        <v>0</v>
      </c>
      <c r="HB200" s="73">
        <v>695</v>
      </c>
      <c r="HC200" s="73">
        <v>9669</v>
      </c>
      <c r="HD200" s="73">
        <v>0</v>
      </c>
      <c r="HE200" s="73">
        <v>0</v>
      </c>
      <c r="HF200" s="73">
        <v>0</v>
      </c>
      <c r="HG200" s="73">
        <v>31102</v>
      </c>
      <c r="HH200" s="73">
        <v>21</v>
      </c>
      <c r="HI200" s="73">
        <v>0</v>
      </c>
      <c r="HJ200" s="73">
        <v>0</v>
      </c>
      <c r="HK200" s="73">
        <v>1353</v>
      </c>
      <c r="HL200" s="73">
        <v>-2333</v>
      </c>
      <c r="HM200" s="73">
        <v>30143</v>
      </c>
      <c r="HN200" s="73">
        <v>5470</v>
      </c>
      <c r="HO200" s="73">
        <v>13121</v>
      </c>
      <c r="HP200" s="73">
        <v>0</v>
      </c>
      <c r="HQ200" s="73">
        <v>289</v>
      </c>
      <c r="HR200" s="73">
        <v>-89</v>
      </c>
      <c r="HS200" s="73">
        <v>-54</v>
      </c>
      <c r="HT200" s="73">
        <v>13956</v>
      </c>
      <c r="HU200" s="73">
        <v>0</v>
      </c>
      <c r="HV200" s="73">
        <v>-3</v>
      </c>
      <c r="HW200" s="73">
        <v>0</v>
      </c>
      <c r="HX200" s="73">
        <v>154</v>
      </c>
    </row>
    <row r="201" spans="1:232" x14ac:dyDescent="0.2">
      <c r="A201" s="71" t="s">
        <v>584</v>
      </c>
      <c r="B201" s="71" t="s">
        <v>583</v>
      </c>
      <c r="C201" s="72" t="s">
        <v>200</v>
      </c>
      <c r="D201" s="72">
        <v>12</v>
      </c>
      <c r="E201" s="73">
        <v>71903</v>
      </c>
      <c r="F201" s="73">
        <v>-5871</v>
      </c>
      <c r="G201" s="73">
        <v>-39325</v>
      </c>
      <c r="H201" s="73">
        <v>26707</v>
      </c>
      <c r="I201" s="73">
        <v>1485</v>
      </c>
      <c r="J201" s="73">
        <v>0</v>
      </c>
      <c r="K201" s="73">
        <v>0</v>
      </c>
      <c r="L201" s="73">
        <v>0</v>
      </c>
      <c r="M201" s="73">
        <v>267</v>
      </c>
      <c r="N201" s="73">
        <v>-8217</v>
      </c>
      <c r="O201" s="73">
        <v>454</v>
      </c>
      <c r="P201" s="73">
        <v>0</v>
      </c>
      <c r="Q201" s="73">
        <v>0</v>
      </c>
      <c r="R201" s="73">
        <v>0</v>
      </c>
      <c r="S201" s="73">
        <v>20696</v>
      </c>
      <c r="T201" s="73">
        <v>0</v>
      </c>
      <c r="U201" s="73">
        <v>20696</v>
      </c>
      <c r="V201" s="73">
        <v>0</v>
      </c>
      <c r="W201" s="73">
        <v>-847</v>
      </c>
      <c r="X201" s="73">
        <v>0</v>
      </c>
      <c r="Y201" s="73">
        <v>0</v>
      </c>
      <c r="Z201" s="73">
        <v>19849</v>
      </c>
      <c r="AA201" s="73">
        <v>52974</v>
      </c>
      <c r="AB201" s="73">
        <v>4733</v>
      </c>
      <c r="AC201" s="73">
        <v>57707</v>
      </c>
      <c r="AD201" s="73">
        <v>317</v>
      </c>
      <c r="AE201" s="73">
        <v>331</v>
      </c>
      <c r="AF201" s="73">
        <v>0</v>
      </c>
      <c r="AG201" s="73">
        <v>1708</v>
      </c>
      <c r="AH201" s="73">
        <v>60063</v>
      </c>
      <c r="AI201" s="73">
        <v>10961</v>
      </c>
      <c r="AJ201" s="73">
        <v>4634</v>
      </c>
      <c r="AK201" s="73">
        <v>8299</v>
      </c>
      <c r="AL201" s="73">
        <v>6639</v>
      </c>
      <c r="AM201" s="73">
        <v>0</v>
      </c>
      <c r="AN201" s="73">
        <v>629</v>
      </c>
      <c r="AO201" s="73">
        <v>4985</v>
      </c>
      <c r="AP201" s="73">
        <v>1200</v>
      </c>
      <c r="AQ201" s="73">
        <v>771</v>
      </c>
      <c r="AR201" s="73">
        <v>38118</v>
      </c>
      <c r="AS201" s="73">
        <v>21945</v>
      </c>
      <c r="AT201" s="73">
        <v>1177</v>
      </c>
      <c r="AU201" s="73">
        <v>673258</v>
      </c>
      <c r="AV201" s="73">
        <v>0</v>
      </c>
      <c r="AW201" s="73">
        <v>5791</v>
      </c>
      <c r="AX201" s="73">
        <v>0</v>
      </c>
      <c r="AY201" s="73">
        <v>0</v>
      </c>
      <c r="AZ201" s="73">
        <v>7653</v>
      </c>
      <c r="BA201" s="73">
        <v>0</v>
      </c>
      <c r="BB201" s="73">
        <v>0</v>
      </c>
      <c r="BC201" s="73">
        <v>0</v>
      </c>
      <c r="BD201" s="73">
        <v>13</v>
      </c>
      <c r="BE201" s="73">
        <v>686715</v>
      </c>
      <c r="BF201" s="73">
        <v>14748</v>
      </c>
      <c r="BG201" s="73">
        <v>2472</v>
      </c>
      <c r="BH201" s="73">
        <v>59179</v>
      </c>
      <c r="BI201" s="73">
        <v>0</v>
      </c>
      <c r="BJ201" s="73">
        <v>6512</v>
      </c>
      <c r="BK201" s="73">
        <v>82911</v>
      </c>
      <c r="BL201" s="73">
        <v>3450</v>
      </c>
      <c r="BM201" s="73">
        <v>0</v>
      </c>
      <c r="BN201" s="73">
        <v>122</v>
      </c>
      <c r="BO201" s="73">
        <v>17114</v>
      </c>
      <c r="BP201" s="73">
        <v>20686</v>
      </c>
      <c r="BQ201" s="73">
        <v>62225</v>
      </c>
      <c r="BR201" s="73">
        <v>748940</v>
      </c>
      <c r="BS201" s="73">
        <v>350501</v>
      </c>
      <c r="BT201" s="73">
        <v>0</v>
      </c>
      <c r="BU201" s="73">
        <v>0</v>
      </c>
      <c r="BV201" s="73">
        <v>13977</v>
      </c>
      <c r="BW201" s="73">
        <v>0</v>
      </c>
      <c r="BX201" s="73">
        <v>0</v>
      </c>
      <c r="BY201" s="73">
        <v>10976</v>
      </c>
      <c r="BZ201" s="73">
        <v>375454</v>
      </c>
      <c r="CA201" s="73">
        <v>1517</v>
      </c>
      <c r="CB201" s="73">
        <v>616</v>
      </c>
      <c r="CC201" s="73">
        <v>371353</v>
      </c>
      <c r="CD201" s="73">
        <v>124276</v>
      </c>
      <c r="CE201" s="73">
        <v>247077</v>
      </c>
      <c r="CF201" s="73">
        <v>0</v>
      </c>
      <c r="CG201" s="73">
        <v>0</v>
      </c>
      <c r="CH201" s="73">
        <v>0</v>
      </c>
      <c r="CI201" s="73">
        <v>371353</v>
      </c>
      <c r="CJ201" s="73">
        <v>11272</v>
      </c>
      <c r="CK201" s="73">
        <v>5871</v>
      </c>
      <c r="CL201" s="73">
        <v>0</v>
      </c>
      <c r="CM201" s="73">
        <v>5401</v>
      </c>
      <c r="CN201" s="73">
        <v>0</v>
      </c>
      <c r="CO201" s="73">
        <v>0</v>
      </c>
      <c r="CP201" s="73">
        <v>0</v>
      </c>
      <c r="CQ201" s="73">
        <v>0</v>
      </c>
      <c r="CR201" s="73">
        <v>0</v>
      </c>
      <c r="CS201" s="73">
        <v>0</v>
      </c>
      <c r="CT201" s="73">
        <v>0</v>
      </c>
      <c r="CU201" s="73">
        <v>0</v>
      </c>
      <c r="CV201" s="73">
        <v>0</v>
      </c>
      <c r="CW201" s="73">
        <v>0</v>
      </c>
      <c r="CX201" s="73">
        <v>0</v>
      </c>
      <c r="CY201" s="73">
        <v>0</v>
      </c>
      <c r="CZ201" s="73">
        <v>155</v>
      </c>
      <c r="DA201" s="73">
        <v>0</v>
      </c>
      <c r="DB201" s="73">
        <v>143</v>
      </c>
      <c r="DC201" s="73">
        <v>12</v>
      </c>
      <c r="DD201" s="73">
        <v>11427</v>
      </c>
      <c r="DE201" s="73">
        <v>5871</v>
      </c>
      <c r="DF201" s="73">
        <v>143</v>
      </c>
      <c r="DG201" s="73">
        <v>5413</v>
      </c>
      <c r="DH201" s="73">
        <v>0</v>
      </c>
      <c r="DI201" s="73">
        <v>0</v>
      </c>
      <c r="DJ201" s="73">
        <v>0</v>
      </c>
      <c r="DK201" s="73">
        <v>0</v>
      </c>
      <c r="DL201" s="73">
        <v>0</v>
      </c>
      <c r="DM201" s="73">
        <v>0</v>
      </c>
      <c r="DN201" s="73">
        <v>0</v>
      </c>
      <c r="DO201" s="73">
        <v>0</v>
      </c>
      <c r="DP201" s="73">
        <v>0</v>
      </c>
      <c r="DQ201" s="73">
        <v>0</v>
      </c>
      <c r="DR201" s="73">
        <v>0</v>
      </c>
      <c r="DS201" s="73">
        <v>0</v>
      </c>
      <c r="DT201" s="73">
        <v>150</v>
      </c>
      <c r="DU201" s="73">
        <v>0</v>
      </c>
      <c r="DV201" s="73">
        <v>72</v>
      </c>
      <c r="DW201" s="73">
        <v>78</v>
      </c>
      <c r="DX201" s="73">
        <v>0</v>
      </c>
      <c r="DY201" s="73">
        <v>0</v>
      </c>
      <c r="DZ201" s="73">
        <v>0</v>
      </c>
      <c r="EA201" s="73">
        <v>0</v>
      </c>
      <c r="EB201" s="73">
        <v>263</v>
      </c>
      <c r="EC201" s="73">
        <v>0</v>
      </c>
      <c r="ED201" s="73">
        <v>992</v>
      </c>
      <c r="EE201" s="73">
        <v>-729</v>
      </c>
      <c r="EF201" s="73">
        <v>413</v>
      </c>
      <c r="EG201" s="73">
        <v>0</v>
      </c>
      <c r="EH201" s="73">
        <v>1064</v>
      </c>
      <c r="EI201" s="73">
        <v>-651</v>
      </c>
      <c r="EJ201" s="73">
        <v>11840</v>
      </c>
      <c r="EK201" s="73">
        <v>5871</v>
      </c>
      <c r="EL201" s="73">
        <v>1207</v>
      </c>
      <c r="EM201" s="73">
        <v>4762</v>
      </c>
      <c r="EN201" s="73">
        <v>2361</v>
      </c>
      <c r="EO201" s="73">
        <v>795</v>
      </c>
      <c r="EP201" s="73">
        <v>508</v>
      </c>
      <c r="EQ201" s="73">
        <v>795</v>
      </c>
      <c r="ER201" s="73">
        <v>677597</v>
      </c>
      <c r="ES201" s="73">
        <v>0</v>
      </c>
      <c r="ET201" s="73">
        <v>677597</v>
      </c>
      <c r="EU201" s="73">
        <v>33018</v>
      </c>
      <c r="EV201" s="73">
        <v>-2333</v>
      </c>
      <c r="EW201" s="73">
        <v>0</v>
      </c>
      <c r="EX201" s="73">
        <v>0</v>
      </c>
      <c r="EY201" s="73">
        <v>-3701</v>
      </c>
      <c r="EZ201" s="73">
        <v>704581</v>
      </c>
      <c r="FA201" s="73">
        <v>25373</v>
      </c>
      <c r="FB201" s="73">
        <v>4985</v>
      </c>
      <c r="FC201" s="73">
        <v>1200</v>
      </c>
      <c r="FD201" s="73">
        <v>0</v>
      </c>
      <c r="FE201" s="73">
        <v>-166</v>
      </c>
      <c r="FF201" s="73">
        <v>0</v>
      </c>
      <c r="FG201" s="73">
        <v>-69</v>
      </c>
      <c r="FH201" s="73">
        <v>31323</v>
      </c>
      <c r="FI201" s="73">
        <v>673258</v>
      </c>
      <c r="FJ201" s="73">
        <v>652224</v>
      </c>
      <c r="FK201" s="73">
        <v>2803</v>
      </c>
      <c r="FL201" s="73">
        <v>1841</v>
      </c>
      <c r="FM201" s="73">
        <v>962</v>
      </c>
      <c r="FN201" s="73">
        <v>1144</v>
      </c>
      <c r="FO201" s="73">
        <v>1299</v>
      </c>
      <c r="FP201" s="73">
        <v>-155</v>
      </c>
      <c r="FQ201" s="73">
        <v>0</v>
      </c>
      <c r="FR201" s="73">
        <v>0</v>
      </c>
      <c r="FS201" s="73">
        <v>0</v>
      </c>
      <c r="FT201" s="73">
        <v>1297</v>
      </c>
      <c r="FU201" s="73">
        <v>505</v>
      </c>
      <c r="FV201" s="73">
        <v>792</v>
      </c>
      <c r="FW201" s="73">
        <v>0</v>
      </c>
      <c r="FX201" s="73">
        <v>0</v>
      </c>
      <c r="FY201" s="73">
        <v>0</v>
      </c>
      <c r="FZ201" s="73">
        <v>0</v>
      </c>
      <c r="GA201" s="73">
        <v>114</v>
      </c>
      <c r="GB201" s="73">
        <v>-114</v>
      </c>
      <c r="GC201" s="73">
        <v>5244</v>
      </c>
      <c r="GD201" s="73">
        <v>3759</v>
      </c>
      <c r="GE201" s="73">
        <v>1485</v>
      </c>
      <c r="GF201" s="73">
        <v>5726</v>
      </c>
      <c r="GG201" s="73">
        <v>0</v>
      </c>
      <c r="GH201" s="73">
        <v>269</v>
      </c>
      <c r="GI201" s="73">
        <v>0</v>
      </c>
      <c r="GJ201" s="73">
        <v>0</v>
      </c>
      <c r="GK201" s="73">
        <v>517</v>
      </c>
      <c r="GL201" s="73">
        <v>6512</v>
      </c>
      <c r="GM201" s="73">
        <v>1525</v>
      </c>
      <c r="GN201" s="73">
        <v>2189</v>
      </c>
      <c r="GO201" s="73">
        <v>1871</v>
      </c>
      <c r="GP201" s="73">
        <v>3118</v>
      </c>
      <c r="GQ201" s="73">
        <v>735</v>
      </c>
      <c r="GR201" s="73">
        <v>6263</v>
      </c>
      <c r="GS201" s="73">
        <v>0</v>
      </c>
      <c r="GT201" s="73">
        <v>0</v>
      </c>
      <c r="GU201" s="73">
        <v>723</v>
      </c>
      <c r="GV201" s="73">
        <v>0</v>
      </c>
      <c r="GW201" s="73">
        <v>690</v>
      </c>
      <c r="GX201" s="73">
        <v>17114</v>
      </c>
      <c r="GY201" s="73">
        <v>2706</v>
      </c>
      <c r="GZ201" s="73">
        <v>168</v>
      </c>
      <c r="HA201" s="73">
        <v>5072</v>
      </c>
      <c r="HB201" s="73">
        <v>3030</v>
      </c>
      <c r="HC201" s="73">
        <v>10976</v>
      </c>
      <c r="HD201" s="73">
        <v>0</v>
      </c>
      <c r="HE201" s="73">
        <v>616</v>
      </c>
      <c r="HF201" s="73">
        <v>616</v>
      </c>
      <c r="HG201" s="73">
        <v>10446</v>
      </c>
      <c r="HH201" s="73">
        <v>0</v>
      </c>
      <c r="HI201" s="73">
        <v>24</v>
      </c>
      <c r="HJ201" s="73">
        <v>29</v>
      </c>
      <c r="HK201" s="73">
        <v>396</v>
      </c>
      <c r="HL201" s="73">
        <v>-2678</v>
      </c>
      <c r="HM201" s="73">
        <v>8217</v>
      </c>
      <c r="HN201" s="73">
        <v>2536</v>
      </c>
      <c r="HO201" s="73">
        <v>5563</v>
      </c>
      <c r="HP201" s="73">
        <v>1200</v>
      </c>
      <c r="HQ201" s="73">
        <v>128</v>
      </c>
      <c r="HR201" s="73">
        <v>-48</v>
      </c>
      <c r="HS201" s="73">
        <v>-164</v>
      </c>
      <c r="HT201" s="73">
        <v>8798</v>
      </c>
      <c r="HU201" s="73">
        <v>12</v>
      </c>
      <c r="HV201" s="73">
        <v>-5</v>
      </c>
      <c r="HW201" s="73">
        <v>-4</v>
      </c>
      <c r="HX201" s="73">
        <v>28</v>
      </c>
    </row>
    <row r="202" spans="1:232" x14ac:dyDescent="0.2">
      <c r="A202" s="74" t="s">
        <v>585</v>
      </c>
      <c r="B202" s="74" t="s">
        <v>586</v>
      </c>
      <c r="C202" s="75" t="s">
        <v>200</v>
      </c>
      <c r="D202" s="75">
        <v>12</v>
      </c>
      <c r="E202" s="76">
        <v>23846</v>
      </c>
      <c r="F202" s="76">
        <v>0</v>
      </c>
      <c r="G202" s="76">
        <v>-17402</v>
      </c>
      <c r="H202" s="76">
        <v>6444</v>
      </c>
      <c r="I202" s="76">
        <v>1123</v>
      </c>
      <c r="J202" s="76">
        <v>0</v>
      </c>
      <c r="K202" s="76">
        <v>-199</v>
      </c>
      <c r="L202" s="76">
        <v>0</v>
      </c>
      <c r="M202" s="76">
        <v>52</v>
      </c>
      <c r="N202" s="76">
        <v>-1642</v>
      </c>
      <c r="O202" s="76">
        <v>-175</v>
      </c>
      <c r="P202" s="76">
        <v>-350</v>
      </c>
      <c r="Q202" s="76">
        <v>0</v>
      </c>
      <c r="R202" s="76">
        <v>0</v>
      </c>
      <c r="S202" s="76">
        <v>5253</v>
      </c>
      <c r="T202" s="76">
        <v>0</v>
      </c>
      <c r="U202" s="76">
        <v>5253</v>
      </c>
      <c r="V202" s="76">
        <v>0</v>
      </c>
      <c r="W202" s="76">
        <v>-1343</v>
      </c>
      <c r="X202" s="76">
        <v>0</v>
      </c>
      <c r="Y202" s="76">
        <v>0</v>
      </c>
      <c r="Z202" s="76">
        <v>3910</v>
      </c>
      <c r="AA202" s="76">
        <v>23340</v>
      </c>
      <c r="AB202" s="76">
        <v>70</v>
      </c>
      <c r="AC202" s="76">
        <v>23410</v>
      </c>
      <c r="AD202" s="76">
        <v>15</v>
      </c>
      <c r="AE202" s="76">
        <v>0</v>
      </c>
      <c r="AF202" s="76">
        <v>0</v>
      </c>
      <c r="AG202" s="76">
        <v>231</v>
      </c>
      <c r="AH202" s="76">
        <v>23656</v>
      </c>
      <c r="AI202" s="76">
        <v>4122</v>
      </c>
      <c r="AJ202" s="76">
        <v>2501</v>
      </c>
      <c r="AK202" s="76">
        <v>3350</v>
      </c>
      <c r="AL202" s="76">
        <v>1405</v>
      </c>
      <c r="AM202" s="76">
        <v>1468</v>
      </c>
      <c r="AN202" s="76">
        <v>144</v>
      </c>
      <c r="AO202" s="76">
        <v>3343</v>
      </c>
      <c r="AP202" s="76">
        <v>0</v>
      </c>
      <c r="AQ202" s="76">
        <v>1069</v>
      </c>
      <c r="AR202" s="76">
        <v>17402</v>
      </c>
      <c r="AS202" s="76">
        <v>6254</v>
      </c>
      <c r="AT202" s="76">
        <v>99</v>
      </c>
      <c r="AU202" s="76">
        <v>122390</v>
      </c>
      <c r="AV202" s="76">
        <v>0</v>
      </c>
      <c r="AW202" s="76">
        <v>3150</v>
      </c>
      <c r="AX202" s="76">
        <v>0</v>
      </c>
      <c r="AY202" s="76">
        <v>0</v>
      </c>
      <c r="AZ202" s="76">
        <v>750</v>
      </c>
      <c r="BA202" s="76">
        <v>0</v>
      </c>
      <c r="BB202" s="76">
        <v>0</v>
      </c>
      <c r="BC202" s="76">
        <v>0</v>
      </c>
      <c r="BD202" s="76">
        <v>0</v>
      </c>
      <c r="BE202" s="76">
        <v>126290</v>
      </c>
      <c r="BF202" s="76">
        <v>2869</v>
      </c>
      <c r="BG202" s="76">
        <v>1163</v>
      </c>
      <c r="BH202" s="76">
        <v>8105</v>
      </c>
      <c r="BI202" s="76">
        <v>0</v>
      </c>
      <c r="BJ202" s="76">
        <v>957</v>
      </c>
      <c r="BK202" s="76">
        <v>13094</v>
      </c>
      <c r="BL202" s="76">
        <v>0</v>
      </c>
      <c r="BM202" s="76">
        <v>0</v>
      </c>
      <c r="BN202" s="76">
        <v>44</v>
      </c>
      <c r="BO202" s="76">
        <v>1106</v>
      </c>
      <c r="BP202" s="76">
        <v>1150</v>
      </c>
      <c r="BQ202" s="76">
        <v>11944</v>
      </c>
      <c r="BR202" s="76">
        <v>138234</v>
      </c>
      <c r="BS202" s="76">
        <v>44742</v>
      </c>
      <c r="BT202" s="76">
        <v>0</v>
      </c>
      <c r="BU202" s="76">
        <v>0</v>
      </c>
      <c r="BV202" s="76">
        <v>2112</v>
      </c>
      <c r="BW202" s="76">
        <v>0</v>
      </c>
      <c r="BX202" s="76">
        <v>4130</v>
      </c>
      <c r="BY202" s="76">
        <v>666</v>
      </c>
      <c r="BZ202" s="76">
        <v>51650</v>
      </c>
      <c r="CA202" s="76">
        <v>7375</v>
      </c>
      <c r="CB202" s="76">
        <v>0</v>
      </c>
      <c r="CC202" s="76">
        <v>79209</v>
      </c>
      <c r="CD202" s="76">
        <v>56259</v>
      </c>
      <c r="CE202" s="76">
        <v>22950</v>
      </c>
      <c r="CF202" s="76">
        <v>0</v>
      </c>
      <c r="CG202" s="76">
        <v>0</v>
      </c>
      <c r="CH202" s="76">
        <v>0</v>
      </c>
      <c r="CI202" s="76">
        <v>79209</v>
      </c>
      <c r="CJ202" s="76">
        <v>0</v>
      </c>
      <c r="CK202" s="76">
        <v>0</v>
      </c>
      <c r="CL202" s="76">
        <v>0</v>
      </c>
      <c r="CM202" s="76">
        <v>0</v>
      </c>
      <c r="CN202" s="76">
        <v>0</v>
      </c>
      <c r="CO202" s="76">
        <v>0</v>
      </c>
      <c r="CP202" s="76">
        <v>0</v>
      </c>
      <c r="CQ202" s="76">
        <v>0</v>
      </c>
      <c r="CR202" s="76">
        <v>0</v>
      </c>
      <c r="CS202" s="76">
        <v>0</v>
      </c>
      <c r="CT202" s="76">
        <v>0</v>
      </c>
      <c r="CU202" s="76">
        <v>0</v>
      </c>
      <c r="CV202" s="76">
        <v>0</v>
      </c>
      <c r="CW202" s="76">
        <v>0</v>
      </c>
      <c r="CX202" s="76">
        <v>0</v>
      </c>
      <c r="CY202" s="76">
        <v>0</v>
      </c>
      <c r="CZ202" s="76">
        <v>0</v>
      </c>
      <c r="DA202" s="76">
        <v>0</v>
      </c>
      <c r="DB202" s="76">
        <v>0</v>
      </c>
      <c r="DC202" s="76">
        <v>0</v>
      </c>
      <c r="DD202" s="76">
        <v>0</v>
      </c>
      <c r="DE202" s="76">
        <v>0</v>
      </c>
      <c r="DF202" s="76">
        <v>0</v>
      </c>
      <c r="DG202" s="76">
        <v>0</v>
      </c>
      <c r="DH202" s="76">
        <v>0</v>
      </c>
      <c r="DI202" s="76">
        <v>0</v>
      </c>
      <c r="DJ202" s="76">
        <v>0</v>
      </c>
      <c r="DK202" s="76">
        <v>0</v>
      </c>
      <c r="DL202" s="76">
        <v>0</v>
      </c>
      <c r="DM202" s="76">
        <v>0</v>
      </c>
      <c r="DN202" s="76">
        <v>0</v>
      </c>
      <c r="DO202" s="76">
        <v>0</v>
      </c>
      <c r="DP202" s="76">
        <v>0</v>
      </c>
      <c r="DQ202" s="76">
        <v>0</v>
      </c>
      <c r="DR202" s="76">
        <v>0</v>
      </c>
      <c r="DS202" s="76">
        <v>0</v>
      </c>
      <c r="DT202" s="76">
        <v>42</v>
      </c>
      <c r="DU202" s="76">
        <v>0</v>
      </c>
      <c r="DV202" s="76">
        <v>0</v>
      </c>
      <c r="DW202" s="76">
        <v>42</v>
      </c>
      <c r="DX202" s="76">
        <v>0</v>
      </c>
      <c r="DY202" s="76">
        <v>0</v>
      </c>
      <c r="DZ202" s="76">
        <v>0</v>
      </c>
      <c r="EA202" s="76">
        <v>0</v>
      </c>
      <c r="EB202" s="76">
        <v>148</v>
      </c>
      <c r="EC202" s="76">
        <v>0</v>
      </c>
      <c r="ED202" s="76">
        <v>0</v>
      </c>
      <c r="EE202" s="76">
        <v>148</v>
      </c>
      <c r="EF202" s="76">
        <v>190</v>
      </c>
      <c r="EG202" s="76">
        <v>0</v>
      </c>
      <c r="EH202" s="76">
        <v>0</v>
      </c>
      <c r="EI202" s="76">
        <v>190</v>
      </c>
      <c r="EJ202" s="76">
        <v>190</v>
      </c>
      <c r="EK202" s="76">
        <v>0</v>
      </c>
      <c r="EL202" s="76">
        <v>0</v>
      </c>
      <c r="EM202" s="76">
        <v>190</v>
      </c>
      <c r="EN202" s="76">
        <v>1276</v>
      </c>
      <c r="EO202" s="76">
        <v>664</v>
      </c>
      <c r="EP202" s="76">
        <v>269</v>
      </c>
      <c r="EQ202" s="76">
        <v>664</v>
      </c>
      <c r="ER202" s="76">
        <v>122779</v>
      </c>
      <c r="ES202" s="76">
        <v>0</v>
      </c>
      <c r="ET202" s="76">
        <v>122779</v>
      </c>
      <c r="EU202" s="76">
        <v>10881</v>
      </c>
      <c r="EV202" s="76">
        <v>-1398</v>
      </c>
      <c r="EW202" s="76">
        <v>0</v>
      </c>
      <c r="EX202" s="76">
        <v>0</v>
      </c>
      <c r="EY202" s="76">
        <v>0</v>
      </c>
      <c r="EZ202" s="76">
        <v>132262</v>
      </c>
      <c r="FA202" s="76">
        <v>6612</v>
      </c>
      <c r="FB202" s="76">
        <v>3343</v>
      </c>
      <c r="FC202" s="76">
        <v>0</v>
      </c>
      <c r="FD202" s="76">
        <v>0</v>
      </c>
      <c r="FE202" s="76">
        <v>-83</v>
      </c>
      <c r="FF202" s="76">
        <v>0</v>
      </c>
      <c r="FG202" s="76">
        <v>0</v>
      </c>
      <c r="FH202" s="76">
        <v>9872</v>
      </c>
      <c r="FI202" s="76">
        <v>122390</v>
      </c>
      <c r="FJ202" s="76">
        <v>116167</v>
      </c>
      <c r="FK202" s="76">
        <v>0</v>
      </c>
      <c r="FL202" s="76">
        <v>0</v>
      </c>
      <c r="FM202" s="76">
        <v>0</v>
      </c>
      <c r="FN202" s="76">
        <v>2119</v>
      </c>
      <c r="FO202" s="76">
        <v>996</v>
      </c>
      <c r="FP202" s="76">
        <v>1123</v>
      </c>
      <c r="FQ202" s="76">
        <v>0</v>
      </c>
      <c r="FR202" s="76">
        <v>0</v>
      </c>
      <c r="FS202" s="76">
        <v>0</v>
      </c>
      <c r="FT202" s="76">
        <v>0</v>
      </c>
      <c r="FU202" s="76">
        <v>0</v>
      </c>
      <c r="FV202" s="76">
        <v>0</v>
      </c>
      <c r="FW202" s="76">
        <v>0</v>
      </c>
      <c r="FX202" s="76">
        <v>0</v>
      </c>
      <c r="FY202" s="76">
        <v>0</v>
      </c>
      <c r="FZ202" s="76">
        <v>0</v>
      </c>
      <c r="GA202" s="76">
        <v>0</v>
      </c>
      <c r="GB202" s="76">
        <v>0</v>
      </c>
      <c r="GC202" s="76">
        <v>2119</v>
      </c>
      <c r="GD202" s="76">
        <v>996</v>
      </c>
      <c r="GE202" s="76">
        <v>1123</v>
      </c>
      <c r="GF202" s="76">
        <v>859</v>
      </c>
      <c r="GG202" s="76">
        <v>0</v>
      </c>
      <c r="GH202" s="76">
        <v>0</v>
      </c>
      <c r="GI202" s="76">
        <v>0</v>
      </c>
      <c r="GJ202" s="76">
        <v>0</v>
      </c>
      <c r="GK202" s="76">
        <v>98</v>
      </c>
      <c r="GL202" s="76">
        <v>957</v>
      </c>
      <c r="GM202" s="76">
        <v>0</v>
      </c>
      <c r="GN202" s="76">
        <v>853</v>
      </c>
      <c r="GO202" s="76">
        <v>0</v>
      </c>
      <c r="GP202" s="76">
        <v>0</v>
      </c>
      <c r="GQ202" s="76">
        <v>0</v>
      </c>
      <c r="GR202" s="76">
        <v>54</v>
      </c>
      <c r="GS202" s="76">
        <v>0</v>
      </c>
      <c r="GT202" s="76">
        <v>0</v>
      </c>
      <c r="GU202" s="76">
        <v>0</v>
      </c>
      <c r="GV202" s="76">
        <v>0</v>
      </c>
      <c r="GW202" s="76">
        <v>199</v>
      </c>
      <c r="GX202" s="76">
        <v>1106</v>
      </c>
      <c r="GY202" s="76">
        <v>0</v>
      </c>
      <c r="GZ202" s="76">
        <v>666</v>
      </c>
      <c r="HA202" s="76">
        <v>0</v>
      </c>
      <c r="HB202" s="76">
        <v>0</v>
      </c>
      <c r="HC202" s="76">
        <v>666</v>
      </c>
      <c r="HD202" s="76">
        <v>0</v>
      </c>
      <c r="HE202" s="76">
        <v>0</v>
      </c>
      <c r="HF202" s="76">
        <v>0</v>
      </c>
      <c r="HG202" s="76">
        <v>1642</v>
      </c>
      <c r="HH202" s="76">
        <v>0</v>
      </c>
      <c r="HI202" s="76">
        <v>0</v>
      </c>
      <c r="HJ202" s="76">
        <v>0</v>
      </c>
      <c r="HK202" s="76">
        <v>0</v>
      </c>
      <c r="HL202" s="76">
        <v>0</v>
      </c>
      <c r="HM202" s="76">
        <v>1642</v>
      </c>
      <c r="HN202" s="76">
        <v>1983</v>
      </c>
      <c r="HO202" s="76">
        <v>3509</v>
      </c>
      <c r="HP202" s="76">
        <v>0</v>
      </c>
      <c r="HQ202" s="76">
        <v>21</v>
      </c>
      <c r="HR202" s="76">
        <v>-49</v>
      </c>
      <c r="HS202" s="76">
        <v>0</v>
      </c>
      <c r="HT202" s="76">
        <v>5621</v>
      </c>
      <c r="HU202" s="76">
        <v>0</v>
      </c>
      <c r="HV202" s="76">
        <v>0</v>
      </c>
      <c r="HW202" s="76">
        <v>0</v>
      </c>
      <c r="HX202" s="76">
        <v>5</v>
      </c>
    </row>
    <row r="203" spans="1:232" x14ac:dyDescent="0.2">
      <c r="A203" s="74" t="s">
        <v>587</v>
      </c>
      <c r="B203" s="74" t="s">
        <v>588</v>
      </c>
      <c r="C203" s="75" t="s">
        <v>200</v>
      </c>
      <c r="D203" s="75">
        <v>12</v>
      </c>
      <c r="E203" s="76">
        <v>65367</v>
      </c>
      <c r="F203" s="76">
        <v>-619</v>
      </c>
      <c r="G203" s="76">
        <v>-57653</v>
      </c>
      <c r="H203" s="76">
        <v>7095</v>
      </c>
      <c r="I203" s="76">
        <v>1141</v>
      </c>
      <c r="J203" s="76">
        <v>17017</v>
      </c>
      <c r="K203" s="76">
        <v>0</v>
      </c>
      <c r="L203" s="76">
        <v>0</v>
      </c>
      <c r="M203" s="76">
        <v>4456</v>
      </c>
      <c r="N203" s="76">
        <v>-15337</v>
      </c>
      <c r="O203" s="76">
        <v>11217</v>
      </c>
      <c r="P203" s="76">
        <v>0</v>
      </c>
      <c r="Q203" s="76">
        <v>0</v>
      </c>
      <c r="R203" s="76">
        <v>0</v>
      </c>
      <c r="S203" s="76">
        <v>25589</v>
      </c>
      <c r="T203" s="76">
        <v>0</v>
      </c>
      <c r="U203" s="76">
        <v>25589</v>
      </c>
      <c r="V203" s="76">
        <v>0</v>
      </c>
      <c r="W203" s="76">
        <v>-3138</v>
      </c>
      <c r="X203" s="76">
        <v>0</v>
      </c>
      <c r="Y203" s="76">
        <v>0</v>
      </c>
      <c r="Z203" s="76">
        <v>22451</v>
      </c>
      <c r="AA203" s="76">
        <v>48907</v>
      </c>
      <c r="AB203" s="76">
        <v>2726</v>
      </c>
      <c r="AC203" s="76">
        <v>51633</v>
      </c>
      <c r="AD203" s="76">
        <v>230</v>
      </c>
      <c r="AE203" s="76">
        <v>0</v>
      </c>
      <c r="AF203" s="76">
        <v>735</v>
      </c>
      <c r="AG203" s="76">
        <v>3614</v>
      </c>
      <c r="AH203" s="76">
        <v>56212</v>
      </c>
      <c r="AI203" s="76">
        <v>9488</v>
      </c>
      <c r="AJ203" s="76">
        <v>13851</v>
      </c>
      <c r="AK203" s="76">
        <v>6292</v>
      </c>
      <c r="AL203" s="76">
        <v>6104</v>
      </c>
      <c r="AM203" s="76">
        <v>0</v>
      </c>
      <c r="AN203" s="76">
        <v>1465</v>
      </c>
      <c r="AO203" s="76">
        <v>11268</v>
      </c>
      <c r="AP203" s="76">
        <v>0</v>
      </c>
      <c r="AQ203" s="76">
        <v>0</v>
      </c>
      <c r="AR203" s="76">
        <v>48468</v>
      </c>
      <c r="AS203" s="76">
        <v>7744</v>
      </c>
      <c r="AT203" s="76">
        <v>265</v>
      </c>
      <c r="AU203" s="76">
        <v>2086266</v>
      </c>
      <c r="AV203" s="76">
        <v>0</v>
      </c>
      <c r="AW203" s="76">
        <v>25182</v>
      </c>
      <c r="AX203" s="76">
        <v>10085</v>
      </c>
      <c r="AY203" s="76">
        <v>5636</v>
      </c>
      <c r="AZ203" s="76">
        <v>178411</v>
      </c>
      <c r="BA203" s="76">
        <v>0</v>
      </c>
      <c r="BB203" s="76">
        <v>0</v>
      </c>
      <c r="BC203" s="76">
        <v>246402</v>
      </c>
      <c r="BD203" s="76">
        <v>8989</v>
      </c>
      <c r="BE203" s="76">
        <v>2560971</v>
      </c>
      <c r="BF203" s="76">
        <v>19922</v>
      </c>
      <c r="BG203" s="76">
        <v>119155</v>
      </c>
      <c r="BH203" s="76">
        <v>68265</v>
      </c>
      <c r="BI203" s="76">
        <v>0</v>
      </c>
      <c r="BJ203" s="76">
        <v>19064</v>
      </c>
      <c r="BK203" s="76">
        <v>226406</v>
      </c>
      <c r="BL203" s="76">
        <v>8000</v>
      </c>
      <c r="BM203" s="76">
        <v>0</v>
      </c>
      <c r="BN203" s="76">
        <v>0</v>
      </c>
      <c r="BO203" s="76">
        <v>83055</v>
      </c>
      <c r="BP203" s="76">
        <v>91055</v>
      </c>
      <c r="BQ203" s="76">
        <v>135351</v>
      </c>
      <c r="BR203" s="76">
        <v>2696322</v>
      </c>
      <c r="BS203" s="76">
        <v>332458</v>
      </c>
      <c r="BT203" s="76">
        <v>645158</v>
      </c>
      <c r="BU203" s="76">
        <v>0</v>
      </c>
      <c r="BV203" s="76">
        <v>159874</v>
      </c>
      <c r="BW203" s="76">
        <v>0</v>
      </c>
      <c r="BX203" s="76">
        <v>0</v>
      </c>
      <c r="BY203" s="76">
        <v>38230</v>
      </c>
      <c r="BZ203" s="76">
        <v>1175720</v>
      </c>
      <c r="CA203" s="76">
        <v>62713</v>
      </c>
      <c r="CB203" s="76">
        <v>0</v>
      </c>
      <c r="CC203" s="76">
        <v>1457889</v>
      </c>
      <c r="CD203" s="76">
        <v>855405</v>
      </c>
      <c r="CE203" s="76">
        <v>602484</v>
      </c>
      <c r="CF203" s="76">
        <v>0</v>
      </c>
      <c r="CG203" s="76">
        <v>0</v>
      </c>
      <c r="CH203" s="76">
        <v>0</v>
      </c>
      <c r="CI203" s="76">
        <v>1457889</v>
      </c>
      <c r="CJ203" s="76">
        <v>2426</v>
      </c>
      <c r="CK203" s="76">
        <v>619</v>
      </c>
      <c r="CL203" s="76">
        <v>0</v>
      </c>
      <c r="CM203" s="76">
        <v>1807</v>
      </c>
      <c r="CN203" s="76">
        <v>0</v>
      </c>
      <c r="CO203" s="76">
        <v>0</v>
      </c>
      <c r="CP203" s="76">
        <v>0</v>
      </c>
      <c r="CQ203" s="76">
        <v>0</v>
      </c>
      <c r="CR203" s="76">
        <v>0</v>
      </c>
      <c r="CS203" s="76">
        <v>0</v>
      </c>
      <c r="CT203" s="76">
        <v>0</v>
      </c>
      <c r="CU203" s="76">
        <v>0</v>
      </c>
      <c r="CV203" s="76">
        <v>0</v>
      </c>
      <c r="CW203" s="76">
        <v>0</v>
      </c>
      <c r="CX203" s="76">
        <v>0</v>
      </c>
      <c r="CY203" s="76">
        <v>0</v>
      </c>
      <c r="CZ203" s="76">
        <v>0</v>
      </c>
      <c r="DA203" s="76">
        <v>0</v>
      </c>
      <c r="DB203" s="76">
        <v>738</v>
      </c>
      <c r="DC203" s="76">
        <v>-738</v>
      </c>
      <c r="DD203" s="76">
        <v>2426</v>
      </c>
      <c r="DE203" s="76">
        <v>619</v>
      </c>
      <c r="DF203" s="76">
        <v>738</v>
      </c>
      <c r="DG203" s="76">
        <v>1069</v>
      </c>
      <c r="DH203" s="76">
        <v>0</v>
      </c>
      <c r="DI203" s="76">
        <v>0</v>
      </c>
      <c r="DJ203" s="76">
        <v>-282</v>
      </c>
      <c r="DK203" s="76">
        <v>282</v>
      </c>
      <c r="DL203" s="76">
        <v>0</v>
      </c>
      <c r="DM203" s="76">
        <v>0</v>
      </c>
      <c r="DN203" s="76">
        <v>0</v>
      </c>
      <c r="DO203" s="76">
        <v>0</v>
      </c>
      <c r="DP203" s="76">
        <v>0</v>
      </c>
      <c r="DQ203" s="76">
        <v>0</v>
      </c>
      <c r="DR203" s="76">
        <v>0</v>
      </c>
      <c r="DS203" s="76">
        <v>0</v>
      </c>
      <c r="DT203" s="76">
        <v>2390</v>
      </c>
      <c r="DU203" s="76">
        <v>0</v>
      </c>
      <c r="DV203" s="76">
        <v>1568</v>
      </c>
      <c r="DW203" s="76">
        <v>822</v>
      </c>
      <c r="DX203" s="76">
        <v>0</v>
      </c>
      <c r="DY203" s="76">
        <v>0</v>
      </c>
      <c r="DZ203" s="76">
        <v>0</v>
      </c>
      <c r="EA203" s="76">
        <v>0</v>
      </c>
      <c r="EB203" s="76">
        <v>4339</v>
      </c>
      <c r="EC203" s="76">
        <v>0</v>
      </c>
      <c r="ED203" s="76">
        <v>7161</v>
      </c>
      <c r="EE203" s="76">
        <v>-2822</v>
      </c>
      <c r="EF203" s="76">
        <v>6729</v>
      </c>
      <c r="EG203" s="76">
        <v>0</v>
      </c>
      <c r="EH203" s="76">
        <v>8447</v>
      </c>
      <c r="EI203" s="76">
        <v>-1718</v>
      </c>
      <c r="EJ203" s="76">
        <v>9155</v>
      </c>
      <c r="EK203" s="76">
        <v>619</v>
      </c>
      <c r="EL203" s="76">
        <v>9185</v>
      </c>
      <c r="EM203" s="76">
        <v>-649</v>
      </c>
      <c r="EN203" s="76">
        <v>7903</v>
      </c>
      <c r="EO203" s="76">
        <v>4923</v>
      </c>
      <c r="EP203" s="76">
        <v>2340</v>
      </c>
      <c r="EQ203" s="76">
        <v>4923</v>
      </c>
      <c r="ER203" s="76">
        <v>0</v>
      </c>
      <c r="ES203" s="76">
        <v>0</v>
      </c>
      <c r="ET203" s="76">
        <v>0</v>
      </c>
      <c r="EU203" s="76">
        <v>27149</v>
      </c>
      <c r="EV203" s="76">
        <v>-6226</v>
      </c>
      <c r="EW203" s="76">
        <v>0</v>
      </c>
      <c r="EX203" s="76">
        <v>2210547</v>
      </c>
      <c r="EY203" s="76">
        <v>-11808</v>
      </c>
      <c r="EZ203" s="76">
        <v>2219662</v>
      </c>
      <c r="FA203" s="76">
        <v>0</v>
      </c>
      <c r="FB203" s="76">
        <v>7887</v>
      </c>
      <c r="FC203" s="76">
        <v>0</v>
      </c>
      <c r="FD203" s="76">
        <v>0</v>
      </c>
      <c r="FE203" s="76">
        <v>-2617</v>
      </c>
      <c r="FF203" s="76">
        <v>129113</v>
      </c>
      <c r="FG203" s="76">
        <v>-987</v>
      </c>
      <c r="FH203" s="76">
        <v>133396</v>
      </c>
      <c r="FI203" s="76">
        <v>2086266</v>
      </c>
      <c r="FJ203" s="76">
        <v>0</v>
      </c>
      <c r="FK203" s="76">
        <v>1790</v>
      </c>
      <c r="FL203" s="76">
        <v>808</v>
      </c>
      <c r="FM203" s="76">
        <v>982</v>
      </c>
      <c r="FN203" s="76">
        <v>216</v>
      </c>
      <c r="FO203" s="76">
        <v>97</v>
      </c>
      <c r="FP203" s="76">
        <v>119</v>
      </c>
      <c r="FQ203" s="76">
        <v>32</v>
      </c>
      <c r="FR203" s="76">
        <v>0</v>
      </c>
      <c r="FS203" s="76">
        <v>32</v>
      </c>
      <c r="FT203" s="76">
        <v>10</v>
      </c>
      <c r="FU203" s="76">
        <v>2</v>
      </c>
      <c r="FV203" s="76">
        <v>8</v>
      </c>
      <c r="FW203" s="76">
        <v>0</v>
      </c>
      <c r="FX203" s="76">
        <v>0</v>
      </c>
      <c r="FY203" s="76">
        <v>0</v>
      </c>
      <c r="FZ203" s="76">
        <v>0</v>
      </c>
      <c r="GA203" s="76">
        <v>0</v>
      </c>
      <c r="GB203" s="76">
        <v>0</v>
      </c>
      <c r="GC203" s="76">
        <v>2048</v>
      </c>
      <c r="GD203" s="76">
        <v>907</v>
      </c>
      <c r="GE203" s="76">
        <v>1141</v>
      </c>
      <c r="GF203" s="76">
        <v>18892</v>
      </c>
      <c r="GG203" s="76">
        <v>172</v>
      </c>
      <c r="GH203" s="76">
        <v>0</v>
      </c>
      <c r="GI203" s="76">
        <v>0</v>
      </c>
      <c r="GJ203" s="76">
        <v>0</v>
      </c>
      <c r="GK203" s="76">
        <v>0</v>
      </c>
      <c r="GL203" s="76">
        <v>19064</v>
      </c>
      <c r="GM203" s="76">
        <v>22766</v>
      </c>
      <c r="GN203" s="76">
        <v>7492</v>
      </c>
      <c r="GO203" s="76">
        <v>7044</v>
      </c>
      <c r="GP203" s="76">
        <v>0</v>
      </c>
      <c r="GQ203" s="76">
        <v>0</v>
      </c>
      <c r="GR203" s="76">
        <v>44026</v>
      </c>
      <c r="GS203" s="76">
        <v>0</v>
      </c>
      <c r="GT203" s="76">
        <v>0</v>
      </c>
      <c r="GU203" s="76">
        <v>0</v>
      </c>
      <c r="GV203" s="76">
        <v>0</v>
      </c>
      <c r="GW203" s="76">
        <v>1727</v>
      </c>
      <c r="GX203" s="76">
        <v>83055</v>
      </c>
      <c r="GY203" s="76">
        <v>13235</v>
      </c>
      <c r="GZ203" s="76">
        <v>5811</v>
      </c>
      <c r="HA203" s="76">
        <v>0</v>
      </c>
      <c r="HB203" s="76">
        <v>19184</v>
      </c>
      <c r="HC203" s="76">
        <v>38230</v>
      </c>
      <c r="HD203" s="76">
        <v>0</v>
      </c>
      <c r="HE203" s="76">
        <v>0</v>
      </c>
      <c r="HF203" s="76">
        <v>0</v>
      </c>
      <c r="HG203" s="76">
        <v>15517</v>
      </c>
      <c r="HH203" s="76">
        <v>115</v>
      </c>
      <c r="HI203" s="76">
        <v>617</v>
      </c>
      <c r="HJ203" s="76">
        <v>0</v>
      </c>
      <c r="HK203" s="76">
        <v>0</v>
      </c>
      <c r="HL203" s="76">
        <v>-912</v>
      </c>
      <c r="HM203" s="76">
        <v>15337</v>
      </c>
      <c r="HN203" s="76">
        <v>16035</v>
      </c>
      <c r="HO203" s="76">
        <v>12702</v>
      </c>
      <c r="HP203" s="76">
        <v>0</v>
      </c>
      <c r="HQ203" s="76">
        <v>254</v>
      </c>
      <c r="HR203" s="76">
        <v>-13</v>
      </c>
      <c r="HS203" s="76">
        <v>19146</v>
      </c>
      <c r="HT203" s="76">
        <v>19387</v>
      </c>
      <c r="HU203" s="76">
        <v>0</v>
      </c>
      <c r="HV203" s="76">
        <v>0</v>
      </c>
      <c r="HW203" s="76">
        <v>2077</v>
      </c>
      <c r="HX203" s="76">
        <v>2077</v>
      </c>
    </row>
    <row r="204" spans="1:232" x14ac:dyDescent="0.2">
      <c r="A204" s="74" t="s">
        <v>591</v>
      </c>
      <c r="B204" s="74" t="s">
        <v>592</v>
      </c>
      <c r="C204" s="75" t="s">
        <v>200</v>
      </c>
      <c r="D204" s="75">
        <v>12</v>
      </c>
      <c r="E204" s="76">
        <v>7714</v>
      </c>
      <c r="F204" s="76">
        <v>0</v>
      </c>
      <c r="G204" s="76">
        <v>-6212</v>
      </c>
      <c r="H204" s="76">
        <v>1502</v>
      </c>
      <c r="I204" s="76">
        <v>-15</v>
      </c>
      <c r="J204" s="76">
        <v>0</v>
      </c>
      <c r="K204" s="76">
        <v>0</v>
      </c>
      <c r="L204" s="76">
        <v>0</v>
      </c>
      <c r="M204" s="76">
        <v>23</v>
      </c>
      <c r="N204" s="76">
        <v>-715</v>
      </c>
      <c r="O204" s="76">
        <v>0</v>
      </c>
      <c r="P204" s="76">
        <v>0</v>
      </c>
      <c r="Q204" s="76">
        <v>0</v>
      </c>
      <c r="R204" s="76">
        <v>0</v>
      </c>
      <c r="S204" s="76">
        <v>795</v>
      </c>
      <c r="T204" s="76">
        <v>0</v>
      </c>
      <c r="U204" s="76">
        <v>795</v>
      </c>
      <c r="V204" s="76">
        <v>0</v>
      </c>
      <c r="W204" s="76">
        <v>45</v>
      </c>
      <c r="X204" s="76">
        <v>0</v>
      </c>
      <c r="Y204" s="76">
        <v>0</v>
      </c>
      <c r="Z204" s="76">
        <v>840</v>
      </c>
      <c r="AA204" s="76">
        <v>6698</v>
      </c>
      <c r="AB204" s="76">
        <v>123</v>
      </c>
      <c r="AC204" s="76">
        <v>6821</v>
      </c>
      <c r="AD204" s="76">
        <v>567</v>
      </c>
      <c r="AE204" s="76">
        <v>1</v>
      </c>
      <c r="AF204" s="76">
        <v>0</v>
      </c>
      <c r="AG204" s="76">
        <v>14</v>
      </c>
      <c r="AH204" s="76">
        <v>7403</v>
      </c>
      <c r="AI204" s="76">
        <v>1661</v>
      </c>
      <c r="AJ204" s="76">
        <v>289</v>
      </c>
      <c r="AK204" s="76">
        <v>1231</v>
      </c>
      <c r="AL204" s="76">
        <v>499</v>
      </c>
      <c r="AM204" s="76">
        <v>0</v>
      </c>
      <c r="AN204" s="76">
        <v>59</v>
      </c>
      <c r="AO204" s="76">
        <v>2140</v>
      </c>
      <c r="AP204" s="76">
        <v>0</v>
      </c>
      <c r="AQ204" s="76">
        <v>57</v>
      </c>
      <c r="AR204" s="76">
        <v>5936</v>
      </c>
      <c r="AS204" s="76">
        <v>1467</v>
      </c>
      <c r="AT204" s="76">
        <v>32</v>
      </c>
      <c r="AU204" s="76">
        <v>66531</v>
      </c>
      <c r="AV204" s="76">
        <v>0</v>
      </c>
      <c r="AW204" s="76">
        <v>208</v>
      </c>
      <c r="AX204" s="76">
        <v>0</v>
      </c>
      <c r="AY204" s="76">
        <v>0</v>
      </c>
      <c r="AZ204" s="76">
        <v>0</v>
      </c>
      <c r="BA204" s="76">
        <v>0</v>
      </c>
      <c r="BB204" s="76">
        <v>0</v>
      </c>
      <c r="BC204" s="76">
        <v>0</v>
      </c>
      <c r="BD204" s="76">
        <v>0</v>
      </c>
      <c r="BE204" s="76">
        <v>66739</v>
      </c>
      <c r="BF204" s="76">
        <v>0</v>
      </c>
      <c r="BG204" s="76">
        <v>0</v>
      </c>
      <c r="BH204" s="76">
        <v>2790</v>
      </c>
      <c r="BI204" s="76">
        <v>1413</v>
      </c>
      <c r="BJ204" s="76">
        <v>506</v>
      </c>
      <c r="BK204" s="76">
        <v>4709</v>
      </c>
      <c r="BL204" s="76">
        <v>1434</v>
      </c>
      <c r="BM204" s="76">
        <v>0</v>
      </c>
      <c r="BN204" s="76">
        <v>502</v>
      </c>
      <c r="BO204" s="76">
        <v>1478</v>
      </c>
      <c r="BP204" s="76">
        <v>3414</v>
      </c>
      <c r="BQ204" s="76">
        <v>1295</v>
      </c>
      <c r="BR204" s="76">
        <v>68034</v>
      </c>
      <c r="BS204" s="76">
        <v>18704</v>
      </c>
      <c r="BT204" s="76">
        <v>0</v>
      </c>
      <c r="BU204" s="76">
        <v>0</v>
      </c>
      <c r="BV204" s="76">
        <v>26461</v>
      </c>
      <c r="BW204" s="76">
        <v>0</v>
      </c>
      <c r="BX204" s="76">
        <v>0</v>
      </c>
      <c r="BY204" s="76">
        <v>757</v>
      </c>
      <c r="BZ204" s="76">
        <v>45922</v>
      </c>
      <c r="CA204" s="76">
        <v>868</v>
      </c>
      <c r="CB204" s="76">
        <v>0</v>
      </c>
      <c r="CC204" s="76">
        <v>21244</v>
      </c>
      <c r="CD204" s="76">
        <v>21244</v>
      </c>
      <c r="CE204" s="76">
        <v>0</v>
      </c>
      <c r="CF204" s="76">
        <v>0</v>
      </c>
      <c r="CG204" s="76">
        <v>0</v>
      </c>
      <c r="CH204" s="76">
        <v>0</v>
      </c>
      <c r="CI204" s="76">
        <v>21244</v>
      </c>
      <c r="CJ204" s="76">
        <v>0</v>
      </c>
      <c r="CK204" s="76">
        <v>0</v>
      </c>
      <c r="CL204" s="76">
        <v>0</v>
      </c>
      <c r="CM204" s="76">
        <v>0</v>
      </c>
      <c r="CN204" s="76">
        <v>0</v>
      </c>
      <c r="CO204" s="76">
        <v>0</v>
      </c>
      <c r="CP204" s="76">
        <v>0</v>
      </c>
      <c r="CQ204" s="76">
        <v>0</v>
      </c>
      <c r="CR204" s="76">
        <v>0</v>
      </c>
      <c r="CS204" s="76">
        <v>0</v>
      </c>
      <c r="CT204" s="76">
        <v>0</v>
      </c>
      <c r="CU204" s="76">
        <v>0</v>
      </c>
      <c r="CV204" s="76">
        <v>0</v>
      </c>
      <c r="CW204" s="76">
        <v>0</v>
      </c>
      <c r="CX204" s="76">
        <v>0</v>
      </c>
      <c r="CY204" s="76">
        <v>0</v>
      </c>
      <c r="CZ204" s="76">
        <v>308</v>
      </c>
      <c r="DA204" s="76">
        <v>0</v>
      </c>
      <c r="DB204" s="76">
        <v>276</v>
      </c>
      <c r="DC204" s="76">
        <v>32</v>
      </c>
      <c r="DD204" s="76">
        <v>308</v>
      </c>
      <c r="DE204" s="76">
        <v>0</v>
      </c>
      <c r="DF204" s="76">
        <v>276</v>
      </c>
      <c r="DG204" s="76">
        <v>32</v>
      </c>
      <c r="DH204" s="76">
        <v>0</v>
      </c>
      <c r="DI204" s="76">
        <v>0</v>
      </c>
      <c r="DJ204" s="76">
        <v>0</v>
      </c>
      <c r="DK204" s="76">
        <v>0</v>
      </c>
      <c r="DL204" s="76">
        <v>0</v>
      </c>
      <c r="DM204" s="76">
        <v>0</v>
      </c>
      <c r="DN204" s="76">
        <v>0</v>
      </c>
      <c r="DO204" s="76">
        <v>0</v>
      </c>
      <c r="DP204" s="76">
        <v>0</v>
      </c>
      <c r="DQ204" s="76">
        <v>0</v>
      </c>
      <c r="DR204" s="76">
        <v>0</v>
      </c>
      <c r="DS204" s="76">
        <v>0</v>
      </c>
      <c r="DT204" s="76">
        <v>0</v>
      </c>
      <c r="DU204" s="76">
        <v>0</v>
      </c>
      <c r="DV204" s="76">
        <v>0</v>
      </c>
      <c r="DW204" s="76">
        <v>0</v>
      </c>
      <c r="DX204" s="76">
        <v>0</v>
      </c>
      <c r="DY204" s="76">
        <v>0</v>
      </c>
      <c r="DZ204" s="76">
        <v>0</v>
      </c>
      <c r="EA204" s="76">
        <v>0</v>
      </c>
      <c r="EB204" s="76">
        <v>3</v>
      </c>
      <c r="EC204" s="76">
        <v>0</v>
      </c>
      <c r="ED204" s="76">
        <v>0</v>
      </c>
      <c r="EE204" s="76">
        <v>3</v>
      </c>
      <c r="EF204" s="76">
        <v>3</v>
      </c>
      <c r="EG204" s="76">
        <v>0</v>
      </c>
      <c r="EH204" s="76">
        <v>0</v>
      </c>
      <c r="EI204" s="76">
        <v>3</v>
      </c>
      <c r="EJ204" s="76">
        <v>311</v>
      </c>
      <c r="EK204" s="76">
        <v>0</v>
      </c>
      <c r="EL204" s="76">
        <v>276</v>
      </c>
      <c r="EM204" s="76">
        <v>35</v>
      </c>
      <c r="EN204" s="76">
        <v>405</v>
      </c>
      <c r="EO204" s="76">
        <v>117</v>
      </c>
      <c r="EP204" s="76">
        <v>87</v>
      </c>
      <c r="EQ204" s="76">
        <v>117</v>
      </c>
      <c r="ER204" s="76">
        <v>75311</v>
      </c>
      <c r="ES204" s="76">
        <v>0</v>
      </c>
      <c r="ET204" s="76">
        <v>75311</v>
      </c>
      <c r="EU204" s="76">
        <v>2011</v>
      </c>
      <c r="EV204" s="76">
        <v>-440</v>
      </c>
      <c r="EW204" s="76">
        <v>0</v>
      </c>
      <c r="EX204" s="76">
        <v>0</v>
      </c>
      <c r="EY204" s="76">
        <v>0</v>
      </c>
      <c r="EZ204" s="76">
        <v>76882</v>
      </c>
      <c r="FA204" s="76">
        <v>8363</v>
      </c>
      <c r="FB204" s="76">
        <v>2205</v>
      </c>
      <c r="FC204" s="76">
        <v>0</v>
      </c>
      <c r="FD204" s="76">
        <v>0</v>
      </c>
      <c r="FE204" s="76">
        <v>-217</v>
      </c>
      <c r="FF204" s="76">
        <v>0</v>
      </c>
      <c r="FG204" s="76">
        <v>0</v>
      </c>
      <c r="FH204" s="76">
        <v>10351</v>
      </c>
      <c r="FI204" s="76">
        <v>66531</v>
      </c>
      <c r="FJ204" s="76">
        <v>66948</v>
      </c>
      <c r="FK204" s="76">
        <v>0</v>
      </c>
      <c r="FL204" s="76">
        <v>0</v>
      </c>
      <c r="FM204" s="76">
        <v>0</v>
      </c>
      <c r="FN204" s="76">
        <v>237</v>
      </c>
      <c r="FO204" s="76">
        <v>257</v>
      </c>
      <c r="FP204" s="76">
        <v>-20</v>
      </c>
      <c r="FQ204" s="76">
        <v>0</v>
      </c>
      <c r="FR204" s="76">
        <v>0</v>
      </c>
      <c r="FS204" s="76">
        <v>0</v>
      </c>
      <c r="FT204" s="76">
        <v>0</v>
      </c>
      <c r="FU204" s="76">
        <v>0</v>
      </c>
      <c r="FV204" s="76">
        <v>0</v>
      </c>
      <c r="FW204" s="76">
        <v>0</v>
      </c>
      <c r="FX204" s="76">
        <v>0</v>
      </c>
      <c r="FY204" s="76">
        <v>0</v>
      </c>
      <c r="FZ204" s="76">
        <v>5</v>
      </c>
      <c r="GA204" s="76">
        <v>0</v>
      </c>
      <c r="GB204" s="76">
        <v>5</v>
      </c>
      <c r="GC204" s="76">
        <v>242</v>
      </c>
      <c r="GD204" s="76">
        <v>257</v>
      </c>
      <c r="GE204" s="76">
        <v>-15</v>
      </c>
      <c r="GF204" s="76">
        <v>70</v>
      </c>
      <c r="GG204" s="76">
        <v>0</v>
      </c>
      <c r="GH204" s="76">
        <v>0</v>
      </c>
      <c r="GI204" s="76">
        <v>0</v>
      </c>
      <c r="GJ204" s="76">
        <v>0</v>
      </c>
      <c r="GK204" s="76">
        <v>436</v>
      </c>
      <c r="GL204" s="76">
        <v>506</v>
      </c>
      <c r="GM204" s="76">
        <v>0</v>
      </c>
      <c r="GN204" s="76">
        <v>82</v>
      </c>
      <c r="GO204" s="76">
        <v>753</v>
      </c>
      <c r="GP204" s="76">
        <v>0</v>
      </c>
      <c r="GQ204" s="76">
        <v>0</v>
      </c>
      <c r="GR204" s="76">
        <v>456</v>
      </c>
      <c r="GS204" s="76">
        <v>0</v>
      </c>
      <c r="GT204" s="76">
        <v>0</v>
      </c>
      <c r="GU204" s="76">
        <v>72</v>
      </c>
      <c r="GV204" s="76">
        <v>0</v>
      </c>
      <c r="GW204" s="76">
        <v>115</v>
      </c>
      <c r="GX204" s="76">
        <v>1478</v>
      </c>
      <c r="GY204" s="76">
        <v>0</v>
      </c>
      <c r="GZ204" s="76">
        <v>0</v>
      </c>
      <c r="HA204" s="76">
        <v>549</v>
      </c>
      <c r="HB204" s="76">
        <v>208</v>
      </c>
      <c r="HC204" s="76">
        <v>757</v>
      </c>
      <c r="HD204" s="76">
        <v>0</v>
      </c>
      <c r="HE204" s="76">
        <v>0</v>
      </c>
      <c r="HF204" s="76">
        <v>0</v>
      </c>
      <c r="HG204" s="76">
        <v>678</v>
      </c>
      <c r="HH204" s="76">
        <v>6</v>
      </c>
      <c r="HI204" s="76">
        <v>31</v>
      </c>
      <c r="HJ204" s="76">
        <v>0</v>
      </c>
      <c r="HK204" s="76">
        <v>0</v>
      </c>
      <c r="HL204" s="76">
        <v>0</v>
      </c>
      <c r="HM204" s="76">
        <v>715</v>
      </c>
      <c r="HN204" s="76">
        <v>811</v>
      </c>
      <c r="HO204" s="76">
        <v>2205</v>
      </c>
      <c r="HP204" s="76">
        <v>0</v>
      </c>
      <c r="HQ204" s="76">
        <v>23</v>
      </c>
      <c r="HR204" s="76">
        <v>-66</v>
      </c>
      <c r="HS204" s="76">
        <v>0</v>
      </c>
      <c r="HT204" s="76">
        <v>1464</v>
      </c>
      <c r="HU204" s="76">
        <v>0</v>
      </c>
      <c r="HV204" s="76">
        <v>0</v>
      </c>
      <c r="HW204" s="76">
        <v>0</v>
      </c>
      <c r="HX204" s="76">
        <v>2</v>
      </c>
    </row>
    <row r="205" spans="1:232" x14ac:dyDescent="0.2">
      <c r="A205" s="74" t="s">
        <v>595</v>
      </c>
      <c r="B205" s="74" t="s">
        <v>594</v>
      </c>
      <c r="C205" s="75" t="s">
        <v>200</v>
      </c>
      <c r="D205" s="75">
        <v>12</v>
      </c>
      <c r="E205" s="76">
        <v>33901</v>
      </c>
      <c r="F205" s="76">
        <v>0</v>
      </c>
      <c r="G205" s="76">
        <v>-25566</v>
      </c>
      <c r="H205" s="76">
        <v>8335</v>
      </c>
      <c r="I205" s="76">
        <v>1113</v>
      </c>
      <c r="J205" s="76">
        <v>0</v>
      </c>
      <c r="K205" s="76">
        <v>0</v>
      </c>
      <c r="L205" s="76">
        <v>0</v>
      </c>
      <c r="M205" s="76">
        <v>40</v>
      </c>
      <c r="N205" s="76">
        <v>-2175</v>
      </c>
      <c r="O205" s="76">
        <v>-208</v>
      </c>
      <c r="P205" s="76">
        <v>0</v>
      </c>
      <c r="Q205" s="76">
        <v>0</v>
      </c>
      <c r="R205" s="76">
        <v>0</v>
      </c>
      <c r="S205" s="76">
        <v>7105</v>
      </c>
      <c r="T205" s="76">
        <v>0</v>
      </c>
      <c r="U205" s="76">
        <v>7105</v>
      </c>
      <c r="V205" s="76">
        <v>0</v>
      </c>
      <c r="W205" s="76">
        <v>67</v>
      </c>
      <c r="X205" s="76">
        <v>0</v>
      </c>
      <c r="Y205" s="76">
        <v>0</v>
      </c>
      <c r="Z205" s="76">
        <v>7172</v>
      </c>
      <c r="AA205" s="76">
        <v>28887</v>
      </c>
      <c r="AB205" s="76">
        <v>2848</v>
      </c>
      <c r="AC205" s="76">
        <v>31735</v>
      </c>
      <c r="AD205" s="76">
        <v>10</v>
      </c>
      <c r="AE205" s="76">
        <v>0</v>
      </c>
      <c r="AF205" s="76">
        <v>0</v>
      </c>
      <c r="AG205" s="76">
        <v>0</v>
      </c>
      <c r="AH205" s="76">
        <v>31745</v>
      </c>
      <c r="AI205" s="76">
        <v>4894</v>
      </c>
      <c r="AJ205" s="76">
        <v>3930</v>
      </c>
      <c r="AK205" s="76">
        <v>5244</v>
      </c>
      <c r="AL205" s="76">
        <v>2318</v>
      </c>
      <c r="AM205" s="76">
        <v>1745</v>
      </c>
      <c r="AN205" s="76">
        <v>196</v>
      </c>
      <c r="AO205" s="76">
        <v>3145</v>
      </c>
      <c r="AP205" s="76">
        <v>0</v>
      </c>
      <c r="AQ205" s="76">
        <v>1077</v>
      </c>
      <c r="AR205" s="76">
        <v>22549</v>
      </c>
      <c r="AS205" s="76">
        <v>9196</v>
      </c>
      <c r="AT205" s="76">
        <v>125</v>
      </c>
      <c r="AU205" s="76">
        <v>186339</v>
      </c>
      <c r="AV205" s="76">
        <v>0</v>
      </c>
      <c r="AW205" s="76">
        <v>6442</v>
      </c>
      <c r="AX205" s="76">
        <v>757</v>
      </c>
      <c r="AY205" s="76">
        <v>0</v>
      </c>
      <c r="AZ205" s="76">
        <v>577</v>
      </c>
      <c r="BA205" s="76">
        <v>0</v>
      </c>
      <c r="BB205" s="76">
        <v>0</v>
      </c>
      <c r="BC205" s="76">
        <v>0</v>
      </c>
      <c r="BD205" s="76">
        <v>5</v>
      </c>
      <c r="BE205" s="76">
        <v>194120</v>
      </c>
      <c r="BF205" s="76">
        <v>0</v>
      </c>
      <c r="BG205" s="76">
        <v>2396</v>
      </c>
      <c r="BH205" s="76">
        <v>3120</v>
      </c>
      <c r="BI205" s="76">
        <v>0</v>
      </c>
      <c r="BJ205" s="76">
        <v>2036</v>
      </c>
      <c r="BK205" s="76">
        <v>7552</v>
      </c>
      <c r="BL205" s="76">
        <v>0</v>
      </c>
      <c r="BM205" s="76">
        <v>0</v>
      </c>
      <c r="BN205" s="76">
        <v>2642</v>
      </c>
      <c r="BO205" s="76">
        <v>5223</v>
      </c>
      <c r="BP205" s="76">
        <v>7865</v>
      </c>
      <c r="BQ205" s="76">
        <v>-313</v>
      </c>
      <c r="BR205" s="76">
        <v>193807</v>
      </c>
      <c r="BS205" s="76">
        <v>57583</v>
      </c>
      <c r="BT205" s="76">
        <v>0</v>
      </c>
      <c r="BU205" s="76">
        <v>0</v>
      </c>
      <c r="BV205" s="76">
        <v>263</v>
      </c>
      <c r="BW205" s="76">
        <v>0</v>
      </c>
      <c r="BX205" s="76">
        <v>0</v>
      </c>
      <c r="BY205" s="76">
        <v>1036</v>
      </c>
      <c r="BZ205" s="76">
        <v>58882</v>
      </c>
      <c r="CA205" s="76">
        <v>370</v>
      </c>
      <c r="CB205" s="76">
        <v>0</v>
      </c>
      <c r="CC205" s="76">
        <v>134555</v>
      </c>
      <c r="CD205" s="76">
        <v>83862</v>
      </c>
      <c r="CE205" s="76">
        <v>49443</v>
      </c>
      <c r="CF205" s="76">
        <v>1247</v>
      </c>
      <c r="CG205" s="76">
        <v>0</v>
      </c>
      <c r="CH205" s="76">
        <v>3</v>
      </c>
      <c r="CI205" s="76">
        <v>134555</v>
      </c>
      <c r="CJ205" s="76">
        <v>0</v>
      </c>
      <c r="CK205" s="76">
        <v>0</v>
      </c>
      <c r="CL205" s="76">
        <v>0</v>
      </c>
      <c r="CM205" s="76">
        <v>0</v>
      </c>
      <c r="CN205" s="76">
        <v>0</v>
      </c>
      <c r="CO205" s="76">
        <v>0</v>
      </c>
      <c r="CP205" s="76">
        <v>0</v>
      </c>
      <c r="CQ205" s="76">
        <v>0</v>
      </c>
      <c r="CR205" s="76">
        <v>0</v>
      </c>
      <c r="CS205" s="76">
        <v>0</v>
      </c>
      <c r="CT205" s="76">
        <v>549</v>
      </c>
      <c r="CU205" s="76">
        <v>-549</v>
      </c>
      <c r="CV205" s="76">
        <v>0</v>
      </c>
      <c r="CW205" s="76">
        <v>0</v>
      </c>
      <c r="CX205" s="76">
        <v>0</v>
      </c>
      <c r="CY205" s="76">
        <v>0</v>
      </c>
      <c r="CZ205" s="76">
        <v>861</v>
      </c>
      <c r="DA205" s="76">
        <v>0</v>
      </c>
      <c r="DB205" s="76">
        <v>930</v>
      </c>
      <c r="DC205" s="76">
        <v>-69</v>
      </c>
      <c r="DD205" s="76">
        <v>861</v>
      </c>
      <c r="DE205" s="76">
        <v>0</v>
      </c>
      <c r="DF205" s="76">
        <v>1479</v>
      </c>
      <c r="DG205" s="76">
        <v>-618</v>
      </c>
      <c r="DH205" s="76">
        <v>0</v>
      </c>
      <c r="DI205" s="76">
        <v>0</v>
      </c>
      <c r="DJ205" s="76">
        <v>0</v>
      </c>
      <c r="DK205" s="76">
        <v>0</v>
      </c>
      <c r="DL205" s="76">
        <v>0</v>
      </c>
      <c r="DM205" s="76">
        <v>0</v>
      </c>
      <c r="DN205" s="76">
        <v>0</v>
      </c>
      <c r="DO205" s="76">
        <v>0</v>
      </c>
      <c r="DP205" s="76">
        <v>0</v>
      </c>
      <c r="DQ205" s="76">
        <v>0</v>
      </c>
      <c r="DR205" s="76">
        <v>0</v>
      </c>
      <c r="DS205" s="76">
        <v>0</v>
      </c>
      <c r="DT205" s="76">
        <v>0</v>
      </c>
      <c r="DU205" s="76">
        <v>0</v>
      </c>
      <c r="DV205" s="76">
        <v>0</v>
      </c>
      <c r="DW205" s="76">
        <v>0</v>
      </c>
      <c r="DX205" s="76">
        <v>0</v>
      </c>
      <c r="DY205" s="76">
        <v>0</v>
      </c>
      <c r="DZ205" s="76">
        <v>0</v>
      </c>
      <c r="EA205" s="76">
        <v>0</v>
      </c>
      <c r="EB205" s="76">
        <v>1295</v>
      </c>
      <c r="EC205" s="76">
        <v>0</v>
      </c>
      <c r="ED205" s="76">
        <v>1538</v>
      </c>
      <c r="EE205" s="76">
        <v>-243</v>
      </c>
      <c r="EF205" s="76">
        <v>1295</v>
      </c>
      <c r="EG205" s="76">
        <v>0</v>
      </c>
      <c r="EH205" s="76">
        <v>1538</v>
      </c>
      <c r="EI205" s="76">
        <v>-243</v>
      </c>
      <c r="EJ205" s="76">
        <v>2156</v>
      </c>
      <c r="EK205" s="76">
        <v>0</v>
      </c>
      <c r="EL205" s="76">
        <v>3017</v>
      </c>
      <c r="EM205" s="76">
        <v>-861</v>
      </c>
      <c r="EN205" s="76">
        <v>1686</v>
      </c>
      <c r="EO205" s="76">
        <v>359</v>
      </c>
      <c r="EP205" s="76">
        <v>906</v>
      </c>
      <c r="EQ205" s="76">
        <v>359</v>
      </c>
      <c r="ER205" s="76">
        <v>179900</v>
      </c>
      <c r="ES205" s="76">
        <v>0</v>
      </c>
      <c r="ET205" s="76">
        <v>179900</v>
      </c>
      <c r="EU205" s="76">
        <v>16016</v>
      </c>
      <c r="EV205" s="76">
        <v>-468</v>
      </c>
      <c r="EW205" s="76">
        <v>0</v>
      </c>
      <c r="EX205" s="76">
        <v>0</v>
      </c>
      <c r="EY205" s="76">
        <v>245</v>
      </c>
      <c r="EZ205" s="76">
        <v>195693</v>
      </c>
      <c r="FA205" s="76">
        <v>6274</v>
      </c>
      <c r="FB205" s="76">
        <v>3145</v>
      </c>
      <c r="FC205" s="76">
        <v>0</v>
      </c>
      <c r="FD205" s="76">
        <v>0</v>
      </c>
      <c r="FE205" s="76">
        <v>-65</v>
      </c>
      <c r="FF205" s="76">
        <v>0</v>
      </c>
      <c r="FG205" s="76">
        <v>0</v>
      </c>
      <c r="FH205" s="76">
        <v>9354</v>
      </c>
      <c r="FI205" s="76">
        <v>186339</v>
      </c>
      <c r="FJ205" s="76">
        <v>173626</v>
      </c>
      <c r="FK205" s="76">
        <v>0</v>
      </c>
      <c r="FL205" s="76">
        <v>0</v>
      </c>
      <c r="FM205" s="76">
        <v>0</v>
      </c>
      <c r="FN205" s="76">
        <v>1590</v>
      </c>
      <c r="FO205" s="76">
        <v>477</v>
      </c>
      <c r="FP205" s="76">
        <v>1113</v>
      </c>
      <c r="FQ205" s="76">
        <v>0</v>
      </c>
      <c r="FR205" s="76">
        <v>0</v>
      </c>
      <c r="FS205" s="76">
        <v>0</v>
      </c>
      <c r="FT205" s="76">
        <v>0</v>
      </c>
      <c r="FU205" s="76">
        <v>0</v>
      </c>
      <c r="FV205" s="76">
        <v>0</v>
      </c>
      <c r="FW205" s="76">
        <v>0</v>
      </c>
      <c r="FX205" s="76">
        <v>0</v>
      </c>
      <c r="FY205" s="76">
        <v>0</v>
      </c>
      <c r="FZ205" s="76">
        <v>0</v>
      </c>
      <c r="GA205" s="76">
        <v>0</v>
      </c>
      <c r="GB205" s="76">
        <v>0</v>
      </c>
      <c r="GC205" s="76">
        <v>1590</v>
      </c>
      <c r="GD205" s="76">
        <v>477</v>
      </c>
      <c r="GE205" s="76">
        <v>1113</v>
      </c>
      <c r="GF205" s="76">
        <v>68</v>
      </c>
      <c r="GG205" s="76">
        <v>0</v>
      </c>
      <c r="GH205" s="76">
        <v>0</v>
      </c>
      <c r="GI205" s="76">
        <v>0</v>
      </c>
      <c r="GJ205" s="76">
        <v>0</v>
      </c>
      <c r="GK205" s="76">
        <v>1968</v>
      </c>
      <c r="GL205" s="76">
        <v>2036</v>
      </c>
      <c r="GM205" s="76">
        <v>1068</v>
      </c>
      <c r="GN205" s="76">
        <v>1143</v>
      </c>
      <c r="GO205" s="76">
        <v>0</v>
      </c>
      <c r="GP205" s="76">
        <v>0</v>
      </c>
      <c r="GQ205" s="76">
        <v>0</v>
      </c>
      <c r="GR205" s="76">
        <v>2509</v>
      </c>
      <c r="GS205" s="76">
        <v>0</v>
      </c>
      <c r="GT205" s="76">
        <v>0</v>
      </c>
      <c r="GU205" s="76">
        <v>0</v>
      </c>
      <c r="GV205" s="76">
        <v>0</v>
      </c>
      <c r="GW205" s="76">
        <v>503</v>
      </c>
      <c r="GX205" s="76">
        <v>5223</v>
      </c>
      <c r="GY205" s="76">
        <v>0</v>
      </c>
      <c r="GZ205" s="76">
        <v>741</v>
      </c>
      <c r="HA205" s="76">
        <v>138</v>
      </c>
      <c r="HB205" s="76">
        <v>157</v>
      </c>
      <c r="HC205" s="76">
        <v>1036</v>
      </c>
      <c r="HD205" s="76">
        <v>0</v>
      </c>
      <c r="HE205" s="76">
        <v>0</v>
      </c>
      <c r="HF205" s="76">
        <v>0</v>
      </c>
      <c r="HG205" s="76">
        <v>2256</v>
      </c>
      <c r="HH205" s="76">
        <v>33</v>
      </c>
      <c r="HI205" s="76">
        <v>13</v>
      </c>
      <c r="HJ205" s="76">
        <v>0</v>
      </c>
      <c r="HK205" s="76">
        <v>2</v>
      </c>
      <c r="HL205" s="76">
        <v>-129</v>
      </c>
      <c r="HM205" s="76">
        <v>2175</v>
      </c>
      <c r="HN205" s="76">
        <v>6538</v>
      </c>
      <c r="HO205" s="76">
        <v>3879</v>
      </c>
      <c r="HP205" s="76">
        <v>0</v>
      </c>
      <c r="HQ205" s="76">
        <v>0</v>
      </c>
      <c r="HR205" s="76">
        <v>-12</v>
      </c>
      <c r="HS205" s="76">
        <v>0</v>
      </c>
      <c r="HT205" s="76">
        <v>5357</v>
      </c>
      <c r="HU205" s="76">
        <v>0</v>
      </c>
      <c r="HV205" s="76">
        <v>0</v>
      </c>
      <c r="HW205" s="76">
        <v>0</v>
      </c>
      <c r="HX205" s="76">
        <v>0</v>
      </c>
    </row>
    <row r="206" spans="1:232" x14ac:dyDescent="0.2">
      <c r="A206" s="74" t="s">
        <v>143</v>
      </c>
      <c r="B206" s="74" t="s">
        <v>142</v>
      </c>
      <c r="C206" s="75" t="s">
        <v>200</v>
      </c>
      <c r="D206" s="75">
        <v>12</v>
      </c>
      <c r="E206" s="76">
        <v>7572</v>
      </c>
      <c r="F206" s="76">
        <v>0</v>
      </c>
      <c r="G206" s="76">
        <v>-5746</v>
      </c>
      <c r="H206" s="76">
        <v>1826</v>
      </c>
      <c r="I206" s="76">
        <v>0</v>
      </c>
      <c r="J206" s="76">
        <v>0</v>
      </c>
      <c r="K206" s="76">
        <v>29</v>
      </c>
      <c r="L206" s="76">
        <v>0</v>
      </c>
      <c r="M206" s="76">
        <v>101</v>
      </c>
      <c r="N206" s="76">
        <v>-368</v>
      </c>
      <c r="O206" s="76">
        <v>0</v>
      </c>
      <c r="P206" s="76">
        <v>74</v>
      </c>
      <c r="Q206" s="76">
        <v>0</v>
      </c>
      <c r="R206" s="76">
        <v>0</v>
      </c>
      <c r="S206" s="76">
        <v>1662</v>
      </c>
      <c r="T206" s="76">
        <v>0</v>
      </c>
      <c r="U206" s="76">
        <v>1662</v>
      </c>
      <c r="V206" s="76">
        <v>0</v>
      </c>
      <c r="W206" s="76">
        <v>-138</v>
      </c>
      <c r="X206" s="76">
        <v>0</v>
      </c>
      <c r="Y206" s="76">
        <v>0</v>
      </c>
      <c r="Z206" s="76">
        <v>1524</v>
      </c>
      <c r="AA206" s="76">
        <v>5566</v>
      </c>
      <c r="AB206" s="76">
        <v>1463</v>
      </c>
      <c r="AC206" s="76">
        <v>7029</v>
      </c>
      <c r="AD206" s="76">
        <v>315</v>
      </c>
      <c r="AE206" s="76">
        <v>0</v>
      </c>
      <c r="AF206" s="76">
        <v>151</v>
      </c>
      <c r="AG206" s="76">
        <v>0</v>
      </c>
      <c r="AH206" s="76">
        <v>7495</v>
      </c>
      <c r="AI206" s="76">
        <v>1659</v>
      </c>
      <c r="AJ206" s="76">
        <v>1260</v>
      </c>
      <c r="AK206" s="76">
        <v>688</v>
      </c>
      <c r="AL206" s="76">
        <v>623</v>
      </c>
      <c r="AM206" s="76">
        <v>331</v>
      </c>
      <c r="AN206" s="76">
        <v>7</v>
      </c>
      <c r="AO206" s="76">
        <v>1109</v>
      </c>
      <c r="AP206" s="76">
        <v>0</v>
      </c>
      <c r="AQ206" s="76">
        <v>77</v>
      </c>
      <c r="AR206" s="76">
        <v>5754</v>
      </c>
      <c r="AS206" s="76">
        <v>1741</v>
      </c>
      <c r="AT206" s="76">
        <v>35</v>
      </c>
      <c r="AU206" s="76">
        <v>60444</v>
      </c>
      <c r="AV206" s="76">
        <v>0</v>
      </c>
      <c r="AW206" s="76">
        <v>884</v>
      </c>
      <c r="AX206" s="76">
        <v>0</v>
      </c>
      <c r="AY206" s="76">
        <v>0</v>
      </c>
      <c r="AZ206" s="76">
        <v>0</v>
      </c>
      <c r="BA206" s="76">
        <v>0</v>
      </c>
      <c r="BB206" s="76">
        <v>0</v>
      </c>
      <c r="BC206" s="76">
        <v>0</v>
      </c>
      <c r="BD206" s="76">
        <v>0</v>
      </c>
      <c r="BE206" s="76">
        <v>61328</v>
      </c>
      <c r="BF206" s="76">
        <v>0</v>
      </c>
      <c r="BG206" s="76">
        <v>712</v>
      </c>
      <c r="BH206" s="76">
        <v>12890</v>
      </c>
      <c r="BI206" s="76">
        <v>910</v>
      </c>
      <c r="BJ206" s="76">
        <v>0</v>
      </c>
      <c r="BK206" s="76">
        <v>14512</v>
      </c>
      <c r="BL206" s="76">
        <v>484</v>
      </c>
      <c r="BM206" s="76">
        <v>0</v>
      </c>
      <c r="BN206" s="76">
        <v>323</v>
      </c>
      <c r="BO206" s="76">
        <v>1975</v>
      </c>
      <c r="BP206" s="76">
        <v>2782</v>
      </c>
      <c r="BQ206" s="76">
        <v>11730</v>
      </c>
      <c r="BR206" s="76">
        <v>73058</v>
      </c>
      <c r="BS206" s="76">
        <v>15845</v>
      </c>
      <c r="BT206" s="76">
        <v>0</v>
      </c>
      <c r="BU206" s="76">
        <v>0</v>
      </c>
      <c r="BV206" s="76">
        <v>30875</v>
      </c>
      <c r="BW206" s="76">
        <v>0</v>
      </c>
      <c r="BX206" s="76">
        <v>0</v>
      </c>
      <c r="BY206" s="76">
        <v>120</v>
      </c>
      <c r="BZ206" s="76">
        <v>46840</v>
      </c>
      <c r="CA206" s="76">
        <v>596</v>
      </c>
      <c r="CB206" s="76">
        <v>0</v>
      </c>
      <c r="CC206" s="76">
        <v>25622</v>
      </c>
      <c r="CD206" s="76">
        <v>25483</v>
      </c>
      <c r="CE206" s="76">
        <v>139</v>
      </c>
      <c r="CF206" s="76">
        <v>0</v>
      </c>
      <c r="CG206" s="76">
        <v>0</v>
      </c>
      <c r="CH206" s="76">
        <v>0</v>
      </c>
      <c r="CI206" s="76">
        <v>25622</v>
      </c>
      <c r="CJ206" s="76">
        <v>0</v>
      </c>
      <c r="CK206" s="76">
        <v>0</v>
      </c>
      <c r="CL206" s="76">
        <v>0</v>
      </c>
      <c r="CM206" s="76">
        <v>0</v>
      </c>
      <c r="CN206" s="76">
        <v>0</v>
      </c>
      <c r="CO206" s="76">
        <v>0</v>
      </c>
      <c r="CP206" s="76">
        <v>0</v>
      </c>
      <c r="CQ206" s="76">
        <v>0</v>
      </c>
      <c r="CR206" s="76">
        <v>0</v>
      </c>
      <c r="CS206" s="76">
        <v>0</v>
      </c>
      <c r="CT206" s="76">
        <v>0</v>
      </c>
      <c r="CU206" s="76">
        <v>0</v>
      </c>
      <c r="CV206" s="76">
        <v>0</v>
      </c>
      <c r="CW206" s="76">
        <v>0</v>
      </c>
      <c r="CX206" s="76">
        <v>0</v>
      </c>
      <c r="CY206" s="76">
        <v>0</v>
      </c>
      <c r="CZ206" s="76">
        <v>77</v>
      </c>
      <c r="DA206" s="76">
        <v>0</v>
      </c>
      <c r="DB206" s="76">
        <v>-8</v>
      </c>
      <c r="DC206" s="76">
        <v>85</v>
      </c>
      <c r="DD206" s="76">
        <v>77</v>
      </c>
      <c r="DE206" s="76">
        <v>0</v>
      </c>
      <c r="DF206" s="76">
        <v>-8</v>
      </c>
      <c r="DG206" s="76">
        <v>85</v>
      </c>
      <c r="DH206" s="76">
        <v>0</v>
      </c>
      <c r="DI206" s="76">
        <v>0</v>
      </c>
      <c r="DJ206" s="76">
        <v>0</v>
      </c>
      <c r="DK206" s="76">
        <v>0</v>
      </c>
      <c r="DL206" s="76">
        <v>0</v>
      </c>
      <c r="DM206" s="76">
        <v>0</v>
      </c>
      <c r="DN206" s="76">
        <v>0</v>
      </c>
      <c r="DO206" s="76">
        <v>0</v>
      </c>
      <c r="DP206" s="76">
        <v>0</v>
      </c>
      <c r="DQ206" s="76">
        <v>0</v>
      </c>
      <c r="DR206" s="76">
        <v>0</v>
      </c>
      <c r="DS206" s="76">
        <v>0</v>
      </c>
      <c r="DT206" s="76">
        <v>0</v>
      </c>
      <c r="DU206" s="76">
        <v>0</v>
      </c>
      <c r="DV206" s="76">
        <v>0</v>
      </c>
      <c r="DW206" s="76">
        <v>0</v>
      </c>
      <c r="DX206" s="76">
        <v>0</v>
      </c>
      <c r="DY206" s="76">
        <v>0</v>
      </c>
      <c r="DZ206" s="76">
        <v>0</v>
      </c>
      <c r="EA206" s="76">
        <v>0</v>
      </c>
      <c r="EB206" s="76">
        <v>0</v>
      </c>
      <c r="EC206" s="76">
        <v>0</v>
      </c>
      <c r="ED206" s="76">
        <v>0</v>
      </c>
      <c r="EE206" s="76">
        <v>0</v>
      </c>
      <c r="EF206" s="76">
        <v>0</v>
      </c>
      <c r="EG206" s="76">
        <v>0</v>
      </c>
      <c r="EH206" s="76">
        <v>0</v>
      </c>
      <c r="EI206" s="76">
        <v>0</v>
      </c>
      <c r="EJ206" s="76">
        <v>77</v>
      </c>
      <c r="EK206" s="76">
        <v>0</v>
      </c>
      <c r="EL206" s="76">
        <v>-8</v>
      </c>
      <c r="EM206" s="76">
        <v>85</v>
      </c>
      <c r="EN206" s="76">
        <v>33</v>
      </c>
      <c r="EO206" s="76">
        <v>9</v>
      </c>
      <c r="EP206" s="76">
        <v>0</v>
      </c>
      <c r="EQ206" s="76">
        <v>6</v>
      </c>
      <c r="ER206" s="76">
        <v>66233</v>
      </c>
      <c r="ES206" s="76">
        <v>0</v>
      </c>
      <c r="ET206" s="76">
        <v>66233</v>
      </c>
      <c r="EU206" s="76">
        <v>6312</v>
      </c>
      <c r="EV206" s="76">
        <v>-379</v>
      </c>
      <c r="EW206" s="76">
        <v>0</v>
      </c>
      <c r="EX206" s="76">
        <v>0</v>
      </c>
      <c r="EY206" s="76">
        <v>0</v>
      </c>
      <c r="EZ206" s="76">
        <v>72166</v>
      </c>
      <c r="FA206" s="76">
        <v>10992</v>
      </c>
      <c r="FB206" s="76">
        <v>1109</v>
      </c>
      <c r="FC206" s="76">
        <v>0</v>
      </c>
      <c r="FD206" s="76">
        <v>0</v>
      </c>
      <c r="FE206" s="76">
        <v>-379</v>
      </c>
      <c r="FF206" s="76">
        <v>0</v>
      </c>
      <c r="FG206" s="76">
        <v>0</v>
      </c>
      <c r="FH206" s="76">
        <v>11722</v>
      </c>
      <c r="FI206" s="76">
        <v>60444</v>
      </c>
      <c r="FJ206" s="76">
        <v>55241</v>
      </c>
      <c r="FK206" s="76">
        <v>0</v>
      </c>
      <c r="FL206" s="76">
        <v>0</v>
      </c>
      <c r="FM206" s="76">
        <v>0</v>
      </c>
      <c r="FN206" s="76">
        <v>0</v>
      </c>
      <c r="FO206" s="76">
        <v>0</v>
      </c>
      <c r="FP206" s="76">
        <v>0</v>
      </c>
      <c r="FQ206" s="76">
        <v>0</v>
      </c>
      <c r="FR206" s="76">
        <v>0</v>
      </c>
      <c r="FS206" s="76">
        <v>0</v>
      </c>
      <c r="FT206" s="76">
        <v>0</v>
      </c>
      <c r="FU206" s="76">
        <v>0</v>
      </c>
      <c r="FV206" s="76">
        <v>0</v>
      </c>
      <c r="FW206" s="76">
        <v>0</v>
      </c>
      <c r="FX206" s="76">
        <v>0</v>
      </c>
      <c r="FY206" s="76">
        <v>0</v>
      </c>
      <c r="FZ206" s="76">
        <v>0</v>
      </c>
      <c r="GA206" s="76">
        <v>0</v>
      </c>
      <c r="GB206" s="76">
        <v>0</v>
      </c>
      <c r="GC206" s="76">
        <v>0</v>
      </c>
      <c r="GD206" s="76">
        <v>0</v>
      </c>
      <c r="GE206" s="76">
        <v>0</v>
      </c>
      <c r="GF206" s="76">
        <v>0</v>
      </c>
      <c r="GG206" s="76">
        <v>0</v>
      </c>
      <c r="GH206" s="76">
        <v>0</v>
      </c>
      <c r="GI206" s="76">
        <v>0</v>
      </c>
      <c r="GJ206" s="76">
        <v>0</v>
      </c>
      <c r="GK206" s="76">
        <v>0</v>
      </c>
      <c r="GL206" s="76">
        <v>0</v>
      </c>
      <c r="GM206" s="76">
        <v>1620</v>
      </c>
      <c r="GN206" s="76">
        <v>97</v>
      </c>
      <c r="GO206" s="76">
        <v>0</v>
      </c>
      <c r="GP206" s="76">
        <v>0</v>
      </c>
      <c r="GQ206" s="76">
        <v>0</v>
      </c>
      <c r="GR206" s="76">
        <v>89</v>
      </c>
      <c r="GS206" s="76">
        <v>0</v>
      </c>
      <c r="GT206" s="76">
        <v>0</v>
      </c>
      <c r="GU206" s="76">
        <v>0</v>
      </c>
      <c r="GV206" s="76">
        <v>0</v>
      </c>
      <c r="GW206" s="76">
        <v>169</v>
      </c>
      <c r="GX206" s="76">
        <v>1975</v>
      </c>
      <c r="GY206" s="76">
        <v>0</v>
      </c>
      <c r="GZ206" s="76">
        <v>0</v>
      </c>
      <c r="HA206" s="76">
        <v>0</v>
      </c>
      <c r="HB206" s="76">
        <v>120</v>
      </c>
      <c r="HC206" s="76">
        <v>120</v>
      </c>
      <c r="HD206" s="76">
        <v>0</v>
      </c>
      <c r="HE206" s="76">
        <v>0</v>
      </c>
      <c r="HF206" s="76">
        <v>0</v>
      </c>
      <c r="HG206" s="76">
        <v>338</v>
      </c>
      <c r="HH206" s="76">
        <v>15</v>
      </c>
      <c r="HI206" s="76">
        <v>15</v>
      </c>
      <c r="HJ206" s="76">
        <v>0</v>
      </c>
      <c r="HK206" s="76">
        <v>0</v>
      </c>
      <c r="HL206" s="76">
        <v>0</v>
      </c>
      <c r="HM206" s="76">
        <v>368</v>
      </c>
      <c r="HN206" s="76">
        <v>935</v>
      </c>
      <c r="HO206" s="76">
        <v>1163</v>
      </c>
      <c r="HP206" s="76">
        <v>0</v>
      </c>
      <c r="HQ206" s="76">
        <v>17</v>
      </c>
      <c r="HR206" s="76">
        <v>0</v>
      </c>
      <c r="HS206" s="76">
        <v>0</v>
      </c>
      <c r="HT206" s="76">
        <v>1278</v>
      </c>
      <c r="HU206" s="76">
        <v>0</v>
      </c>
      <c r="HV206" s="76">
        <v>0</v>
      </c>
      <c r="HW206" s="76">
        <v>0</v>
      </c>
      <c r="HX206" s="76">
        <v>0</v>
      </c>
    </row>
    <row r="207" spans="1:232" x14ac:dyDescent="0.2">
      <c r="A207" s="74" t="s">
        <v>596</v>
      </c>
      <c r="B207" s="74" t="s">
        <v>597</v>
      </c>
      <c r="C207" s="75" t="s">
        <v>200</v>
      </c>
      <c r="D207" s="75">
        <v>12</v>
      </c>
      <c r="E207" s="76">
        <v>8929</v>
      </c>
      <c r="F207" s="76">
        <v>0</v>
      </c>
      <c r="G207" s="76">
        <v>-5943</v>
      </c>
      <c r="H207" s="76">
        <v>2986</v>
      </c>
      <c r="I207" s="76">
        <v>28</v>
      </c>
      <c r="J207" s="76">
        <v>0</v>
      </c>
      <c r="K207" s="76">
        <v>0</v>
      </c>
      <c r="L207" s="76">
        <v>0</v>
      </c>
      <c r="M207" s="76">
        <v>23</v>
      </c>
      <c r="N207" s="76">
        <v>-651</v>
      </c>
      <c r="O207" s="76">
        <v>-371</v>
      </c>
      <c r="P207" s="76">
        <v>0</v>
      </c>
      <c r="Q207" s="76">
        <v>0</v>
      </c>
      <c r="R207" s="76">
        <v>0</v>
      </c>
      <c r="S207" s="76">
        <v>2015</v>
      </c>
      <c r="T207" s="76">
        <v>-556</v>
      </c>
      <c r="U207" s="76">
        <v>1459</v>
      </c>
      <c r="V207" s="76">
        <v>0</v>
      </c>
      <c r="W207" s="76">
        <v>0</v>
      </c>
      <c r="X207" s="76">
        <v>0</v>
      </c>
      <c r="Y207" s="76">
        <v>0</v>
      </c>
      <c r="Z207" s="76">
        <v>1459</v>
      </c>
      <c r="AA207" s="76">
        <v>6833</v>
      </c>
      <c r="AB207" s="76">
        <v>551</v>
      </c>
      <c r="AC207" s="76">
        <v>7384</v>
      </c>
      <c r="AD207" s="76">
        <v>552</v>
      </c>
      <c r="AE207" s="76">
        <v>0</v>
      </c>
      <c r="AF207" s="76">
        <v>0</v>
      </c>
      <c r="AG207" s="76">
        <v>14</v>
      </c>
      <c r="AH207" s="76">
        <v>7950</v>
      </c>
      <c r="AI207" s="76">
        <v>1158</v>
      </c>
      <c r="AJ207" s="76">
        <v>435</v>
      </c>
      <c r="AK207" s="76">
        <v>1547</v>
      </c>
      <c r="AL207" s="76">
        <v>0</v>
      </c>
      <c r="AM207" s="76">
        <v>1063</v>
      </c>
      <c r="AN207" s="76">
        <v>62</v>
      </c>
      <c r="AO207" s="76">
        <v>1079</v>
      </c>
      <c r="AP207" s="76">
        <v>0</v>
      </c>
      <c r="AQ207" s="76">
        <v>5</v>
      </c>
      <c r="AR207" s="76">
        <v>5349</v>
      </c>
      <c r="AS207" s="76">
        <v>2601</v>
      </c>
      <c r="AT207" s="76">
        <v>102</v>
      </c>
      <c r="AU207" s="76">
        <v>62846</v>
      </c>
      <c r="AV207" s="76">
        <v>0</v>
      </c>
      <c r="AW207" s="76">
        <v>780</v>
      </c>
      <c r="AX207" s="76">
        <v>0</v>
      </c>
      <c r="AY207" s="76">
        <v>0</v>
      </c>
      <c r="AZ207" s="76">
        <v>4925</v>
      </c>
      <c r="BA207" s="76">
        <v>0</v>
      </c>
      <c r="BB207" s="76">
        <v>0</v>
      </c>
      <c r="BC207" s="76">
        <v>0</v>
      </c>
      <c r="BD207" s="76">
        <v>0</v>
      </c>
      <c r="BE207" s="76">
        <v>68551</v>
      </c>
      <c r="BF207" s="76">
        <v>0</v>
      </c>
      <c r="BG207" s="76">
        <v>263</v>
      </c>
      <c r="BH207" s="76">
        <v>8403</v>
      </c>
      <c r="BI207" s="76">
        <v>0</v>
      </c>
      <c r="BJ207" s="76">
        <v>198</v>
      </c>
      <c r="BK207" s="76">
        <v>8864</v>
      </c>
      <c r="BL207" s="76">
        <v>1764</v>
      </c>
      <c r="BM207" s="76">
        <v>0</v>
      </c>
      <c r="BN207" s="76">
        <v>546</v>
      </c>
      <c r="BO207" s="76">
        <v>2624</v>
      </c>
      <c r="BP207" s="76">
        <v>4934</v>
      </c>
      <c r="BQ207" s="76">
        <v>3930</v>
      </c>
      <c r="BR207" s="76">
        <v>72481</v>
      </c>
      <c r="BS207" s="76">
        <v>16880</v>
      </c>
      <c r="BT207" s="76">
        <v>0</v>
      </c>
      <c r="BU207" s="76">
        <v>0</v>
      </c>
      <c r="BV207" s="76">
        <v>41636</v>
      </c>
      <c r="BW207" s="76">
        <v>0</v>
      </c>
      <c r="BX207" s="76">
        <v>0</v>
      </c>
      <c r="BY207" s="76">
        <v>1531</v>
      </c>
      <c r="BZ207" s="76">
        <v>60047</v>
      </c>
      <c r="CA207" s="76">
        <v>0</v>
      </c>
      <c r="CB207" s="76">
        <v>521</v>
      </c>
      <c r="CC207" s="76">
        <v>11913</v>
      </c>
      <c r="CD207" s="76">
        <v>11913</v>
      </c>
      <c r="CE207" s="76">
        <v>0</v>
      </c>
      <c r="CF207" s="76">
        <v>0</v>
      </c>
      <c r="CG207" s="76">
        <v>0</v>
      </c>
      <c r="CH207" s="76">
        <v>0</v>
      </c>
      <c r="CI207" s="76">
        <v>11913</v>
      </c>
      <c r="CJ207" s="76">
        <v>0</v>
      </c>
      <c r="CK207" s="76">
        <v>0</v>
      </c>
      <c r="CL207" s="76">
        <v>0</v>
      </c>
      <c r="CM207" s="76">
        <v>0</v>
      </c>
      <c r="CN207" s="76">
        <v>0</v>
      </c>
      <c r="CO207" s="76">
        <v>0</v>
      </c>
      <c r="CP207" s="76">
        <v>0</v>
      </c>
      <c r="CQ207" s="76">
        <v>0</v>
      </c>
      <c r="CR207" s="76">
        <v>0</v>
      </c>
      <c r="CS207" s="76">
        <v>0</v>
      </c>
      <c r="CT207" s="76">
        <v>0</v>
      </c>
      <c r="CU207" s="76">
        <v>0</v>
      </c>
      <c r="CV207" s="76">
        <v>0</v>
      </c>
      <c r="CW207" s="76">
        <v>0</v>
      </c>
      <c r="CX207" s="76">
        <v>0</v>
      </c>
      <c r="CY207" s="76">
        <v>0</v>
      </c>
      <c r="CZ207" s="76">
        <v>0</v>
      </c>
      <c r="DA207" s="76">
        <v>0</v>
      </c>
      <c r="DB207" s="76">
        <v>0</v>
      </c>
      <c r="DC207" s="76">
        <v>0</v>
      </c>
      <c r="DD207" s="76">
        <v>0</v>
      </c>
      <c r="DE207" s="76">
        <v>0</v>
      </c>
      <c r="DF207" s="76">
        <v>0</v>
      </c>
      <c r="DG207" s="76">
        <v>0</v>
      </c>
      <c r="DH207" s="76">
        <v>0</v>
      </c>
      <c r="DI207" s="76">
        <v>0</v>
      </c>
      <c r="DJ207" s="76">
        <v>0</v>
      </c>
      <c r="DK207" s="76">
        <v>0</v>
      </c>
      <c r="DL207" s="76">
        <v>268</v>
      </c>
      <c r="DM207" s="76">
        <v>0</v>
      </c>
      <c r="DN207" s="76">
        <v>216</v>
      </c>
      <c r="DO207" s="76">
        <v>52</v>
      </c>
      <c r="DP207" s="76">
        <v>0</v>
      </c>
      <c r="DQ207" s="76">
        <v>0</v>
      </c>
      <c r="DR207" s="76">
        <v>0</v>
      </c>
      <c r="DS207" s="76">
        <v>0</v>
      </c>
      <c r="DT207" s="76">
        <v>0</v>
      </c>
      <c r="DU207" s="76">
        <v>0</v>
      </c>
      <c r="DV207" s="76">
        <v>0</v>
      </c>
      <c r="DW207" s="76">
        <v>0</v>
      </c>
      <c r="DX207" s="76">
        <v>0</v>
      </c>
      <c r="DY207" s="76">
        <v>0</v>
      </c>
      <c r="DZ207" s="76">
        <v>0</v>
      </c>
      <c r="EA207" s="76">
        <v>0</v>
      </c>
      <c r="EB207" s="76">
        <v>710</v>
      </c>
      <c r="EC207" s="76">
        <v>0</v>
      </c>
      <c r="ED207" s="76">
        <v>377</v>
      </c>
      <c r="EE207" s="76">
        <v>333</v>
      </c>
      <c r="EF207" s="76">
        <v>978</v>
      </c>
      <c r="EG207" s="76">
        <v>0</v>
      </c>
      <c r="EH207" s="76">
        <v>593</v>
      </c>
      <c r="EI207" s="76">
        <v>385</v>
      </c>
      <c r="EJ207" s="76">
        <v>978</v>
      </c>
      <c r="EK207" s="76">
        <v>0</v>
      </c>
      <c r="EL207" s="76">
        <v>593</v>
      </c>
      <c r="EM207" s="76">
        <v>385</v>
      </c>
      <c r="EN207" s="76">
        <v>383</v>
      </c>
      <c r="EO207" s="76">
        <v>179</v>
      </c>
      <c r="EP207" s="76">
        <v>120</v>
      </c>
      <c r="EQ207" s="76">
        <v>179</v>
      </c>
      <c r="ER207" s="76">
        <v>68032</v>
      </c>
      <c r="ES207" s="76">
        <v>0</v>
      </c>
      <c r="ET207" s="76">
        <v>68032</v>
      </c>
      <c r="EU207" s="76">
        <v>2519</v>
      </c>
      <c r="EV207" s="76">
        <v>-193</v>
      </c>
      <c r="EW207" s="76">
        <v>0</v>
      </c>
      <c r="EX207" s="76">
        <v>0</v>
      </c>
      <c r="EY207" s="76">
        <v>0</v>
      </c>
      <c r="EZ207" s="76">
        <v>70358</v>
      </c>
      <c r="FA207" s="76">
        <v>6574</v>
      </c>
      <c r="FB207" s="76">
        <v>984</v>
      </c>
      <c r="FC207" s="76">
        <v>0</v>
      </c>
      <c r="FD207" s="76">
        <v>0</v>
      </c>
      <c r="FE207" s="76">
        <v>-46</v>
      </c>
      <c r="FF207" s="76">
        <v>0</v>
      </c>
      <c r="FG207" s="76">
        <v>0</v>
      </c>
      <c r="FH207" s="76">
        <v>7512</v>
      </c>
      <c r="FI207" s="76">
        <v>62846</v>
      </c>
      <c r="FJ207" s="76">
        <v>61458</v>
      </c>
      <c r="FK207" s="76">
        <v>96</v>
      </c>
      <c r="FL207" s="76">
        <v>68</v>
      </c>
      <c r="FM207" s="76">
        <v>28</v>
      </c>
      <c r="FN207" s="76">
        <v>0</v>
      </c>
      <c r="FO207" s="76">
        <v>0</v>
      </c>
      <c r="FP207" s="76">
        <v>0</v>
      </c>
      <c r="FQ207" s="76">
        <v>0</v>
      </c>
      <c r="FR207" s="76">
        <v>0</v>
      </c>
      <c r="FS207" s="76">
        <v>0</v>
      </c>
      <c r="FT207" s="76">
        <v>0</v>
      </c>
      <c r="FU207" s="76">
        <v>0</v>
      </c>
      <c r="FV207" s="76">
        <v>0</v>
      </c>
      <c r="FW207" s="76">
        <v>0</v>
      </c>
      <c r="FX207" s="76">
        <v>0</v>
      </c>
      <c r="FY207" s="76">
        <v>0</v>
      </c>
      <c r="FZ207" s="76">
        <v>0</v>
      </c>
      <c r="GA207" s="76">
        <v>0</v>
      </c>
      <c r="GB207" s="76">
        <v>0</v>
      </c>
      <c r="GC207" s="76">
        <v>96</v>
      </c>
      <c r="GD207" s="76">
        <v>68</v>
      </c>
      <c r="GE207" s="76">
        <v>28</v>
      </c>
      <c r="GF207" s="76">
        <v>0</v>
      </c>
      <c r="GG207" s="76">
        <v>0</v>
      </c>
      <c r="GH207" s="76">
        <v>0</v>
      </c>
      <c r="GI207" s="76">
        <v>0</v>
      </c>
      <c r="GJ207" s="76">
        <v>0</v>
      </c>
      <c r="GK207" s="76">
        <v>198</v>
      </c>
      <c r="GL207" s="76">
        <v>198</v>
      </c>
      <c r="GM207" s="76">
        <v>419</v>
      </c>
      <c r="GN207" s="76">
        <v>0</v>
      </c>
      <c r="GO207" s="76">
        <v>0</v>
      </c>
      <c r="GP207" s="76">
        <v>84</v>
      </c>
      <c r="GQ207" s="76">
        <v>12</v>
      </c>
      <c r="GR207" s="76">
        <v>1455</v>
      </c>
      <c r="GS207" s="76">
        <v>0</v>
      </c>
      <c r="GT207" s="76">
        <v>0</v>
      </c>
      <c r="GU207" s="76">
        <v>201</v>
      </c>
      <c r="GV207" s="76">
        <v>0</v>
      </c>
      <c r="GW207" s="76">
        <v>453</v>
      </c>
      <c r="GX207" s="76">
        <v>2624</v>
      </c>
      <c r="GY207" s="76">
        <v>57</v>
      </c>
      <c r="GZ207" s="76">
        <v>58</v>
      </c>
      <c r="HA207" s="76">
        <v>1416</v>
      </c>
      <c r="HB207" s="76">
        <v>0</v>
      </c>
      <c r="HC207" s="76">
        <v>1531</v>
      </c>
      <c r="HD207" s="76">
        <v>0</v>
      </c>
      <c r="HE207" s="76">
        <v>521</v>
      </c>
      <c r="HF207" s="76">
        <v>521</v>
      </c>
      <c r="HG207" s="76">
        <v>618</v>
      </c>
      <c r="HH207" s="76">
        <v>0</v>
      </c>
      <c r="HI207" s="76">
        <v>34</v>
      </c>
      <c r="HJ207" s="76">
        <v>0</v>
      </c>
      <c r="HK207" s="76">
        <v>0</v>
      </c>
      <c r="HL207" s="76">
        <v>-1</v>
      </c>
      <c r="HM207" s="76">
        <v>651</v>
      </c>
      <c r="HN207" s="76">
        <v>493</v>
      </c>
      <c r="HO207" s="76">
        <v>1175</v>
      </c>
      <c r="HP207" s="76">
        <v>66</v>
      </c>
      <c r="HQ207" s="76">
        <v>4</v>
      </c>
      <c r="HR207" s="76">
        <v>-2</v>
      </c>
      <c r="HS207" s="76">
        <v>24</v>
      </c>
      <c r="HT207" s="76">
        <v>1555</v>
      </c>
      <c r="HU207" s="76">
        <v>0</v>
      </c>
      <c r="HV207" s="76">
        <v>-1</v>
      </c>
      <c r="HW207" s="76">
        <v>0</v>
      </c>
      <c r="HX207" s="76">
        <v>256</v>
      </c>
    </row>
    <row r="208" spans="1:232" x14ac:dyDescent="0.2">
      <c r="A208" s="74" t="s">
        <v>600</v>
      </c>
      <c r="B208" s="74" t="s">
        <v>601</v>
      </c>
      <c r="C208" s="75" t="s">
        <v>200</v>
      </c>
      <c r="D208" s="75">
        <v>12</v>
      </c>
      <c r="E208" s="76">
        <v>357762</v>
      </c>
      <c r="F208" s="76">
        <v>-101409</v>
      </c>
      <c r="G208" s="76">
        <v>-144300</v>
      </c>
      <c r="H208" s="76">
        <v>112053</v>
      </c>
      <c r="I208" s="76">
        <v>-365</v>
      </c>
      <c r="J208" s="76">
        <v>0</v>
      </c>
      <c r="K208" s="76">
        <v>0</v>
      </c>
      <c r="L208" s="76">
        <v>0</v>
      </c>
      <c r="M208" s="76">
        <v>13118</v>
      </c>
      <c r="N208" s="76">
        <v>-99952</v>
      </c>
      <c r="O208" s="76">
        <v>195</v>
      </c>
      <c r="P208" s="76">
        <v>0</v>
      </c>
      <c r="Q208" s="76">
        <v>0</v>
      </c>
      <c r="R208" s="76">
        <v>0</v>
      </c>
      <c r="S208" s="76">
        <v>25049</v>
      </c>
      <c r="T208" s="76">
        <v>-548</v>
      </c>
      <c r="U208" s="76">
        <v>24501</v>
      </c>
      <c r="V208" s="76">
        <v>0</v>
      </c>
      <c r="W208" s="76">
        <v>-12722</v>
      </c>
      <c r="X208" s="76">
        <v>-7754</v>
      </c>
      <c r="Y208" s="76">
        <v>6422</v>
      </c>
      <c r="Z208" s="76">
        <v>10447</v>
      </c>
      <c r="AA208" s="76">
        <v>161883</v>
      </c>
      <c r="AB208" s="76">
        <v>14831</v>
      </c>
      <c r="AC208" s="76">
        <v>176714</v>
      </c>
      <c r="AD208" s="76">
        <v>9407</v>
      </c>
      <c r="AE208" s="76">
        <v>58</v>
      </c>
      <c r="AF208" s="76">
        <v>5419</v>
      </c>
      <c r="AG208" s="76">
        <v>7742</v>
      </c>
      <c r="AH208" s="76">
        <v>199340</v>
      </c>
      <c r="AI208" s="76">
        <v>22930</v>
      </c>
      <c r="AJ208" s="76">
        <v>14293</v>
      </c>
      <c r="AK208" s="76">
        <v>25005</v>
      </c>
      <c r="AL208" s="76">
        <v>7948</v>
      </c>
      <c r="AM208" s="76">
        <v>2157</v>
      </c>
      <c r="AN208" s="76">
        <v>1042</v>
      </c>
      <c r="AO208" s="76">
        <v>23252</v>
      </c>
      <c r="AP208" s="76">
        <v>0</v>
      </c>
      <c r="AQ208" s="76">
        <v>18329</v>
      </c>
      <c r="AR208" s="76">
        <v>114956</v>
      </c>
      <c r="AS208" s="76">
        <v>84384</v>
      </c>
      <c r="AT208" s="76">
        <v>2002</v>
      </c>
      <c r="AU208" s="76">
        <v>1469944</v>
      </c>
      <c r="AV208" s="76">
        <v>0</v>
      </c>
      <c r="AW208" s="76">
        <v>36306</v>
      </c>
      <c r="AX208" s="76">
        <v>0</v>
      </c>
      <c r="AY208" s="76">
        <v>71666</v>
      </c>
      <c r="AZ208" s="76">
        <v>435624</v>
      </c>
      <c r="BA208" s="76">
        <v>0</v>
      </c>
      <c r="BB208" s="76">
        <v>0</v>
      </c>
      <c r="BC208" s="76">
        <v>86145</v>
      </c>
      <c r="BD208" s="76">
        <v>595679</v>
      </c>
      <c r="BE208" s="76">
        <v>2695364</v>
      </c>
      <c r="BF208" s="76">
        <v>64215</v>
      </c>
      <c r="BG208" s="76">
        <v>27738</v>
      </c>
      <c r="BH208" s="76">
        <v>33927</v>
      </c>
      <c r="BI208" s="76">
        <v>11100</v>
      </c>
      <c r="BJ208" s="76">
        <v>53884</v>
      </c>
      <c r="BK208" s="76">
        <v>190864</v>
      </c>
      <c r="BL208" s="76">
        <v>104090</v>
      </c>
      <c r="BM208" s="76">
        <v>0</v>
      </c>
      <c r="BN208" s="76">
        <v>9079</v>
      </c>
      <c r="BO208" s="76">
        <v>117116</v>
      </c>
      <c r="BP208" s="76">
        <v>230285</v>
      </c>
      <c r="BQ208" s="76">
        <v>-39421</v>
      </c>
      <c r="BR208" s="76">
        <v>2655943</v>
      </c>
      <c r="BS208" s="76">
        <v>978572</v>
      </c>
      <c r="BT208" s="76">
        <v>800097</v>
      </c>
      <c r="BU208" s="76">
        <v>614</v>
      </c>
      <c r="BV208" s="76">
        <v>624846</v>
      </c>
      <c r="BW208" s="76">
        <v>38559</v>
      </c>
      <c r="BX208" s="76">
        <v>23390</v>
      </c>
      <c r="BY208" s="76">
        <v>40485</v>
      </c>
      <c r="BZ208" s="76">
        <v>2506563</v>
      </c>
      <c r="CA208" s="76">
        <v>7244</v>
      </c>
      <c r="CB208" s="76">
        <v>1086</v>
      </c>
      <c r="CC208" s="76">
        <v>141050</v>
      </c>
      <c r="CD208" s="76">
        <v>141050</v>
      </c>
      <c r="CE208" s="76">
        <v>0</v>
      </c>
      <c r="CF208" s="76">
        <v>0</v>
      </c>
      <c r="CG208" s="76">
        <v>0</v>
      </c>
      <c r="CH208" s="76">
        <v>0</v>
      </c>
      <c r="CI208" s="76">
        <v>141050</v>
      </c>
      <c r="CJ208" s="76">
        <v>4756</v>
      </c>
      <c r="CK208" s="76">
        <v>3416</v>
      </c>
      <c r="CL208" s="76">
        <v>268</v>
      </c>
      <c r="CM208" s="76">
        <v>1072</v>
      </c>
      <c r="CN208" s="76">
        <v>540</v>
      </c>
      <c r="CO208" s="76">
        <v>0</v>
      </c>
      <c r="CP208" s="76">
        <v>498</v>
      </c>
      <c r="CQ208" s="76">
        <v>42</v>
      </c>
      <c r="CR208" s="76">
        <v>0</v>
      </c>
      <c r="CS208" s="76">
        <v>0</v>
      </c>
      <c r="CT208" s="76">
        <v>0</v>
      </c>
      <c r="CU208" s="76">
        <v>0</v>
      </c>
      <c r="CV208" s="76">
        <v>0</v>
      </c>
      <c r="CW208" s="76">
        <v>0</v>
      </c>
      <c r="CX208" s="76">
        <v>0</v>
      </c>
      <c r="CY208" s="76">
        <v>0</v>
      </c>
      <c r="CZ208" s="76">
        <v>532</v>
      </c>
      <c r="DA208" s="76">
        <v>120</v>
      </c>
      <c r="DB208" s="76">
        <v>953</v>
      </c>
      <c r="DC208" s="76">
        <v>-541</v>
      </c>
      <c r="DD208" s="76">
        <v>5828</v>
      </c>
      <c r="DE208" s="76">
        <v>3536</v>
      </c>
      <c r="DF208" s="76">
        <v>1719</v>
      </c>
      <c r="DG208" s="76">
        <v>573</v>
      </c>
      <c r="DH208" s="76">
        <v>110593</v>
      </c>
      <c r="DI208" s="76">
        <v>97873</v>
      </c>
      <c r="DJ208" s="76">
        <v>5581</v>
      </c>
      <c r="DK208" s="76">
        <v>7139</v>
      </c>
      <c r="DL208" s="76">
        <v>0</v>
      </c>
      <c r="DM208" s="76">
        <v>0</v>
      </c>
      <c r="DN208" s="76">
        <v>0</v>
      </c>
      <c r="DO208" s="76">
        <v>0</v>
      </c>
      <c r="DP208" s="76">
        <v>0</v>
      </c>
      <c r="DQ208" s="76">
        <v>0</v>
      </c>
      <c r="DR208" s="76">
        <v>0</v>
      </c>
      <c r="DS208" s="76">
        <v>0</v>
      </c>
      <c r="DT208" s="76">
        <v>37420</v>
      </c>
      <c r="DU208" s="76">
        <v>0</v>
      </c>
      <c r="DV208" s="76">
        <v>16304</v>
      </c>
      <c r="DW208" s="76">
        <v>21116</v>
      </c>
      <c r="DX208" s="76">
        <v>0</v>
      </c>
      <c r="DY208" s="76">
        <v>0</v>
      </c>
      <c r="DZ208" s="76">
        <v>0</v>
      </c>
      <c r="EA208" s="76">
        <v>0</v>
      </c>
      <c r="EB208" s="76">
        <v>4581</v>
      </c>
      <c r="EC208" s="76">
        <v>0</v>
      </c>
      <c r="ED208" s="76">
        <v>5740</v>
      </c>
      <c r="EE208" s="76">
        <v>-1159</v>
      </c>
      <c r="EF208" s="76">
        <v>152594</v>
      </c>
      <c r="EG208" s="76">
        <v>97873</v>
      </c>
      <c r="EH208" s="76">
        <v>27625</v>
      </c>
      <c r="EI208" s="76">
        <v>27096</v>
      </c>
      <c r="EJ208" s="76">
        <v>158422</v>
      </c>
      <c r="EK208" s="76">
        <v>101409</v>
      </c>
      <c r="EL208" s="76">
        <v>29344</v>
      </c>
      <c r="EM208" s="76">
        <v>27669</v>
      </c>
      <c r="EN208" s="76">
        <v>6617</v>
      </c>
      <c r="EO208" s="76">
        <v>1110</v>
      </c>
      <c r="EP208" s="76">
        <v>2149</v>
      </c>
      <c r="EQ208" s="76">
        <v>1110</v>
      </c>
      <c r="ER208" s="76">
        <v>1688268</v>
      </c>
      <c r="ES208" s="76">
        <v>0</v>
      </c>
      <c r="ET208" s="76">
        <v>1688268</v>
      </c>
      <c r="EU208" s="76">
        <v>54520</v>
      </c>
      <c r="EV208" s="76">
        <v>-14265</v>
      </c>
      <c r="EW208" s="76">
        <v>0</v>
      </c>
      <c r="EX208" s="76">
        <v>0</v>
      </c>
      <c r="EY208" s="76">
        <v>-6965</v>
      </c>
      <c r="EZ208" s="76">
        <v>1721558</v>
      </c>
      <c r="FA208" s="76">
        <v>229864</v>
      </c>
      <c r="FB208" s="76">
        <v>22960</v>
      </c>
      <c r="FC208" s="76">
        <v>0</v>
      </c>
      <c r="FD208" s="76">
        <v>0</v>
      </c>
      <c r="FE208" s="76">
        <v>-875</v>
      </c>
      <c r="FF208" s="76">
        <v>0</v>
      </c>
      <c r="FG208" s="76">
        <v>-335</v>
      </c>
      <c r="FH208" s="76">
        <v>251614</v>
      </c>
      <c r="FI208" s="76">
        <v>1469944</v>
      </c>
      <c r="FJ208" s="76">
        <v>1458404</v>
      </c>
      <c r="FK208" s="76">
        <v>11081</v>
      </c>
      <c r="FL208" s="76">
        <v>6756</v>
      </c>
      <c r="FM208" s="76">
        <v>4325</v>
      </c>
      <c r="FN208" s="76">
        <v>1174</v>
      </c>
      <c r="FO208" s="76">
        <v>691</v>
      </c>
      <c r="FP208" s="76">
        <v>483</v>
      </c>
      <c r="FQ208" s="76">
        <v>471</v>
      </c>
      <c r="FR208" s="76">
        <v>457</v>
      </c>
      <c r="FS208" s="76">
        <v>14</v>
      </c>
      <c r="FT208" s="76">
        <v>3715</v>
      </c>
      <c r="FU208" s="76">
        <v>8353</v>
      </c>
      <c r="FV208" s="76">
        <v>-4638</v>
      </c>
      <c r="FW208" s="76">
        <v>444</v>
      </c>
      <c r="FX208" s="76">
        <v>993</v>
      </c>
      <c r="FY208" s="76">
        <v>-549</v>
      </c>
      <c r="FZ208" s="76">
        <v>0</v>
      </c>
      <c r="GA208" s="76">
        <v>0</v>
      </c>
      <c r="GB208" s="76">
        <v>0</v>
      </c>
      <c r="GC208" s="76">
        <v>16885</v>
      </c>
      <c r="GD208" s="76">
        <v>17250</v>
      </c>
      <c r="GE208" s="76">
        <v>-365</v>
      </c>
      <c r="GF208" s="76">
        <v>14496</v>
      </c>
      <c r="GG208" s="76">
        <v>30</v>
      </c>
      <c r="GH208" s="76">
        <v>0</v>
      </c>
      <c r="GI208" s="76">
        <v>0</v>
      </c>
      <c r="GJ208" s="76">
        <v>20327</v>
      </c>
      <c r="GK208" s="76">
        <v>19031</v>
      </c>
      <c r="GL208" s="76">
        <v>53884</v>
      </c>
      <c r="GM208" s="76">
        <v>2752</v>
      </c>
      <c r="GN208" s="76">
        <v>3597</v>
      </c>
      <c r="GO208" s="76">
        <v>1984</v>
      </c>
      <c r="GP208" s="76">
        <v>3416</v>
      </c>
      <c r="GQ208" s="76">
        <v>0</v>
      </c>
      <c r="GR208" s="76">
        <v>23169</v>
      </c>
      <c r="GS208" s="76">
        <v>91</v>
      </c>
      <c r="GT208" s="76">
        <v>0</v>
      </c>
      <c r="GU208" s="76">
        <v>0</v>
      </c>
      <c r="GV208" s="76">
        <v>19858</v>
      </c>
      <c r="GW208" s="76">
        <v>62249</v>
      </c>
      <c r="GX208" s="76">
        <v>117116</v>
      </c>
      <c r="GY208" s="76">
        <v>38426</v>
      </c>
      <c r="GZ208" s="76">
        <v>279</v>
      </c>
      <c r="HA208" s="76">
        <v>1780</v>
      </c>
      <c r="HB208" s="76">
        <v>0</v>
      </c>
      <c r="HC208" s="76">
        <v>40485</v>
      </c>
      <c r="HD208" s="76">
        <v>0</v>
      </c>
      <c r="HE208" s="76">
        <v>1086</v>
      </c>
      <c r="HF208" s="76">
        <v>1086</v>
      </c>
      <c r="HG208" s="76">
        <v>97646</v>
      </c>
      <c r="HH208" s="76">
        <v>0</v>
      </c>
      <c r="HI208" s="76">
        <v>1535</v>
      </c>
      <c r="HJ208" s="76">
        <v>125</v>
      </c>
      <c r="HK208" s="76">
        <v>1459</v>
      </c>
      <c r="HL208" s="76">
        <v>-813</v>
      </c>
      <c r="HM208" s="76">
        <v>99952</v>
      </c>
      <c r="HN208" s="76">
        <v>23837</v>
      </c>
      <c r="HO208" s="76">
        <v>27996</v>
      </c>
      <c r="HP208" s="76">
        <v>460</v>
      </c>
      <c r="HQ208" s="76">
        <v>103</v>
      </c>
      <c r="HR208" s="76">
        <v>-80</v>
      </c>
      <c r="HS208" s="76">
        <v>2243</v>
      </c>
      <c r="HT208" s="76">
        <v>36232</v>
      </c>
      <c r="HU208" s="76">
        <v>81</v>
      </c>
      <c r="HV208" s="76">
        <v>-93</v>
      </c>
      <c r="HW208" s="76">
        <v>-729</v>
      </c>
      <c r="HX208" s="76">
        <v>3759</v>
      </c>
    </row>
    <row r="209" spans="1:232" x14ac:dyDescent="0.2">
      <c r="A209" s="71" t="s">
        <v>602</v>
      </c>
      <c r="B209" s="71" t="s">
        <v>603</v>
      </c>
      <c r="C209" s="72" t="s">
        <v>200</v>
      </c>
      <c r="D209" s="72">
        <v>12</v>
      </c>
      <c r="E209" s="73">
        <v>37533</v>
      </c>
      <c r="F209" s="73">
        <v>-3846</v>
      </c>
      <c r="G209" s="73">
        <v>-26914</v>
      </c>
      <c r="H209" s="73">
        <v>6773</v>
      </c>
      <c r="I209" s="73">
        <v>63</v>
      </c>
      <c r="J209" s="73">
        <v>0</v>
      </c>
      <c r="K209" s="73">
        <v>0</v>
      </c>
      <c r="L209" s="73">
        <v>0</v>
      </c>
      <c r="M209" s="73">
        <v>357</v>
      </c>
      <c r="N209" s="73">
        <v>-1037</v>
      </c>
      <c r="O209" s="73">
        <v>0</v>
      </c>
      <c r="P209" s="73">
        <v>0</v>
      </c>
      <c r="Q209" s="73">
        <v>0</v>
      </c>
      <c r="R209" s="73">
        <v>0</v>
      </c>
      <c r="S209" s="73">
        <v>6156</v>
      </c>
      <c r="T209" s="73">
        <v>0</v>
      </c>
      <c r="U209" s="73">
        <v>6156</v>
      </c>
      <c r="V209" s="73">
        <v>0</v>
      </c>
      <c r="W209" s="73">
        <v>0</v>
      </c>
      <c r="X209" s="73">
        <v>0</v>
      </c>
      <c r="Y209" s="73">
        <v>0</v>
      </c>
      <c r="Z209" s="73">
        <v>6156</v>
      </c>
      <c r="AA209" s="73">
        <v>11710</v>
      </c>
      <c r="AB209" s="73">
        <v>7019</v>
      </c>
      <c r="AC209" s="73">
        <v>18729</v>
      </c>
      <c r="AD209" s="73">
        <v>2441</v>
      </c>
      <c r="AE209" s="73">
        <v>0</v>
      </c>
      <c r="AF209" s="73">
        <v>0</v>
      </c>
      <c r="AG209" s="73">
        <v>7400</v>
      </c>
      <c r="AH209" s="73">
        <v>28570</v>
      </c>
      <c r="AI209" s="73">
        <v>5468</v>
      </c>
      <c r="AJ209" s="73">
        <v>6864</v>
      </c>
      <c r="AK209" s="73">
        <v>1871</v>
      </c>
      <c r="AL209" s="73">
        <v>779</v>
      </c>
      <c r="AM209" s="73">
        <v>173</v>
      </c>
      <c r="AN209" s="73">
        <v>144</v>
      </c>
      <c r="AO209" s="73">
        <v>4698</v>
      </c>
      <c r="AP209" s="73">
        <v>0</v>
      </c>
      <c r="AQ209" s="73">
        <v>2914</v>
      </c>
      <c r="AR209" s="73">
        <v>22911</v>
      </c>
      <c r="AS209" s="73">
        <v>5659</v>
      </c>
      <c r="AT209" s="73">
        <v>404</v>
      </c>
      <c r="AU209" s="73">
        <v>325156</v>
      </c>
      <c r="AV209" s="73">
        <v>0</v>
      </c>
      <c r="AW209" s="73">
        <v>0</v>
      </c>
      <c r="AX209" s="73">
        <v>0</v>
      </c>
      <c r="AY209" s="73">
        <v>0</v>
      </c>
      <c r="AZ209" s="73">
        <v>5717</v>
      </c>
      <c r="BA209" s="73">
        <v>0</v>
      </c>
      <c r="BB209" s="73">
        <v>0</v>
      </c>
      <c r="BC209" s="73">
        <v>0</v>
      </c>
      <c r="BD209" s="73">
        <v>360</v>
      </c>
      <c r="BE209" s="73">
        <v>331233</v>
      </c>
      <c r="BF209" s="73">
        <v>155</v>
      </c>
      <c r="BG209" s="73">
        <v>1349</v>
      </c>
      <c r="BH209" s="73">
        <v>0</v>
      </c>
      <c r="BI209" s="73">
        <v>0</v>
      </c>
      <c r="BJ209" s="73">
        <v>315</v>
      </c>
      <c r="BK209" s="73">
        <v>1819</v>
      </c>
      <c r="BL209" s="73">
        <v>1340</v>
      </c>
      <c r="BM209" s="73">
        <v>0</v>
      </c>
      <c r="BN209" s="73">
        <v>2250</v>
      </c>
      <c r="BO209" s="73">
        <v>6262</v>
      </c>
      <c r="BP209" s="73">
        <v>9852</v>
      </c>
      <c r="BQ209" s="73">
        <v>-8033</v>
      </c>
      <c r="BR209" s="73">
        <v>323200</v>
      </c>
      <c r="BS209" s="73">
        <v>19609</v>
      </c>
      <c r="BT209" s="73">
        <v>483</v>
      </c>
      <c r="BU209" s="73">
        <v>0</v>
      </c>
      <c r="BV209" s="73">
        <v>152256</v>
      </c>
      <c r="BW209" s="73">
        <v>0</v>
      </c>
      <c r="BX209" s="73">
        <v>0</v>
      </c>
      <c r="BY209" s="73">
        <v>156</v>
      </c>
      <c r="BZ209" s="73">
        <v>172504</v>
      </c>
      <c r="CA209" s="73">
        <v>0</v>
      </c>
      <c r="CB209" s="73">
        <v>0</v>
      </c>
      <c r="CC209" s="73">
        <v>150696</v>
      </c>
      <c r="CD209" s="73">
        <v>127648</v>
      </c>
      <c r="CE209" s="73">
        <v>22864</v>
      </c>
      <c r="CF209" s="73">
        <v>184</v>
      </c>
      <c r="CG209" s="73">
        <v>0</v>
      </c>
      <c r="CH209" s="73">
        <v>0</v>
      </c>
      <c r="CI209" s="73">
        <v>150696</v>
      </c>
      <c r="CJ209" s="73">
        <v>0</v>
      </c>
      <c r="CK209" s="73">
        <v>0</v>
      </c>
      <c r="CL209" s="73">
        <v>1</v>
      </c>
      <c r="CM209" s="73">
        <v>-1</v>
      </c>
      <c r="CN209" s="73">
        <v>4148</v>
      </c>
      <c r="CO209" s="73">
        <v>0</v>
      </c>
      <c r="CP209" s="73">
        <v>3736</v>
      </c>
      <c r="CQ209" s="73">
        <v>412</v>
      </c>
      <c r="CR209" s="73">
        <v>0</v>
      </c>
      <c r="CS209" s="73">
        <v>0</v>
      </c>
      <c r="CT209" s="73">
        <v>0</v>
      </c>
      <c r="CU209" s="73">
        <v>0</v>
      </c>
      <c r="CV209" s="73">
        <v>0</v>
      </c>
      <c r="CW209" s="73">
        <v>0</v>
      </c>
      <c r="CX209" s="73">
        <v>0</v>
      </c>
      <c r="CY209" s="73">
        <v>0</v>
      </c>
      <c r="CZ209" s="73">
        <v>0</v>
      </c>
      <c r="DA209" s="73">
        <v>0</v>
      </c>
      <c r="DB209" s="73">
        <v>138</v>
      </c>
      <c r="DC209" s="73">
        <v>-138</v>
      </c>
      <c r="DD209" s="73">
        <v>4148</v>
      </c>
      <c r="DE209" s="73">
        <v>0</v>
      </c>
      <c r="DF209" s="73">
        <v>3875</v>
      </c>
      <c r="DG209" s="73">
        <v>273</v>
      </c>
      <c r="DH209" s="73">
        <v>4815</v>
      </c>
      <c r="DI209" s="73">
        <v>3846</v>
      </c>
      <c r="DJ209" s="73">
        <v>128</v>
      </c>
      <c r="DK209" s="73">
        <v>841</v>
      </c>
      <c r="DL209" s="73">
        <v>0</v>
      </c>
      <c r="DM209" s="73">
        <v>0</v>
      </c>
      <c r="DN209" s="73">
        <v>0</v>
      </c>
      <c r="DO209" s="73">
        <v>0</v>
      </c>
      <c r="DP209" s="73">
        <v>0</v>
      </c>
      <c r="DQ209" s="73">
        <v>0</v>
      </c>
      <c r="DR209" s="73">
        <v>0</v>
      </c>
      <c r="DS209" s="73">
        <v>0</v>
      </c>
      <c r="DT209" s="73">
        <v>0</v>
      </c>
      <c r="DU209" s="73">
        <v>0</v>
      </c>
      <c r="DV209" s="73">
        <v>0</v>
      </c>
      <c r="DW209" s="73">
        <v>0</v>
      </c>
      <c r="DX209" s="73">
        <v>0</v>
      </c>
      <c r="DY209" s="73">
        <v>0</v>
      </c>
      <c r="DZ209" s="73">
        <v>0</v>
      </c>
      <c r="EA209" s="73">
        <v>0</v>
      </c>
      <c r="EB209" s="73">
        <v>0</v>
      </c>
      <c r="EC209" s="73">
        <v>0</v>
      </c>
      <c r="ED209" s="73">
        <v>0</v>
      </c>
      <c r="EE209" s="73">
        <v>0</v>
      </c>
      <c r="EF209" s="73">
        <v>4815</v>
      </c>
      <c r="EG209" s="73">
        <v>3846</v>
      </c>
      <c r="EH209" s="73">
        <v>128</v>
      </c>
      <c r="EI209" s="73">
        <v>841</v>
      </c>
      <c r="EJ209" s="73">
        <v>8963</v>
      </c>
      <c r="EK209" s="73">
        <v>3846</v>
      </c>
      <c r="EL209" s="73">
        <v>4003</v>
      </c>
      <c r="EM209" s="73">
        <v>1114</v>
      </c>
      <c r="EN209" s="73">
        <v>871</v>
      </c>
      <c r="EO209" s="73">
        <v>64</v>
      </c>
      <c r="EP209" s="73">
        <v>374</v>
      </c>
      <c r="EQ209" s="73">
        <v>64</v>
      </c>
      <c r="ER209" s="73">
        <v>361576</v>
      </c>
      <c r="ES209" s="73">
        <v>0</v>
      </c>
      <c r="ET209" s="73">
        <v>361576</v>
      </c>
      <c r="EU209" s="73">
        <v>8886</v>
      </c>
      <c r="EV209" s="73">
        <v>-356</v>
      </c>
      <c r="EW209" s="73">
        <v>0</v>
      </c>
      <c r="EX209" s="73">
        <v>0</v>
      </c>
      <c r="EY209" s="73">
        <v>422</v>
      </c>
      <c r="EZ209" s="73">
        <v>370528</v>
      </c>
      <c r="FA209" s="73">
        <v>40766</v>
      </c>
      <c r="FB209" s="73">
        <v>4684</v>
      </c>
      <c r="FC209" s="73">
        <v>0</v>
      </c>
      <c r="FD209" s="73">
        <v>0</v>
      </c>
      <c r="FE209" s="73">
        <v>-80</v>
      </c>
      <c r="FF209" s="73">
        <v>0</v>
      </c>
      <c r="FG209" s="73">
        <v>2</v>
      </c>
      <c r="FH209" s="73">
        <v>45372</v>
      </c>
      <c r="FI209" s="73">
        <v>325156</v>
      </c>
      <c r="FJ209" s="73">
        <v>320810</v>
      </c>
      <c r="FK209" s="73">
        <v>211</v>
      </c>
      <c r="FL209" s="73">
        <v>132</v>
      </c>
      <c r="FM209" s="73">
        <v>79</v>
      </c>
      <c r="FN209" s="73">
        <v>0</v>
      </c>
      <c r="FO209" s="73">
        <v>0</v>
      </c>
      <c r="FP209" s="73">
        <v>0</v>
      </c>
      <c r="FQ209" s="73">
        <v>0</v>
      </c>
      <c r="FR209" s="73">
        <v>0</v>
      </c>
      <c r="FS209" s="73">
        <v>0</v>
      </c>
      <c r="FT209" s="73">
        <v>135</v>
      </c>
      <c r="FU209" s="73">
        <v>151</v>
      </c>
      <c r="FV209" s="73">
        <v>-16</v>
      </c>
      <c r="FW209" s="73">
        <v>0</v>
      </c>
      <c r="FX209" s="73">
        <v>0</v>
      </c>
      <c r="FY209" s="73">
        <v>0</v>
      </c>
      <c r="FZ209" s="73">
        <v>0</v>
      </c>
      <c r="GA209" s="73">
        <v>0</v>
      </c>
      <c r="GB209" s="73">
        <v>0</v>
      </c>
      <c r="GC209" s="73">
        <v>346</v>
      </c>
      <c r="GD209" s="73">
        <v>283</v>
      </c>
      <c r="GE209" s="73">
        <v>63</v>
      </c>
      <c r="GF209" s="73">
        <v>0</v>
      </c>
      <c r="GG209" s="73">
        <v>8</v>
      </c>
      <c r="GH209" s="73">
        <v>0</v>
      </c>
      <c r="GI209" s="73">
        <v>0</v>
      </c>
      <c r="GJ209" s="73">
        <v>0</v>
      </c>
      <c r="GK209" s="73">
        <v>307</v>
      </c>
      <c r="GL209" s="73">
        <v>315</v>
      </c>
      <c r="GM209" s="73">
        <v>750</v>
      </c>
      <c r="GN209" s="73">
        <v>334</v>
      </c>
      <c r="GO209" s="73">
        <v>2369</v>
      </c>
      <c r="GP209" s="73">
        <v>0</v>
      </c>
      <c r="GQ209" s="73">
        <v>0</v>
      </c>
      <c r="GR209" s="73">
        <v>2367</v>
      </c>
      <c r="GS209" s="73">
        <v>0</v>
      </c>
      <c r="GT209" s="73">
        <v>0</v>
      </c>
      <c r="GU209" s="73">
        <v>0</v>
      </c>
      <c r="GV209" s="73">
        <v>0</v>
      </c>
      <c r="GW209" s="73">
        <v>442</v>
      </c>
      <c r="GX209" s="73">
        <v>6262</v>
      </c>
      <c r="GY209" s="73">
        <v>155</v>
      </c>
      <c r="GZ209" s="73">
        <v>0</v>
      </c>
      <c r="HA209" s="73">
        <v>0</v>
      </c>
      <c r="HB209" s="73">
        <v>0</v>
      </c>
      <c r="HC209" s="73">
        <v>155</v>
      </c>
      <c r="HD209" s="73">
        <v>0</v>
      </c>
      <c r="HE209" s="73">
        <v>0</v>
      </c>
      <c r="HF209" s="73">
        <v>0</v>
      </c>
      <c r="HG209" s="73">
        <v>1067</v>
      </c>
      <c r="HH209" s="73">
        <v>0</v>
      </c>
      <c r="HI209" s="73">
        <v>0</v>
      </c>
      <c r="HJ209" s="73">
        <v>0</v>
      </c>
      <c r="HK209" s="73">
        <v>0</v>
      </c>
      <c r="HL209" s="73">
        <v>-30</v>
      </c>
      <c r="HM209" s="73">
        <v>1037</v>
      </c>
      <c r="HN209" s="73">
        <v>5836</v>
      </c>
      <c r="HO209" s="73">
        <v>4698</v>
      </c>
      <c r="HP209" s="73">
        <v>0</v>
      </c>
      <c r="HQ209" s="73">
        <v>157</v>
      </c>
      <c r="HR209" s="73">
        <v>0</v>
      </c>
      <c r="HS209" s="73">
        <v>-2051</v>
      </c>
      <c r="HT209" s="73">
        <v>2086</v>
      </c>
      <c r="HU209" s="73">
        <v>0</v>
      </c>
      <c r="HV209" s="73">
        <v>-15</v>
      </c>
      <c r="HW209" s="73">
        <v>0</v>
      </c>
      <c r="HX209" s="73">
        <v>23</v>
      </c>
    </row>
    <row r="210" spans="1:232" x14ac:dyDescent="0.2">
      <c r="A210" s="71" t="s">
        <v>604</v>
      </c>
      <c r="B210" s="71" t="s">
        <v>605</v>
      </c>
      <c r="C210" s="72" t="s">
        <v>200</v>
      </c>
      <c r="D210" s="72">
        <v>12</v>
      </c>
      <c r="E210" s="73">
        <v>3378</v>
      </c>
      <c r="F210" s="73">
        <v>0</v>
      </c>
      <c r="G210" s="73">
        <v>-3220</v>
      </c>
      <c r="H210" s="73">
        <v>158</v>
      </c>
      <c r="I210" s="73">
        <v>241</v>
      </c>
      <c r="J210" s="73">
        <v>-280</v>
      </c>
      <c r="K210" s="73">
        <v>0</v>
      </c>
      <c r="L210" s="73">
        <v>0</v>
      </c>
      <c r="M210" s="73">
        <v>20</v>
      </c>
      <c r="N210" s="73">
        <v>-9</v>
      </c>
      <c r="O210" s="73">
        <v>0</v>
      </c>
      <c r="P210" s="73">
        <v>0</v>
      </c>
      <c r="Q210" s="73">
        <v>0</v>
      </c>
      <c r="R210" s="73">
        <v>0</v>
      </c>
      <c r="S210" s="73">
        <v>130</v>
      </c>
      <c r="T210" s="73">
        <v>-11</v>
      </c>
      <c r="U210" s="73">
        <v>119</v>
      </c>
      <c r="V210" s="73">
        <v>0</v>
      </c>
      <c r="W210" s="73">
        <v>0</v>
      </c>
      <c r="X210" s="73">
        <v>0</v>
      </c>
      <c r="Y210" s="73">
        <v>0</v>
      </c>
      <c r="Z210" s="73">
        <v>119</v>
      </c>
      <c r="AA210" s="73">
        <v>1976</v>
      </c>
      <c r="AB210" s="73">
        <v>136</v>
      </c>
      <c r="AC210" s="73">
        <v>2112</v>
      </c>
      <c r="AD210" s="73">
        <v>22</v>
      </c>
      <c r="AE210" s="73">
        <v>0</v>
      </c>
      <c r="AF210" s="73">
        <v>0</v>
      </c>
      <c r="AG210" s="73">
        <v>0</v>
      </c>
      <c r="AH210" s="73">
        <v>2134</v>
      </c>
      <c r="AI210" s="73">
        <v>826</v>
      </c>
      <c r="AJ210" s="73">
        <v>189</v>
      </c>
      <c r="AK210" s="73">
        <v>173</v>
      </c>
      <c r="AL210" s="73">
        <v>28</v>
      </c>
      <c r="AM210" s="73">
        <v>0</v>
      </c>
      <c r="AN210" s="73">
        <v>5</v>
      </c>
      <c r="AO210" s="73">
        <v>28</v>
      </c>
      <c r="AP210" s="73">
        <v>0</v>
      </c>
      <c r="AQ210" s="73">
        <v>958</v>
      </c>
      <c r="AR210" s="73">
        <v>2207</v>
      </c>
      <c r="AS210" s="73">
        <v>-73</v>
      </c>
      <c r="AT210" s="73">
        <v>20</v>
      </c>
      <c r="AU210" s="73">
        <v>2747</v>
      </c>
      <c r="AV210" s="73">
        <v>0</v>
      </c>
      <c r="AW210" s="73">
        <v>0</v>
      </c>
      <c r="AX210" s="73">
        <v>0</v>
      </c>
      <c r="AY210" s="73">
        <v>0</v>
      </c>
      <c r="AZ210" s="73">
        <v>0</v>
      </c>
      <c r="BA210" s="73">
        <v>0</v>
      </c>
      <c r="BB210" s="73">
        <v>0</v>
      </c>
      <c r="BC210" s="73">
        <v>0</v>
      </c>
      <c r="BD210" s="73">
        <v>0</v>
      </c>
      <c r="BE210" s="73">
        <v>2747</v>
      </c>
      <c r="BF210" s="73">
        <v>0</v>
      </c>
      <c r="BG210" s="73">
        <v>516</v>
      </c>
      <c r="BH210" s="73">
        <v>7894</v>
      </c>
      <c r="BI210" s="73">
        <v>0</v>
      </c>
      <c r="BJ210" s="73">
        <v>0</v>
      </c>
      <c r="BK210" s="73">
        <v>8410</v>
      </c>
      <c r="BL210" s="73">
        <v>4</v>
      </c>
      <c r="BM210" s="73">
        <v>0</v>
      </c>
      <c r="BN210" s="73">
        <v>22</v>
      </c>
      <c r="BO210" s="73">
        <v>6953</v>
      </c>
      <c r="BP210" s="73">
        <v>6979</v>
      </c>
      <c r="BQ210" s="73">
        <v>1431</v>
      </c>
      <c r="BR210" s="73">
        <v>4178</v>
      </c>
      <c r="BS210" s="73">
        <v>76</v>
      </c>
      <c r="BT210" s="73">
        <v>0</v>
      </c>
      <c r="BU210" s="73">
        <v>0</v>
      </c>
      <c r="BV210" s="73">
        <v>1807</v>
      </c>
      <c r="BW210" s="73">
        <v>0</v>
      </c>
      <c r="BX210" s="73">
        <v>0</v>
      </c>
      <c r="BY210" s="73">
        <v>0</v>
      </c>
      <c r="BZ210" s="73">
        <v>1883</v>
      </c>
      <c r="CA210" s="73">
        <v>0</v>
      </c>
      <c r="CB210" s="73">
        <v>0</v>
      </c>
      <c r="CC210" s="73">
        <v>2295</v>
      </c>
      <c r="CD210" s="73">
        <v>2295</v>
      </c>
      <c r="CE210" s="73">
        <v>0</v>
      </c>
      <c r="CF210" s="73">
        <v>0</v>
      </c>
      <c r="CG210" s="73">
        <v>0</v>
      </c>
      <c r="CH210" s="73">
        <v>0</v>
      </c>
      <c r="CI210" s="73">
        <v>2295</v>
      </c>
      <c r="CJ210" s="73">
        <v>0</v>
      </c>
      <c r="CK210" s="73">
        <v>0</v>
      </c>
      <c r="CL210" s="73">
        <v>0</v>
      </c>
      <c r="CM210" s="73">
        <v>0</v>
      </c>
      <c r="CN210" s="73">
        <v>0</v>
      </c>
      <c r="CO210" s="73">
        <v>0</v>
      </c>
      <c r="CP210" s="73">
        <v>0</v>
      </c>
      <c r="CQ210" s="73">
        <v>0</v>
      </c>
      <c r="CR210" s="73">
        <v>0</v>
      </c>
      <c r="CS210" s="73">
        <v>0</v>
      </c>
      <c r="CT210" s="73">
        <v>0</v>
      </c>
      <c r="CU210" s="73">
        <v>0</v>
      </c>
      <c r="CV210" s="73">
        <v>0</v>
      </c>
      <c r="CW210" s="73">
        <v>0</v>
      </c>
      <c r="CX210" s="73">
        <v>0</v>
      </c>
      <c r="CY210" s="73">
        <v>0</v>
      </c>
      <c r="CZ210" s="73">
        <v>1129</v>
      </c>
      <c r="DA210" s="73">
        <v>0</v>
      </c>
      <c r="DB210" s="73">
        <v>940</v>
      </c>
      <c r="DC210" s="73">
        <v>189</v>
      </c>
      <c r="DD210" s="73">
        <v>1129</v>
      </c>
      <c r="DE210" s="73">
        <v>0</v>
      </c>
      <c r="DF210" s="73">
        <v>940</v>
      </c>
      <c r="DG210" s="73">
        <v>189</v>
      </c>
      <c r="DH210" s="73">
        <v>0</v>
      </c>
      <c r="DI210" s="73">
        <v>0</v>
      </c>
      <c r="DJ210" s="73">
        <v>0</v>
      </c>
      <c r="DK210" s="73">
        <v>0</v>
      </c>
      <c r="DL210" s="73">
        <v>0</v>
      </c>
      <c r="DM210" s="73">
        <v>0</v>
      </c>
      <c r="DN210" s="73">
        <v>0</v>
      </c>
      <c r="DO210" s="73">
        <v>0</v>
      </c>
      <c r="DP210" s="73">
        <v>0</v>
      </c>
      <c r="DQ210" s="73">
        <v>0</v>
      </c>
      <c r="DR210" s="73">
        <v>0</v>
      </c>
      <c r="DS210" s="73">
        <v>0</v>
      </c>
      <c r="DT210" s="73">
        <v>0</v>
      </c>
      <c r="DU210" s="73">
        <v>0</v>
      </c>
      <c r="DV210" s="73">
        <v>0</v>
      </c>
      <c r="DW210" s="73">
        <v>0</v>
      </c>
      <c r="DX210" s="73">
        <v>0</v>
      </c>
      <c r="DY210" s="73">
        <v>0</v>
      </c>
      <c r="DZ210" s="73">
        <v>0</v>
      </c>
      <c r="EA210" s="73">
        <v>0</v>
      </c>
      <c r="EB210" s="73">
        <v>115</v>
      </c>
      <c r="EC210" s="73">
        <v>0</v>
      </c>
      <c r="ED210" s="73">
        <v>73</v>
      </c>
      <c r="EE210" s="73">
        <v>42</v>
      </c>
      <c r="EF210" s="73">
        <v>115</v>
      </c>
      <c r="EG210" s="73">
        <v>0</v>
      </c>
      <c r="EH210" s="73">
        <v>73</v>
      </c>
      <c r="EI210" s="73">
        <v>42</v>
      </c>
      <c r="EJ210" s="73">
        <v>1244</v>
      </c>
      <c r="EK210" s="73">
        <v>0</v>
      </c>
      <c r="EL210" s="73">
        <v>1013</v>
      </c>
      <c r="EM210" s="73">
        <v>231</v>
      </c>
      <c r="EN210" s="73">
        <v>151</v>
      </c>
      <c r="EO210" s="73">
        <v>61</v>
      </c>
      <c r="EP210" s="73">
        <v>19</v>
      </c>
      <c r="EQ210" s="73">
        <v>61</v>
      </c>
      <c r="ER210" s="73">
        <v>3339</v>
      </c>
      <c r="ES210" s="73">
        <v>0</v>
      </c>
      <c r="ET210" s="73">
        <v>3339</v>
      </c>
      <c r="EU210" s="73">
        <v>0</v>
      </c>
      <c r="EV210" s="73">
        <v>-127</v>
      </c>
      <c r="EW210" s="73">
        <v>0</v>
      </c>
      <c r="EX210" s="73">
        <v>0</v>
      </c>
      <c r="EY210" s="73">
        <v>0</v>
      </c>
      <c r="EZ210" s="73">
        <v>3212</v>
      </c>
      <c r="FA210" s="73">
        <v>454</v>
      </c>
      <c r="FB210" s="73">
        <v>28</v>
      </c>
      <c r="FC210" s="73">
        <v>0</v>
      </c>
      <c r="FD210" s="73">
        <v>0</v>
      </c>
      <c r="FE210" s="73">
        <v>-17</v>
      </c>
      <c r="FF210" s="73">
        <v>0</v>
      </c>
      <c r="FG210" s="73">
        <v>0</v>
      </c>
      <c r="FH210" s="73">
        <v>465</v>
      </c>
      <c r="FI210" s="73">
        <v>2747</v>
      </c>
      <c r="FJ210" s="73">
        <v>2885</v>
      </c>
      <c r="FK210" s="73">
        <v>375</v>
      </c>
      <c r="FL210" s="73">
        <v>134</v>
      </c>
      <c r="FM210" s="73">
        <v>241</v>
      </c>
      <c r="FN210" s="73">
        <v>0</v>
      </c>
      <c r="FO210" s="73">
        <v>0</v>
      </c>
      <c r="FP210" s="73">
        <v>0</v>
      </c>
      <c r="FQ210" s="73">
        <v>0</v>
      </c>
      <c r="FR210" s="73">
        <v>0</v>
      </c>
      <c r="FS210" s="73">
        <v>0</v>
      </c>
      <c r="FT210" s="73">
        <v>0</v>
      </c>
      <c r="FU210" s="73">
        <v>0</v>
      </c>
      <c r="FV210" s="73">
        <v>0</v>
      </c>
      <c r="FW210" s="73">
        <v>0</v>
      </c>
      <c r="FX210" s="73">
        <v>0</v>
      </c>
      <c r="FY210" s="73">
        <v>0</v>
      </c>
      <c r="FZ210" s="73">
        <v>0</v>
      </c>
      <c r="GA210" s="73">
        <v>0</v>
      </c>
      <c r="GB210" s="73">
        <v>0</v>
      </c>
      <c r="GC210" s="73">
        <v>375</v>
      </c>
      <c r="GD210" s="73">
        <v>134</v>
      </c>
      <c r="GE210" s="73">
        <v>241</v>
      </c>
      <c r="GF210" s="73">
        <v>0</v>
      </c>
      <c r="GG210" s="73">
        <v>0</v>
      </c>
      <c r="GH210" s="73">
        <v>0</v>
      </c>
      <c r="GI210" s="73">
        <v>0</v>
      </c>
      <c r="GJ210" s="73">
        <v>0</v>
      </c>
      <c r="GK210" s="73">
        <v>0</v>
      </c>
      <c r="GL210" s="73">
        <v>0</v>
      </c>
      <c r="GM210" s="73">
        <v>143</v>
      </c>
      <c r="GN210" s="73">
        <v>88</v>
      </c>
      <c r="GO210" s="73">
        <v>3615</v>
      </c>
      <c r="GP210" s="73">
        <v>0</v>
      </c>
      <c r="GQ210" s="73">
        <v>0</v>
      </c>
      <c r="GR210" s="73">
        <v>243</v>
      </c>
      <c r="GS210" s="73">
        <v>0</v>
      </c>
      <c r="GT210" s="73">
        <v>0</v>
      </c>
      <c r="GU210" s="73">
        <v>0</v>
      </c>
      <c r="GV210" s="73">
        <v>0</v>
      </c>
      <c r="GW210" s="73">
        <v>2864</v>
      </c>
      <c r="GX210" s="73">
        <v>6953</v>
      </c>
      <c r="GY210" s="73">
        <v>0</v>
      </c>
      <c r="GZ210" s="73">
        <v>0</v>
      </c>
      <c r="HA210" s="73">
        <v>0</v>
      </c>
      <c r="HB210" s="73">
        <v>0</v>
      </c>
      <c r="HC210" s="73">
        <v>0</v>
      </c>
      <c r="HD210" s="73">
        <v>0</v>
      </c>
      <c r="HE210" s="73">
        <v>0</v>
      </c>
      <c r="HF210" s="73">
        <v>0</v>
      </c>
      <c r="HG210" s="73">
        <v>9</v>
      </c>
      <c r="HH210" s="73">
        <v>0</v>
      </c>
      <c r="HI210" s="73">
        <v>0</v>
      </c>
      <c r="HJ210" s="73">
        <v>0</v>
      </c>
      <c r="HK210" s="73">
        <v>0</v>
      </c>
      <c r="HL210" s="73">
        <v>0</v>
      </c>
      <c r="HM210" s="73">
        <v>9</v>
      </c>
      <c r="HN210" s="73">
        <v>0</v>
      </c>
      <c r="HO210" s="73">
        <v>28</v>
      </c>
      <c r="HP210" s="73">
        <v>0</v>
      </c>
      <c r="HQ210" s="73">
        <v>0</v>
      </c>
      <c r="HR210" s="73">
        <v>-8</v>
      </c>
      <c r="HS210" s="73">
        <v>91</v>
      </c>
      <c r="HT210" s="73">
        <v>1915</v>
      </c>
      <c r="HU210" s="73">
        <v>0</v>
      </c>
      <c r="HV210" s="73">
        <v>0</v>
      </c>
      <c r="HW210" s="73">
        <v>-230</v>
      </c>
      <c r="HX210" s="73">
        <v>978</v>
      </c>
    </row>
    <row r="211" spans="1:232" x14ac:dyDescent="0.2">
      <c r="A211" s="71" t="s">
        <v>606</v>
      </c>
      <c r="B211" s="71" t="s">
        <v>607</v>
      </c>
      <c r="C211" s="72" t="s">
        <v>200</v>
      </c>
      <c r="D211" s="72">
        <v>12</v>
      </c>
      <c r="E211" s="73">
        <v>45279</v>
      </c>
      <c r="F211" s="73">
        <v>-16361</v>
      </c>
      <c r="G211" s="73">
        <v>-18770</v>
      </c>
      <c r="H211" s="73">
        <v>10148</v>
      </c>
      <c r="I211" s="73">
        <v>146</v>
      </c>
      <c r="J211" s="73">
        <v>-4500</v>
      </c>
      <c r="K211" s="73">
        <v>-37</v>
      </c>
      <c r="L211" s="73">
        <v>0</v>
      </c>
      <c r="M211" s="73">
        <v>9</v>
      </c>
      <c r="N211" s="73">
        <v>-5527</v>
      </c>
      <c r="O211" s="73">
        <v>0</v>
      </c>
      <c r="P211" s="73">
        <v>0</v>
      </c>
      <c r="Q211" s="73">
        <v>0</v>
      </c>
      <c r="R211" s="73">
        <v>0</v>
      </c>
      <c r="S211" s="73">
        <v>239</v>
      </c>
      <c r="T211" s="73">
        <v>-197</v>
      </c>
      <c r="U211" s="73">
        <v>42</v>
      </c>
      <c r="V211" s="73">
        <v>0</v>
      </c>
      <c r="W211" s="73">
        <v>-1017</v>
      </c>
      <c r="X211" s="73">
        <v>0</v>
      </c>
      <c r="Y211" s="73">
        <v>166</v>
      </c>
      <c r="Z211" s="73">
        <v>-809</v>
      </c>
      <c r="AA211" s="73">
        <v>25335</v>
      </c>
      <c r="AB211" s="73">
        <v>1062</v>
      </c>
      <c r="AC211" s="73">
        <v>26397</v>
      </c>
      <c r="AD211" s="73">
        <v>531</v>
      </c>
      <c r="AE211" s="73">
        <v>0</v>
      </c>
      <c r="AF211" s="73">
        <v>360</v>
      </c>
      <c r="AG211" s="73">
        <v>0</v>
      </c>
      <c r="AH211" s="73">
        <v>27288</v>
      </c>
      <c r="AI211" s="73">
        <v>6205</v>
      </c>
      <c r="AJ211" s="73">
        <v>1780</v>
      </c>
      <c r="AK211" s="73">
        <v>2879</v>
      </c>
      <c r="AL211" s="73">
        <v>663</v>
      </c>
      <c r="AM211" s="73">
        <v>1493</v>
      </c>
      <c r="AN211" s="73">
        <v>137</v>
      </c>
      <c r="AO211" s="73">
        <v>3495</v>
      </c>
      <c r="AP211" s="73">
        <v>0</v>
      </c>
      <c r="AQ211" s="73">
        <v>1838</v>
      </c>
      <c r="AR211" s="73">
        <v>18490</v>
      </c>
      <c r="AS211" s="73">
        <v>8798</v>
      </c>
      <c r="AT211" s="73">
        <v>418</v>
      </c>
      <c r="AU211" s="73">
        <v>169491</v>
      </c>
      <c r="AV211" s="73">
        <v>0</v>
      </c>
      <c r="AW211" s="73">
        <v>1417</v>
      </c>
      <c r="AX211" s="73">
        <v>0</v>
      </c>
      <c r="AY211" s="73">
        <v>0</v>
      </c>
      <c r="AZ211" s="73">
        <v>0</v>
      </c>
      <c r="BA211" s="73">
        <v>0</v>
      </c>
      <c r="BB211" s="73">
        <v>0</v>
      </c>
      <c r="BC211" s="73">
        <v>0</v>
      </c>
      <c r="BD211" s="73">
        <v>0</v>
      </c>
      <c r="BE211" s="73">
        <v>170908</v>
      </c>
      <c r="BF211" s="73">
        <v>119</v>
      </c>
      <c r="BG211" s="73">
        <v>1184</v>
      </c>
      <c r="BH211" s="73">
        <v>965</v>
      </c>
      <c r="BI211" s="73">
        <v>0</v>
      </c>
      <c r="BJ211" s="73">
        <v>9423</v>
      </c>
      <c r="BK211" s="73">
        <v>11691</v>
      </c>
      <c r="BL211" s="73">
        <v>0</v>
      </c>
      <c r="BM211" s="73">
        <v>0</v>
      </c>
      <c r="BN211" s="73">
        <v>531</v>
      </c>
      <c r="BO211" s="73">
        <v>9047</v>
      </c>
      <c r="BP211" s="73">
        <v>9578</v>
      </c>
      <c r="BQ211" s="73">
        <v>2113</v>
      </c>
      <c r="BR211" s="73">
        <v>173021</v>
      </c>
      <c r="BS211" s="73">
        <v>129625</v>
      </c>
      <c r="BT211" s="73">
        <v>0</v>
      </c>
      <c r="BU211" s="73">
        <v>1</v>
      </c>
      <c r="BV211" s="73">
        <v>46746</v>
      </c>
      <c r="BW211" s="73">
        <v>0</v>
      </c>
      <c r="BX211" s="73">
        <v>0</v>
      </c>
      <c r="BY211" s="73">
        <v>1271</v>
      </c>
      <c r="BZ211" s="73">
        <v>177643</v>
      </c>
      <c r="CA211" s="73">
        <v>1308</v>
      </c>
      <c r="CB211" s="73">
        <v>0</v>
      </c>
      <c r="CC211" s="73">
        <v>-5930</v>
      </c>
      <c r="CD211" s="73">
        <v>-5930</v>
      </c>
      <c r="CE211" s="73">
        <v>0</v>
      </c>
      <c r="CF211" s="73">
        <v>0</v>
      </c>
      <c r="CG211" s="73">
        <v>0</v>
      </c>
      <c r="CH211" s="73">
        <v>0</v>
      </c>
      <c r="CI211" s="73">
        <v>-5930</v>
      </c>
      <c r="CJ211" s="73">
        <v>0</v>
      </c>
      <c r="CK211" s="73">
        <v>0</v>
      </c>
      <c r="CL211" s="73">
        <v>0</v>
      </c>
      <c r="CM211" s="73">
        <v>0</v>
      </c>
      <c r="CN211" s="73">
        <v>274</v>
      </c>
      <c r="CO211" s="73">
        <v>0</v>
      </c>
      <c r="CP211" s="73">
        <v>217</v>
      </c>
      <c r="CQ211" s="73">
        <v>57</v>
      </c>
      <c r="CR211" s="73">
        <v>0</v>
      </c>
      <c r="CS211" s="73">
        <v>0</v>
      </c>
      <c r="CT211" s="73">
        <v>0</v>
      </c>
      <c r="CU211" s="73">
        <v>0</v>
      </c>
      <c r="CV211" s="73">
        <v>0</v>
      </c>
      <c r="CW211" s="73">
        <v>0</v>
      </c>
      <c r="CX211" s="73">
        <v>0</v>
      </c>
      <c r="CY211" s="73">
        <v>0</v>
      </c>
      <c r="CZ211" s="73">
        <v>66</v>
      </c>
      <c r="DA211" s="73">
        <v>0</v>
      </c>
      <c r="DB211" s="73">
        <v>20</v>
      </c>
      <c r="DC211" s="73">
        <v>46</v>
      </c>
      <c r="DD211" s="73">
        <v>340</v>
      </c>
      <c r="DE211" s="73">
        <v>0</v>
      </c>
      <c r="DF211" s="73">
        <v>237</v>
      </c>
      <c r="DG211" s="73">
        <v>103</v>
      </c>
      <c r="DH211" s="73">
        <v>0</v>
      </c>
      <c r="DI211" s="73">
        <v>0</v>
      </c>
      <c r="DJ211" s="73">
        <v>0</v>
      </c>
      <c r="DK211" s="73">
        <v>0</v>
      </c>
      <c r="DL211" s="73">
        <v>0</v>
      </c>
      <c r="DM211" s="73">
        <v>0</v>
      </c>
      <c r="DN211" s="73">
        <v>0</v>
      </c>
      <c r="DO211" s="73">
        <v>0</v>
      </c>
      <c r="DP211" s="73">
        <v>0</v>
      </c>
      <c r="DQ211" s="73">
        <v>0</v>
      </c>
      <c r="DR211" s="73">
        <v>0</v>
      </c>
      <c r="DS211" s="73">
        <v>0</v>
      </c>
      <c r="DT211" s="73">
        <v>0</v>
      </c>
      <c r="DU211" s="73">
        <v>0</v>
      </c>
      <c r="DV211" s="73">
        <v>0</v>
      </c>
      <c r="DW211" s="73">
        <v>0</v>
      </c>
      <c r="DX211" s="73">
        <v>0</v>
      </c>
      <c r="DY211" s="73">
        <v>0</v>
      </c>
      <c r="DZ211" s="73">
        <v>0</v>
      </c>
      <c r="EA211" s="73">
        <v>0</v>
      </c>
      <c r="EB211" s="73">
        <v>17651</v>
      </c>
      <c r="EC211" s="73">
        <v>16361</v>
      </c>
      <c r="ED211" s="73">
        <v>43</v>
      </c>
      <c r="EE211" s="73">
        <v>1247</v>
      </c>
      <c r="EF211" s="73">
        <v>17651</v>
      </c>
      <c r="EG211" s="73">
        <v>16361</v>
      </c>
      <c r="EH211" s="73">
        <v>43</v>
      </c>
      <c r="EI211" s="73">
        <v>1247</v>
      </c>
      <c r="EJ211" s="73">
        <v>17991</v>
      </c>
      <c r="EK211" s="73">
        <v>16361</v>
      </c>
      <c r="EL211" s="73">
        <v>280</v>
      </c>
      <c r="EM211" s="73">
        <v>1350</v>
      </c>
      <c r="EN211" s="73">
        <v>749</v>
      </c>
      <c r="EO211" s="73">
        <v>567</v>
      </c>
      <c r="EP211" s="73">
        <v>311</v>
      </c>
      <c r="EQ211" s="73">
        <v>567</v>
      </c>
      <c r="ER211" s="73">
        <v>198765</v>
      </c>
      <c r="ES211" s="73">
        <v>0</v>
      </c>
      <c r="ET211" s="73">
        <v>198765</v>
      </c>
      <c r="EU211" s="73">
        <v>2488</v>
      </c>
      <c r="EV211" s="73">
        <v>-712</v>
      </c>
      <c r="EW211" s="73">
        <v>0</v>
      </c>
      <c r="EX211" s="73">
        <v>0</v>
      </c>
      <c r="EY211" s="73">
        <v>0</v>
      </c>
      <c r="EZ211" s="73">
        <v>200541</v>
      </c>
      <c r="FA211" s="73">
        <v>27878</v>
      </c>
      <c r="FB211" s="73">
        <v>3496</v>
      </c>
      <c r="FC211" s="73">
        <v>0</v>
      </c>
      <c r="FD211" s="73">
        <v>0</v>
      </c>
      <c r="FE211" s="73">
        <v>-324</v>
      </c>
      <c r="FF211" s="73">
        <v>0</v>
      </c>
      <c r="FG211" s="73">
        <v>0</v>
      </c>
      <c r="FH211" s="73">
        <v>31050</v>
      </c>
      <c r="FI211" s="73">
        <v>169491</v>
      </c>
      <c r="FJ211" s="73">
        <v>170887</v>
      </c>
      <c r="FK211" s="73">
        <v>290</v>
      </c>
      <c r="FL211" s="73">
        <v>180</v>
      </c>
      <c r="FM211" s="73">
        <v>110</v>
      </c>
      <c r="FN211" s="73">
        <v>269</v>
      </c>
      <c r="FO211" s="73">
        <v>237</v>
      </c>
      <c r="FP211" s="73">
        <v>32</v>
      </c>
      <c r="FQ211" s="73">
        <v>160</v>
      </c>
      <c r="FR211" s="73">
        <v>156</v>
      </c>
      <c r="FS211" s="73">
        <v>4</v>
      </c>
      <c r="FT211" s="73">
        <v>0</v>
      </c>
      <c r="FU211" s="73">
        <v>0</v>
      </c>
      <c r="FV211" s="73">
        <v>0</v>
      </c>
      <c r="FW211" s="73">
        <v>0</v>
      </c>
      <c r="FX211" s="73">
        <v>0</v>
      </c>
      <c r="FY211" s="73">
        <v>0</v>
      </c>
      <c r="FZ211" s="73">
        <v>280</v>
      </c>
      <c r="GA211" s="73">
        <v>280</v>
      </c>
      <c r="GB211" s="73">
        <v>0</v>
      </c>
      <c r="GC211" s="73">
        <v>999</v>
      </c>
      <c r="GD211" s="73">
        <v>853</v>
      </c>
      <c r="GE211" s="73">
        <v>146</v>
      </c>
      <c r="GF211" s="73">
        <v>1114</v>
      </c>
      <c r="GG211" s="73">
        <v>0</v>
      </c>
      <c r="GH211" s="73">
        <v>0</v>
      </c>
      <c r="GI211" s="73">
        <v>0</v>
      </c>
      <c r="GJ211" s="73">
        <v>0</v>
      </c>
      <c r="GK211" s="73">
        <v>8309</v>
      </c>
      <c r="GL211" s="73">
        <v>9423</v>
      </c>
      <c r="GM211" s="73">
        <v>983</v>
      </c>
      <c r="GN211" s="73">
        <v>925</v>
      </c>
      <c r="GO211" s="73">
        <v>676</v>
      </c>
      <c r="GP211" s="73">
        <v>0</v>
      </c>
      <c r="GQ211" s="73">
        <v>0</v>
      </c>
      <c r="GR211" s="73">
        <v>3389</v>
      </c>
      <c r="GS211" s="73">
        <v>9</v>
      </c>
      <c r="GT211" s="73">
        <v>0</v>
      </c>
      <c r="GU211" s="73">
        <v>0</v>
      </c>
      <c r="GV211" s="73">
        <v>0</v>
      </c>
      <c r="GW211" s="73">
        <v>3065</v>
      </c>
      <c r="GX211" s="73">
        <v>9047</v>
      </c>
      <c r="GY211" s="73">
        <v>0</v>
      </c>
      <c r="GZ211" s="73">
        <v>0</v>
      </c>
      <c r="HA211" s="73">
        <v>1271</v>
      </c>
      <c r="HB211" s="73">
        <v>0</v>
      </c>
      <c r="HC211" s="73">
        <v>1271</v>
      </c>
      <c r="HD211" s="73">
        <v>0</v>
      </c>
      <c r="HE211" s="73">
        <v>0</v>
      </c>
      <c r="HF211" s="73">
        <v>0</v>
      </c>
      <c r="HG211" s="73">
        <v>5435</v>
      </c>
      <c r="HH211" s="73">
        <v>92</v>
      </c>
      <c r="HI211" s="73">
        <v>0</v>
      </c>
      <c r="HJ211" s="73">
        <v>0</v>
      </c>
      <c r="HK211" s="73">
        <v>0</v>
      </c>
      <c r="HL211" s="73">
        <v>0</v>
      </c>
      <c r="HM211" s="73">
        <v>5527</v>
      </c>
      <c r="HN211" s="73">
        <v>2391</v>
      </c>
      <c r="HO211" s="73">
        <v>3581</v>
      </c>
      <c r="HP211" s="73">
        <v>0</v>
      </c>
      <c r="HQ211" s="73">
        <v>0</v>
      </c>
      <c r="HR211" s="73">
        <v>-11</v>
      </c>
      <c r="HS211" s="73">
        <v>45</v>
      </c>
      <c r="HT211" s="73">
        <v>5425</v>
      </c>
      <c r="HU211" s="73">
        <v>0</v>
      </c>
      <c r="HV211" s="73">
        <v>0</v>
      </c>
      <c r="HW211" s="73">
        <v>0</v>
      </c>
      <c r="HX211" s="73">
        <v>93</v>
      </c>
    </row>
    <row r="212" spans="1:232" x14ac:dyDescent="0.2">
      <c r="A212" s="74" t="s">
        <v>608</v>
      </c>
      <c r="B212" s="74" t="s">
        <v>609</v>
      </c>
      <c r="C212" s="75" t="s">
        <v>200</v>
      </c>
      <c r="D212" s="75">
        <v>12</v>
      </c>
      <c r="E212" s="76">
        <v>43512</v>
      </c>
      <c r="F212" s="76">
        <v>-1248</v>
      </c>
      <c r="G212" s="76">
        <v>-28814</v>
      </c>
      <c r="H212" s="76">
        <v>13450</v>
      </c>
      <c r="I212" s="76">
        <v>266</v>
      </c>
      <c r="J212" s="76">
        <v>4500</v>
      </c>
      <c r="K212" s="76">
        <v>-481</v>
      </c>
      <c r="L212" s="76">
        <v>0</v>
      </c>
      <c r="M212" s="76">
        <v>247</v>
      </c>
      <c r="N212" s="76">
        <v>-7819</v>
      </c>
      <c r="O212" s="76">
        <v>0</v>
      </c>
      <c r="P212" s="76">
        <v>0</v>
      </c>
      <c r="Q212" s="76">
        <v>0</v>
      </c>
      <c r="R212" s="76">
        <v>0</v>
      </c>
      <c r="S212" s="76">
        <v>10163</v>
      </c>
      <c r="T212" s="76">
        <v>0</v>
      </c>
      <c r="U212" s="76">
        <v>10163</v>
      </c>
      <c r="V212" s="76">
        <v>0</v>
      </c>
      <c r="W212" s="76">
        <v>-1820</v>
      </c>
      <c r="X212" s="76">
        <v>0</v>
      </c>
      <c r="Y212" s="76">
        <v>0</v>
      </c>
      <c r="Z212" s="76">
        <v>8343</v>
      </c>
      <c r="AA212" s="76">
        <v>33691</v>
      </c>
      <c r="AB212" s="76">
        <v>1398</v>
      </c>
      <c r="AC212" s="76">
        <v>35089</v>
      </c>
      <c r="AD212" s="76">
        <v>2419</v>
      </c>
      <c r="AE212" s="76">
        <v>0</v>
      </c>
      <c r="AF212" s="76">
        <v>0</v>
      </c>
      <c r="AG212" s="76">
        <v>38</v>
      </c>
      <c r="AH212" s="76">
        <v>37546</v>
      </c>
      <c r="AI212" s="76">
        <v>5484</v>
      </c>
      <c r="AJ212" s="76">
        <v>1425</v>
      </c>
      <c r="AK212" s="76">
        <v>9328</v>
      </c>
      <c r="AL212" s="76">
        <v>0</v>
      </c>
      <c r="AM212" s="76">
        <v>1001</v>
      </c>
      <c r="AN212" s="76">
        <v>238</v>
      </c>
      <c r="AO212" s="76">
        <v>7998</v>
      </c>
      <c r="AP212" s="76">
        <v>0</v>
      </c>
      <c r="AQ212" s="76">
        <v>40</v>
      </c>
      <c r="AR212" s="76">
        <v>25514</v>
      </c>
      <c r="AS212" s="76">
        <v>12032</v>
      </c>
      <c r="AT212" s="76">
        <v>335</v>
      </c>
      <c r="AU212" s="76">
        <v>412393</v>
      </c>
      <c r="AV212" s="76">
        <v>0</v>
      </c>
      <c r="AW212" s="76">
        <v>2078</v>
      </c>
      <c r="AX212" s="76">
        <v>0</v>
      </c>
      <c r="AY212" s="76">
        <v>1492</v>
      </c>
      <c r="AZ212" s="76">
        <v>5980</v>
      </c>
      <c r="BA212" s="76">
        <v>0</v>
      </c>
      <c r="BB212" s="76">
        <v>0</v>
      </c>
      <c r="BC212" s="76">
        <v>0</v>
      </c>
      <c r="BD212" s="76">
        <v>0</v>
      </c>
      <c r="BE212" s="76">
        <v>421943</v>
      </c>
      <c r="BF212" s="76">
        <v>1193</v>
      </c>
      <c r="BG212" s="76">
        <v>1591</v>
      </c>
      <c r="BH212" s="76">
        <v>5689</v>
      </c>
      <c r="BI212" s="76">
        <v>0</v>
      </c>
      <c r="BJ212" s="76">
        <v>3436</v>
      </c>
      <c r="BK212" s="76">
        <v>11909</v>
      </c>
      <c r="BL212" s="76">
        <v>2437</v>
      </c>
      <c r="BM212" s="76">
        <v>0</v>
      </c>
      <c r="BN212" s="76">
        <v>2487</v>
      </c>
      <c r="BO212" s="76">
        <v>9272</v>
      </c>
      <c r="BP212" s="76">
        <v>14196</v>
      </c>
      <c r="BQ212" s="76">
        <v>-2287</v>
      </c>
      <c r="BR212" s="76">
        <v>419656</v>
      </c>
      <c r="BS212" s="76">
        <v>163342</v>
      </c>
      <c r="BT212" s="76">
        <v>0</v>
      </c>
      <c r="BU212" s="76">
        <v>0</v>
      </c>
      <c r="BV212" s="76">
        <v>188418</v>
      </c>
      <c r="BW212" s="76">
        <v>1020</v>
      </c>
      <c r="BX212" s="76">
        <v>0</v>
      </c>
      <c r="BY212" s="76">
        <v>2147</v>
      </c>
      <c r="BZ212" s="76">
        <v>354927</v>
      </c>
      <c r="CA212" s="76">
        <v>9562</v>
      </c>
      <c r="CB212" s="76">
        <v>0</v>
      </c>
      <c r="CC212" s="76">
        <v>55167</v>
      </c>
      <c r="CD212" s="76">
        <v>55167</v>
      </c>
      <c r="CE212" s="76">
        <v>0</v>
      </c>
      <c r="CF212" s="76">
        <v>0</v>
      </c>
      <c r="CG212" s="76">
        <v>0</v>
      </c>
      <c r="CH212" s="76">
        <v>0</v>
      </c>
      <c r="CI212" s="76">
        <v>55167</v>
      </c>
      <c r="CJ212" s="76">
        <v>1724</v>
      </c>
      <c r="CK212" s="76">
        <v>1248</v>
      </c>
      <c r="CL212" s="76">
        <v>0</v>
      </c>
      <c r="CM212" s="76">
        <v>476</v>
      </c>
      <c r="CN212" s="76">
        <v>341</v>
      </c>
      <c r="CO212" s="76">
        <v>0</v>
      </c>
      <c r="CP212" s="76">
        <v>361</v>
      </c>
      <c r="CQ212" s="76">
        <v>-20</v>
      </c>
      <c r="CR212" s="76">
        <v>0</v>
      </c>
      <c r="CS212" s="76">
        <v>0</v>
      </c>
      <c r="CT212" s="76">
        <v>0</v>
      </c>
      <c r="CU212" s="76">
        <v>0</v>
      </c>
      <c r="CV212" s="76">
        <v>0</v>
      </c>
      <c r="CW212" s="76">
        <v>0</v>
      </c>
      <c r="CX212" s="76">
        <v>0</v>
      </c>
      <c r="CY212" s="76">
        <v>0</v>
      </c>
      <c r="CZ212" s="76">
        <v>2301</v>
      </c>
      <c r="DA212" s="76">
        <v>0</v>
      </c>
      <c r="DB212" s="76">
        <v>1024</v>
      </c>
      <c r="DC212" s="76">
        <v>1277</v>
      </c>
      <c r="DD212" s="76">
        <v>4366</v>
      </c>
      <c r="DE212" s="76">
        <v>1248</v>
      </c>
      <c r="DF212" s="76">
        <v>1385</v>
      </c>
      <c r="DG212" s="76">
        <v>1733</v>
      </c>
      <c r="DH212" s="76">
        <v>0</v>
      </c>
      <c r="DI212" s="76">
        <v>0</v>
      </c>
      <c r="DJ212" s="76">
        <v>0</v>
      </c>
      <c r="DK212" s="76">
        <v>0</v>
      </c>
      <c r="DL212" s="76">
        <v>0</v>
      </c>
      <c r="DM212" s="76">
        <v>0</v>
      </c>
      <c r="DN212" s="76">
        <v>0</v>
      </c>
      <c r="DO212" s="76">
        <v>0</v>
      </c>
      <c r="DP212" s="76">
        <v>0</v>
      </c>
      <c r="DQ212" s="76">
        <v>0</v>
      </c>
      <c r="DR212" s="76">
        <v>0</v>
      </c>
      <c r="DS212" s="76">
        <v>0</v>
      </c>
      <c r="DT212" s="76">
        <v>727</v>
      </c>
      <c r="DU212" s="76">
        <v>0</v>
      </c>
      <c r="DV212" s="76">
        <v>745</v>
      </c>
      <c r="DW212" s="76">
        <v>-18</v>
      </c>
      <c r="DX212" s="76">
        <v>0</v>
      </c>
      <c r="DY212" s="76">
        <v>0</v>
      </c>
      <c r="DZ212" s="76">
        <v>0</v>
      </c>
      <c r="EA212" s="76">
        <v>0</v>
      </c>
      <c r="EB212" s="76">
        <v>873</v>
      </c>
      <c r="EC212" s="76">
        <v>0</v>
      </c>
      <c r="ED212" s="76">
        <v>1170</v>
      </c>
      <c r="EE212" s="76">
        <v>-297</v>
      </c>
      <c r="EF212" s="76">
        <v>1600</v>
      </c>
      <c r="EG212" s="76">
        <v>0</v>
      </c>
      <c r="EH212" s="76">
        <v>1915</v>
      </c>
      <c r="EI212" s="76">
        <v>-315</v>
      </c>
      <c r="EJ212" s="76">
        <v>5966</v>
      </c>
      <c r="EK212" s="76">
        <v>1248</v>
      </c>
      <c r="EL212" s="76">
        <v>3300</v>
      </c>
      <c r="EM212" s="76">
        <v>1418</v>
      </c>
      <c r="EN212" s="76">
        <v>1634</v>
      </c>
      <c r="EO212" s="76">
        <v>886</v>
      </c>
      <c r="EP212" s="76">
        <v>834</v>
      </c>
      <c r="EQ212" s="76">
        <v>886</v>
      </c>
      <c r="ER212" s="76">
        <v>482450</v>
      </c>
      <c r="ES212" s="76">
        <v>0</v>
      </c>
      <c r="ET212" s="76">
        <v>482450</v>
      </c>
      <c r="EU212" s="76">
        <v>16143</v>
      </c>
      <c r="EV212" s="76">
        <v>-2871</v>
      </c>
      <c r="EW212" s="76">
        <v>0</v>
      </c>
      <c r="EX212" s="76">
        <v>0</v>
      </c>
      <c r="EY212" s="76">
        <v>-1328</v>
      </c>
      <c r="EZ212" s="76">
        <v>494394</v>
      </c>
      <c r="FA212" s="76">
        <v>75263</v>
      </c>
      <c r="FB212" s="76">
        <v>8301</v>
      </c>
      <c r="FC212" s="76">
        <v>0</v>
      </c>
      <c r="FD212" s="76">
        <v>0</v>
      </c>
      <c r="FE212" s="76">
        <v>-1563</v>
      </c>
      <c r="FF212" s="76">
        <v>0</v>
      </c>
      <c r="FG212" s="76">
        <v>0</v>
      </c>
      <c r="FH212" s="76">
        <v>82001</v>
      </c>
      <c r="FI212" s="76">
        <v>412393</v>
      </c>
      <c r="FJ212" s="76">
        <v>407187</v>
      </c>
      <c r="FK212" s="76">
        <v>527</v>
      </c>
      <c r="FL212" s="76">
        <v>349</v>
      </c>
      <c r="FM212" s="76">
        <v>178</v>
      </c>
      <c r="FN212" s="76">
        <v>125</v>
      </c>
      <c r="FO212" s="76">
        <v>78</v>
      </c>
      <c r="FP212" s="76">
        <v>47</v>
      </c>
      <c r="FQ212" s="76">
        <v>70</v>
      </c>
      <c r="FR212" s="76">
        <v>64</v>
      </c>
      <c r="FS212" s="76">
        <v>6</v>
      </c>
      <c r="FT212" s="76">
        <v>558</v>
      </c>
      <c r="FU212" s="76">
        <v>293</v>
      </c>
      <c r="FV212" s="76">
        <v>265</v>
      </c>
      <c r="FW212" s="76">
        <v>0</v>
      </c>
      <c r="FX212" s="76">
        <v>0</v>
      </c>
      <c r="FY212" s="76">
        <v>0</v>
      </c>
      <c r="FZ212" s="76">
        <v>1040</v>
      </c>
      <c r="GA212" s="76">
        <v>1270</v>
      </c>
      <c r="GB212" s="76">
        <v>-230</v>
      </c>
      <c r="GC212" s="76">
        <v>2320</v>
      </c>
      <c r="GD212" s="76">
        <v>2054</v>
      </c>
      <c r="GE212" s="76">
        <v>266</v>
      </c>
      <c r="GF212" s="76">
        <v>3409</v>
      </c>
      <c r="GG212" s="76">
        <v>27</v>
      </c>
      <c r="GH212" s="76">
        <v>0</v>
      </c>
      <c r="GI212" s="76">
        <v>0</v>
      </c>
      <c r="GJ212" s="76">
        <v>0</v>
      </c>
      <c r="GK212" s="76">
        <v>0</v>
      </c>
      <c r="GL212" s="76">
        <v>3436</v>
      </c>
      <c r="GM212" s="76">
        <v>1022</v>
      </c>
      <c r="GN212" s="76">
        <v>1344</v>
      </c>
      <c r="GO212" s="76">
        <v>482</v>
      </c>
      <c r="GP212" s="76">
        <v>1712</v>
      </c>
      <c r="GQ212" s="76">
        <v>160</v>
      </c>
      <c r="GR212" s="76">
        <v>2428</v>
      </c>
      <c r="GS212" s="76">
        <v>13</v>
      </c>
      <c r="GT212" s="76">
        <v>0</v>
      </c>
      <c r="GU212" s="76">
        <v>98</v>
      </c>
      <c r="GV212" s="76">
        <v>0</v>
      </c>
      <c r="GW212" s="76">
        <v>2013</v>
      </c>
      <c r="GX212" s="76">
        <v>9272</v>
      </c>
      <c r="GY212" s="76">
        <v>971</v>
      </c>
      <c r="GZ212" s="76">
        <v>442</v>
      </c>
      <c r="HA212" s="76">
        <v>734</v>
      </c>
      <c r="HB212" s="76">
        <v>0</v>
      </c>
      <c r="HC212" s="76">
        <v>2147</v>
      </c>
      <c r="HD212" s="76">
        <v>0</v>
      </c>
      <c r="HE212" s="76">
        <v>0</v>
      </c>
      <c r="HF212" s="76">
        <v>0</v>
      </c>
      <c r="HG212" s="76">
        <v>7698</v>
      </c>
      <c r="HH212" s="76">
        <v>287</v>
      </c>
      <c r="HI212" s="76">
        <v>0</v>
      </c>
      <c r="HJ212" s="76">
        <v>13</v>
      </c>
      <c r="HK212" s="76">
        <v>0</v>
      </c>
      <c r="HL212" s="76">
        <v>-179</v>
      </c>
      <c r="HM212" s="76">
        <v>7819</v>
      </c>
      <c r="HN212" s="76">
        <v>3877</v>
      </c>
      <c r="HO212" s="76">
        <v>8949</v>
      </c>
      <c r="HP212" s="76">
        <v>409</v>
      </c>
      <c r="HQ212" s="76">
        <v>45</v>
      </c>
      <c r="HR212" s="76">
        <v>-22</v>
      </c>
      <c r="HS212" s="76">
        <v>-1</v>
      </c>
      <c r="HT212" s="76">
        <v>7521</v>
      </c>
      <c r="HU212" s="76">
        <v>0</v>
      </c>
      <c r="HV212" s="76">
        <v>0</v>
      </c>
      <c r="HW212" s="76">
        <v>1</v>
      </c>
      <c r="HX212" s="76">
        <v>289</v>
      </c>
    </row>
    <row r="213" spans="1:232" x14ac:dyDescent="0.2">
      <c r="A213" s="74" t="s">
        <v>145</v>
      </c>
      <c r="B213" s="74" t="s">
        <v>144</v>
      </c>
      <c r="C213" s="75" t="s">
        <v>200</v>
      </c>
      <c r="D213" s="75">
        <v>12</v>
      </c>
      <c r="E213" s="76">
        <v>64685</v>
      </c>
      <c r="F213" s="76">
        <v>-991</v>
      </c>
      <c r="G213" s="76">
        <v>-51476</v>
      </c>
      <c r="H213" s="76">
        <v>12218</v>
      </c>
      <c r="I213" s="76">
        <v>-1437</v>
      </c>
      <c r="J213" s="76">
        <v>931</v>
      </c>
      <c r="K213" s="76">
        <v>0</v>
      </c>
      <c r="L213" s="76">
        <v>0</v>
      </c>
      <c r="M213" s="76">
        <v>71</v>
      </c>
      <c r="N213" s="76">
        <v>-5314</v>
      </c>
      <c r="O213" s="76">
        <v>-7</v>
      </c>
      <c r="P213" s="76">
        <v>0</v>
      </c>
      <c r="Q213" s="76">
        <v>0</v>
      </c>
      <c r="R213" s="76">
        <v>0</v>
      </c>
      <c r="S213" s="76">
        <v>6462</v>
      </c>
      <c r="T213" s="76">
        <v>0</v>
      </c>
      <c r="U213" s="76">
        <v>6462</v>
      </c>
      <c r="V213" s="76">
        <v>0</v>
      </c>
      <c r="W213" s="76">
        <v>-17932</v>
      </c>
      <c r="X213" s="76">
        <v>0</v>
      </c>
      <c r="Y213" s="76">
        <v>0</v>
      </c>
      <c r="Z213" s="76">
        <v>-11470</v>
      </c>
      <c r="AA213" s="76">
        <v>55192</v>
      </c>
      <c r="AB213" s="76">
        <v>3806</v>
      </c>
      <c r="AC213" s="76">
        <v>58998</v>
      </c>
      <c r="AD213" s="76">
        <v>589</v>
      </c>
      <c r="AE213" s="76">
        <v>0</v>
      </c>
      <c r="AF213" s="76">
        <v>0</v>
      </c>
      <c r="AG213" s="76">
        <v>0</v>
      </c>
      <c r="AH213" s="76">
        <v>59587</v>
      </c>
      <c r="AI213" s="76">
        <v>8183</v>
      </c>
      <c r="AJ213" s="76">
        <v>4168</v>
      </c>
      <c r="AK213" s="76">
        <v>9616</v>
      </c>
      <c r="AL213" s="76">
        <v>5226</v>
      </c>
      <c r="AM213" s="76">
        <v>8120</v>
      </c>
      <c r="AN213" s="76">
        <v>248</v>
      </c>
      <c r="AO213" s="76">
        <v>11374</v>
      </c>
      <c r="AP213" s="76">
        <v>0</v>
      </c>
      <c r="AQ213" s="76">
        <v>2454</v>
      </c>
      <c r="AR213" s="76">
        <v>49389</v>
      </c>
      <c r="AS213" s="76">
        <v>10198</v>
      </c>
      <c r="AT213" s="76">
        <v>222</v>
      </c>
      <c r="AU213" s="76">
        <v>475381</v>
      </c>
      <c r="AV213" s="76">
        <v>0</v>
      </c>
      <c r="AW213" s="76">
        <v>14043</v>
      </c>
      <c r="AX213" s="76">
        <v>0</v>
      </c>
      <c r="AY213" s="76">
        <v>0</v>
      </c>
      <c r="AZ213" s="76">
        <v>13581</v>
      </c>
      <c r="BA213" s="76">
        <v>0</v>
      </c>
      <c r="BB213" s="76">
        <v>0</v>
      </c>
      <c r="BC213" s="76">
        <v>0</v>
      </c>
      <c r="BD213" s="76">
        <v>9360</v>
      </c>
      <c r="BE213" s="76">
        <v>512365</v>
      </c>
      <c r="BF213" s="76">
        <v>3270</v>
      </c>
      <c r="BG213" s="76">
        <v>6877</v>
      </c>
      <c r="BH213" s="76">
        <v>9315</v>
      </c>
      <c r="BI213" s="76">
        <v>0</v>
      </c>
      <c r="BJ213" s="76">
        <v>11844</v>
      </c>
      <c r="BK213" s="76">
        <v>31306</v>
      </c>
      <c r="BL213" s="76">
        <v>0</v>
      </c>
      <c r="BM213" s="76">
        <v>0</v>
      </c>
      <c r="BN213" s="76">
        <v>618</v>
      </c>
      <c r="BO213" s="76">
        <v>26277</v>
      </c>
      <c r="BP213" s="76">
        <v>26895</v>
      </c>
      <c r="BQ213" s="76">
        <v>4411</v>
      </c>
      <c r="BR213" s="76">
        <v>516776</v>
      </c>
      <c r="BS213" s="76">
        <v>59479</v>
      </c>
      <c r="BT213" s="76">
        <v>0</v>
      </c>
      <c r="BU213" s="76">
        <v>0</v>
      </c>
      <c r="BV213" s="76">
        <v>24043</v>
      </c>
      <c r="BW213" s="76">
        <v>0</v>
      </c>
      <c r="BX213" s="76">
        <v>0</v>
      </c>
      <c r="BY213" s="76">
        <v>473</v>
      </c>
      <c r="BZ213" s="76">
        <v>83995</v>
      </c>
      <c r="CA213" s="76">
        <v>30890</v>
      </c>
      <c r="CB213" s="76">
        <v>0</v>
      </c>
      <c r="CC213" s="76">
        <v>401891</v>
      </c>
      <c r="CD213" s="76">
        <v>146299</v>
      </c>
      <c r="CE213" s="76">
        <v>286482</v>
      </c>
      <c r="CF213" s="76">
        <v>0</v>
      </c>
      <c r="CG213" s="76">
        <v>0</v>
      </c>
      <c r="CH213" s="76">
        <v>-30890</v>
      </c>
      <c r="CI213" s="76">
        <v>401891</v>
      </c>
      <c r="CJ213" s="76">
        <v>1023</v>
      </c>
      <c r="CK213" s="76">
        <v>894</v>
      </c>
      <c r="CL213" s="76">
        <v>0</v>
      </c>
      <c r="CM213" s="76">
        <v>129</v>
      </c>
      <c r="CN213" s="76">
        <v>0</v>
      </c>
      <c r="CO213" s="76">
        <v>0</v>
      </c>
      <c r="CP213" s="76">
        <v>0</v>
      </c>
      <c r="CQ213" s="76">
        <v>0</v>
      </c>
      <c r="CR213" s="76">
        <v>0</v>
      </c>
      <c r="CS213" s="76">
        <v>0</v>
      </c>
      <c r="CT213" s="76">
        <v>613</v>
      </c>
      <c r="CU213" s="76">
        <v>-613</v>
      </c>
      <c r="CV213" s="76">
        <v>0</v>
      </c>
      <c r="CW213" s="76">
        <v>0</v>
      </c>
      <c r="CX213" s="76">
        <v>714</v>
      </c>
      <c r="CY213" s="76">
        <v>-714</v>
      </c>
      <c r="CZ213" s="76">
        <v>2571</v>
      </c>
      <c r="DA213" s="76">
        <v>0</v>
      </c>
      <c r="DB213" s="76">
        <v>253</v>
      </c>
      <c r="DC213" s="76">
        <v>2318</v>
      </c>
      <c r="DD213" s="76">
        <v>3594</v>
      </c>
      <c r="DE213" s="76">
        <v>894</v>
      </c>
      <c r="DF213" s="76">
        <v>1580</v>
      </c>
      <c r="DG213" s="76">
        <v>1120</v>
      </c>
      <c r="DH213" s="76">
        <v>0</v>
      </c>
      <c r="DI213" s="76">
        <v>0</v>
      </c>
      <c r="DJ213" s="76">
        <v>0</v>
      </c>
      <c r="DK213" s="76">
        <v>0</v>
      </c>
      <c r="DL213" s="76">
        <v>0</v>
      </c>
      <c r="DM213" s="76">
        <v>0</v>
      </c>
      <c r="DN213" s="76">
        <v>0</v>
      </c>
      <c r="DO213" s="76">
        <v>0</v>
      </c>
      <c r="DP213" s="76">
        <v>0</v>
      </c>
      <c r="DQ213" s="76">
        <v>0</v>
      </c>
      <c r="DR213" s="76">
        <v>0</v>
      </c>
      <c r="DS213" s="76">
        <v>0</v>
      </c>
      <c r="DT213" s="76">
        <v>0</v>
      </c>
      <c r="DU213" s="76">
        <v>0</v>
      </c>
      <c r="DV213" s="76">
        <v>0</v>
      </c>
      <c r="DW213" s="76">
        <v>0</v>
      </c>
      <c r="DX213" s="76">
        <v>0</v>
      </c>
      <c r="DY213" s="76">
        <v>0</v>
      </c>
      <c r="DZ213" s="76">
        <v>0</v>
      </c>
      <c r="EA213" s="76">
        <v>0</v>
      </c>
      <c r="EB213" s="76">
        <v>1504</v>
      </c>
      <c r="EC213" s="76">
        <v>97</v>
      </c>
      <c r="ED213" s="76">
        <v>507</v>
      </c>
      <c r="EE213" s="76">
        <v>900</v>
      </c>
      <c r="EF213" s="76">
        <v>1504</v>
      </c>
      <c r="EG213" s="76">
        <v>97</v>
      </c>
      <c r="EH213" s="76">
        <v>507</v>
      </c>
      <c r="EI213" s="76">
        <v>900</v>
      </c>
      <c r="EJ213" s="76">
        <v>5098</v>
      </c>
      <c r="EK213" s="76">
        <v>991</v>
      </c>
      <c r="EL213" s="76">
        <v>2087</v>
      </c>
      <c r="EM213" s="76">
        <v>2020</v>
      </c>
      <c r="EN213" s="76">
        <v>1448</v>
      </c>
      <c r="EO213" s="76">
        <v>912</v>
      </c>
      <c r="EP213" s="76">
        <v>386</v>
      </c>
      <c r="EQ213" s="76">
        <v>912</v>
      </c>
      <c r="ER213" s="76">
        <v>487341</v>
      </c>
      <c r="ES213" s="76">
        <v>0</v>
      </c>
      <c r="ET213" s="76">
        <v>487341</v>
      </c>
      <c r="EU213" s="76">
        <v>28882</v>
      </c>
      <c r="EV213" s="76">
        <v>-4627</v>
      </c>
      <c r="EW213" s="76">
        <v>0</v>
      </c>
      <c r="EX213" s="76">
        <v>0</v>
      </c>
      <c r="EY213" s="76">
        <v>0</v>
      </c>
      <c r="EZ213" s="76">
        <v>511596</v>
      </c>
      <c r="FA213" s="76">
        <v>25715</v>
      </c>
      <c r="FB213" s="76">
        <v>11374</v>
      </c>
      <c r="FC213" s="76">
        <v>0</v>
      </c>
      <c r="FD213" s="76">
        <v>0</v>
      </c>
      <c r="FE213" s="76">
        <v>-874</v>
      </c>
      <c r="FF213" s="76">
        <v>0</v>
      </c>
      <c r="FG213" s="76">
        <v>0</v>
      </c>
      <c r="FH213" s="76">
        <v>36215</v>
      </c>
      <c r="FI213" s="76">
        <v>475381</v>
      </c>
      <c r="FJ213" s="76">
        <v>461626</v>
      </c>
      <c r="FK213" s="76">
        <v>48</v>
      </c>
      <c r="FL213" s="76">
        <v>46</v>
      </c>
      <c r="FM213" s="76">
        <v>2</v>
      </c>
      <c r="FN213" s="76">
        <v>4640</v>
      </c>
      <c r="FO213" s="76">
        <v>6614</v>
      </c>
      <c r="FP213" s="76">
        <v>-1974</v>
      </c>
      <c r="FQ213" s="76">
        <v>592</v>
      </c>
      <c r="FR213" s="76">
        <v>741</v>
      </c>
      <c r="FS213" s="76">
        <v>-149</v>
      </c>
      <c r="FT213" s="76">
        <v>1088</v>
      </c>
      <c r="FU213" s="76">
        <v>482</v>
      </c>
      <c r="FV213" s="76">
        <v>606</v>
      </c>
      <c r="FW213" s="76">
        <v>0</v>
      </c>
      <c r="FX213" s="76">
        <v>0</v>
      </c>
      <c r="FY213" s="76">
        <v>0</v>
      </c>
      <c r="FZ213" s="76">
        <v>78</v>
      </c>
      <c r="GA213" s="76">
        <v>0</v>
      </c>
      <c r="GB213" s="76">
        <v>78</v>
      </c>
      <c r="GC213" s="76">
        <v>6446</v>
      </c>
      <c r="GD213" s="76">
        <v>7883</v>
      </c>
      <c r="GE213" s="76">
        <v>-1437</v>
      </c>
      <c r="GF213" s="76">
        <v>0</v>
      </c>
      <c r="GG213" s="76">
        <v>0</v>
      </c>
      <c r="GH213" s="76">
        <v>0</v>
      </c>
      <c r="GI213" s="76">
        <v>0</v>
      </c>
      <c r="GJ213" s="76">
        <v>0</v>
      </c>
      <c r="GK213" s="76">
        <v>11844</v>
      </c>
      <c r="GL213" s="76">
        <v>11844</v>
      </c>
      <c r="GM213" s="76">
        <v>1248</v>
      </c>
      <c r="GN213" s="76">
        <v>2452</v>
      </c>
      <c r="GO213" s="76">
        <v>33</v>
      </c>
      <c r="GP213" s="76">
        <v>0</v>
      </c>
      <c r="GQ213" s="76">
        <v>0</v>
      </c>
      <c r="GR213" s="76">
        <v>8920</v>
      </c>
      <c r="GS213" s="76">
        <v>0</v>
      </c>
      <c r="GT213" s="76">
        <v>0</v>
      </c>
      <c r="GU213" s="76">
        <v>0</v>
      </c>
      <c r="GV213" s="76">
        <v>0</v>
      </c>
      <c r="GW213" s="76">
        <v>13624</v>
      </c>
      <c r="GX213" s="76">
        <v>26277</v>
      </c>
      <c r="GY213" s="76">
        <v>44</v>
      </c>
      <c r="GZ213" s="76">
        <v>429</v>
      </c>
      <c r="HA213" s="76">
        <v>0</v>
      </c>
      <c r="HB213" s="76">
        <v>0</v>
      </c>
      <c r="HC213" s="76">
        <v>473</v>
      </c>
      <c r="HD213" s="76">
        <v>0</v>
      </c>
      <c r="HE213" s="76">
        <v>0</v>
      </c>
      <c r="HF213" s="76">
        <v>0</v>
      </c>
      <c r="HG213" s="76">
        <v>4976</v>
      </c>
      <c r="HH213" s="76">
        <v>164</v>
      </c>
      <c r="HI213" s="76">
        <v>0</v>
      </c>
      <c r="HJ213" s="76">
        <v>0</v>
      </c>
      <c r="HK213" s="76">
        <v>431</v>
      </c>
      <c r="HL213" s="76">
        <v>-257</v>
      </c>
      <c r="HM213" s="76">
        <v>5314</v>
      </c>
      <c r="HN213" s="76">
        <v>7683</v>
      </c>
      <c r="HO213" s="76">
        <v>12891</v>
      </c>
      <c r="HP213" s="76">
        <v>0</v>
      </c>
      <c r="HQ213" s="76">
        <v>60</v>
      </c>
      <c r="HR213" s="76">
        <v>-241</v>
      </c>
      <c r="HS213" s="76">
        <v>79</v>
      </c>
      <c r="HT213" s="76">
        <v>14183</v>
      </c>
      <c r="HU213" s="76">
        <v>0</v>
      </c>
      <c r="HV213" s="76">
        <v>0</v>
      </c>
      <c r="HW213" s="76">
        <v>60</v>
      </c>
      <c r="HX213" s="76">
        <v>1611</v>
      </c>
    </row>
    <row r="214" spans="1:232" x14ac:dyDescent="0.2">
      <c r="A214" s="74" t="s">
        <v>615</v>
      </c>
      <c r="B214" s="74" t="s">
        <v>614</v>
      </c>
      <c r="C214" s="75" t="s">
        <v>200</v>
      </c>
      <c r="D214" s="75">
        <v>12</v>
      </c>
      <c r="E214" s="76">
        <v>58508</v>
      </c>
      <c r="F214" s="76">
        <v>-1844</v>
      </c>
      <c r="G214" s="76">
        <v>-43342</v>
      </c>
      <c r="H214" s="76">
        <v>13322</v>
      </c>
      <c r="I214" s="76">
        <v>8528</v>
      </c>
      <c r="J214" s="76">
        <v>4</v>
      </c>
      <c r="K214" s="76">
        <v>0</v>
      </c>
      <c r="L214" s="76">
        <v>0</v>
      </c>
      <c r="M214" s="76">
        <v>737</v>
      </c>
      <c r="N214" s="76">
        <v>-13191</v>
      </c>
      <c r="O214" s="76">
        <v>61</v>
      </c>
      <c r="P214" s="76">
        <v>0</v>
      </c>
      <c r="Q214" s="76">
        <v>0</v>
      </c>
      <c r="R214" s="76">
        <v>0</v>
      </c>
      <c r="S214" s="76">
        <v>9461</v>
      </c>
      <c r="T214" s="76">
        <v>-3</v>
      </c>
      <c r="U214" s="76">
        <v>9458</v>
      </c>
      <c r="V214" s="76">
        <v>0</v>
      </c>
      <c r="W214" s="76">
        <v>-471</v>
      </c>
      <c r="X214" s="76">
        <v>0</v>
      </c>
      <c r="Y214" s="76">
        <v>0</v>
      </c>
      <c r="Z214" s="76">
        <v>8987</v>
      </c>
      <c r="AA214" s="76">
        <v>37749</v>
      </c>
      <c r="AB214" s="76">
        <v>7775</v>
      </c>
      <c r="AC214" s="76">
        <v>45524</v>
      </c>
      <c r="AD214" s="76">
        <v>2952</v>
      </c>
      <c r="AE214" s="76">
        <v>0</v>
      </c>
      <c r="AF214" s="76">
        <v>0</v>
      </c>
      <c r="AG214" s="76">
        <v>0</v>
      </c>
      <c r="AH214" s="76">
        <v>48476</v>
      </c>
      <c r="AI214" s="76">
        <v>9324</v>
      </c>
      <c r="AJ214" s="76">
        <v>7542</v>
      </c>
      <c r="AK214" s="76">
        <v>7417</v>
      </c>
      <c r="AL214" s="76">
        <v>12</v>
      </c>
      <c r="AM214" s="76">
        <v>1881</v>
      </c>
      <c r="AN214" s="76">
        <v>501</v>
      </c>
      <c r="AO214" s="76">
        <v>8524</v>
      </c>
      <c r="AP214" s="76">
        <v>0</v>
      </c>
      <c r="AQ214" s="76">
        <v>0</v>
      </c>
      <c r="AR214" s="76">
        <v>35201</v>
      </c>
      <c r="AS214" s="76">
        <v>13275</v>
      </c>
      <c r="AT214" s="76">
        <v>599</v>
      </c>
      <c r="AU214" s="76">
        <v>401551</v>
      </c>
      <c r="AV214" s="76">
        <v>0</v>
      </c>
      <c r="AW214" s="76">
        <v>3407</v>
      </c>
      <c r="AX214" s="76">
        <v>484</v>
      </c>
      <c r="AY214" s="76">
        <v>0</v>
      </c>
      <c r="AZ214" s="76">
        <v>57637</v>
      </c>
      <c r="BA214" s="76">
        <v>0</v>
      </c>
      <c r="BB214" s="76">
        <v>0</v>
      </c>
      <c r="BC214" s="76">
        <v>0</v>
      </c>
      <c r="BD214" s="76">
        <v>14305</v>
      </c>
      <c r="BE214" s="76">
        <v>477384</v>
      </c>
      <c r="BF214" s="76">
        <v>1392</v>
      </c>
      <c r="BG214" s="76">
        <v>26311</v>
      </c>
      <c r="BH214" s="76">
        <v>14271</v>
      </c>
      <c r="BI214" s="76">
        <v>0</v>
      </c>
      <c r="BJ214" s="76">
        <v>14168</v>
      </c>
      <c r="BK214" s="76">
        <v>56142</v>
      </c>
      <c r="BL214" s="76">
        <v>0</v>
      </c>
      <c r="BM214" s="76">
        <v>0</v>
      </c>
      <c r="BN214" s="76">
        <v>3250</v>
      </c>
      <c r="BO214" s="76">
        <v>35074</v>
      </c>
      <c r="BP214" s="76">
        <v>38324</v>
      </c>
      <c r="BQ214" s="76">
        <v>17818</v>
      </c>
      <c r="BR214" s="76">
        <v>495202</v>
      </c>
      <c r="BS214" s="76">
        <v>112933</v>
      </c>
      <c r="BT214" s="76">
        <v>139370</v>
      </c>
      <c r="BU214" s="76">
        <v>52454</v>
      </c>
      <c r="BV214" s="76">
        <v>118083</v>
      </c>
      <c r="BW214" s="76">
        <v>0</v>
      </c>
      <c r="BX214" s="76">
        <v>0</v>
      </c>
      <c r="BY214" s="76">
        <v>5470</v>
      </c>
      <c r="BZ214" s="76">
        <v>428310</v>
      </c>
      <c r="CA214" s="76">
        <v>6950</v>
      </c>
      <c r="CB214" s="76">
        <v>1052</v>
      </c>
      <c r="CC214" s="76">
        <v>58890</v>
      </c>
      <c r="CD214" s="76">
        <v>57390</v>
      </c>
      <c r="CE214" s="76">
        <v>1500</v>
      </c>
      <c r="CF214" s="76">
        <v>0</v>
      </c>
      <c r="CG214" s="76">
        <v>0</v>
      </c>
      <c r="CH214" s="76">
        <v>0</v>
      </c>
      <c r="CI214" s="76">
        <v>58890</v>
      </c>
      <c r="CJ214" s="76">
        <v>3325</v>
      </c>
      <c r="CK214" s="76">
        <v>1844</v>
      </c>
      <c r="CL214" s="76">
        <v>0</v>
      </c>
      <c r="CM214" s="76">
        <v>1481</v>
      </c>
      <c r="CN214" s="76">
        <v>0</v>
      </c>
      <c r="CO214" s="76">
        <v>0</v>
      </c>
      <c r="CP214" s="76">
        <v>0</v>
      </c>
      <c r="CQ214" s="76">
        <v>0</v>
      </c>
      <c r="CR214" s="76">
        <v>0</v>
      </c>
      <c r="CS214" s="76">
        <v>0</v>
      </c>
      <c r="CT214" s="76">
        <v>0</v>
      </c>
      <c r="CU214" s="76">
        <v>0</v>
      </c>
      <c r="CV214" s="76">
        <v>0</v>
      </c>
      <c r="CW214" s="76">
        <v>0</v>
      </c>
      <c r="CX214" s="76">
        <v>0</v>
      </c>
      <c r="CY214" s="76">
        <v>0</v>
      </c>
      <c r="CZ214" s="76">
        <v>0</v>
      </c>
      <c r="DA214" s="76">
        <v>0</v>
      </c>
      <c r="DB214" s="76">
        <v>0</v>
      </c>
      <c r="DC214" s="76">
        <v>0</v>
      </c>
      <c r="DD214" s="76">
        <v>3325</v>
      </c>
      <c r="DE214" s="76">
        <v>1844</v>
      </c>
      <c r="DF214" s="76">
        <v>0</v>
      </c>
      <c r="DG214" s="76">
        <v>1481</v>
      </c>
      <c r="DH214" s="76">
        <v>0</v>
      </c>
      <c r="DI214" s="76">
        <v>0</v>
      </c>
      <c r="DJ214" s="76">
        <v>0</v>
      </c>
      <c r="DK214" s="76">
        <v>0</v>
      </c>
      <c r="DL214" s="76">
        <v>0</v>
      </c>
      <c r="DM214" s="76">
        <v>0</v>
      </c>
      <c r="DN214" s="76">
        <v>0</v>
      </c>
      <c r="DO214" s="76">
        <v>0</v>
      </c>
      <c r="DP214" s="76">
        <v>0</v>
      </c>
      <c r="DQ214" s="76">
        <v>0</v>
      </c>
      <c r="DR214" s="76">
        <v>0</v>
      </c>
      <c r="DS214" s="76">
        <v>0</v>
      </c>
      <c r="DT214" s="76">
        <v>2272</v>
      </c>
      <c r="DU214" s="76">
        <v>0</v>
      </c>
      <c r="DV214" s="76">
        <v>455</v>
      </c>
      <c r="DW214" s="76">
        <v>1817</v>
      </c>
      <c r="DX214" s="76">
        <v>0</v>
      </c>
      <c r="DY214" s="76">
        <v>0</v>
      </c>
      <c r="DZ214" s="76">
        <v>0</v>
      </c>
      <c r="EA214" s="76">
        <v>0</v>
      </c>
      <c r="EB214" s="76">
        <v>4435</v>
      </c>
      <c r="EC214" s="76">
        <v>0</v>
      </c>
      <c r="ED214" s="76">
        <v>7686</v>
      </c>
      <c r="EE214" s="76">
        <v>-3251</v>
      </c>
      <c r="EF214" s="76">
        <v>6707</v>
      </c>
      <c r="EG214" s="76">
        <v>0</v>
      </c>
      <c r="EH214" s="76">
        <v>8141</v>
      </c>
      <c r="EI214" s="76">
        <v>-1434</v>
      </c>
      <c r="EJ214" s="76">
        <v>10032</v>
      </c>
      <c r="EK214" s="76">
        <v>1844</v>
      </c>
      <c r="EL214" s="76">
        <v>8141</v>
      </c>
      <c r="EM214" s="76">
        <v>47</v>
      </c>
      <c r="EN214" s="76">
        <v>2258</v>
      </c>
      <c r="EO214" s="76">
        <v>1330</v>
      </c>
      <c r="EP214" s="76">
        <v>778</v>
      </c>
      <c r="EQ214" s="76">
        <v>1330</v>
      </c>
      <c r="ER214" s="76">
        <v>459676</v>
      </c>
      <c r="ES214" s="76">
        <v>0</v>
      </c>
      <c r="ET214" s="76">
        <v>459676</v>
      </c>
      <c r="EU214" s="76">
        <v>26455</v>
      </c>
      <c r="EV214" s="76">
        <v>-3587</v>
      </c>
      <c r="EW214" s="76">
        <v>0</v>
      </c>
      <c r="EX214" s="76">
        <v>-11613</v>
      </c>
      <c r="EY214" s="76">
        <v>0</v>
      </c>
      <c r="EZ214" s="76">
        <v>470931</v>
      </c>
      <c r="FA214" s="76">
        <v>62284</v>
      </c>
      <c r="FB214" s="76">
        <v>9094</v>
      </c>
      <c r="FC214" s="76">
        <v>0</v>
      </c>
      <c r="FD214" s="76">
        <v>0</v>
      </c>
      <c r="FE214" s="76">
        <v>-420</v>
      </c>
      <c r="FF214" s="76">
        <v>0</v>
      </c>
      <c r="FG214" s="76">
        <v>-1578</v>
      </c>
      <c r="FH214" s="76">
        <v>69380</v>
      </c>
      <c r="FI214" s="76">
        <v>401551</v>
      </c>
      <c r="FJ214" s="76">
        <v>397392</v>
      </c>
      <c r="FK214" s="76">
        <v>9045</v>
      </c>
      <c r="FL214" s="76">
        <v>478</v>
      </c>
      <c r="FM214" s="76">
        <v>8567</v>
      </c>
      <c r="FN214" s="76">
        <v>3253</v>
      </c>
      <c r="FO214" s="76">
        <v>1133</v>
      </c>
      <c r="FP214" s="76">
        <v>2120</v>
      </c>
      <c r="FQ214" s="76">
        <v>0</v>
      </c>
      <c r="FR214" s="76">
        <v>0</v>
      </c>
      <c r="FS214" s="76">
        <v>0</v>
      </c>
      <c r="FT214" s="76">
        <v>0</v>
      </c>
      <c r="FU214" s="76">
        <v>0</v>
      </c>
      <c r="FV214" s="76">
        <v>0</v>
      </c>
      <c r="FW214" s="76">
        <v>0</v>
      </c>
      <c r="FX214" s="76">
        <v>0</v>
      </c>
      <c r="FY214" s="76">
        <v>0</v>
      </c>
      <c r="FZ214" s="76">
        <v>0</v>
      </c>
      <c r="GA214" s="76">
        <v>2159</v>
      </c>
      <c r="GB214" s="76">
        <v>-2159</v>
      </c>
      <c r="GC214" s="76">
        <v>12298</v>
      </c>
      <c r="GD214" s="76">
        <v>3770</v>
      </c>
      <c r="GE214" s="76">
        <v>8528</v>
      </c>
      <c r="GF214" s="76">
        <v>5697</v>
      </c>
      <c r="GG214" s="76">
        <v>0</v>
      </c>
      <c r="GH214" s="76">
        <v>0</v>
      </c>
      <c r="GI214" s="76">
        <v>0</v>
      </c>
      <c r="GJ214" s="76">
        <v>0</v>
      </c>
      <c r="GK214" s="76">
        <v>8471</v>
      </c>
      <c r="GL214" s="76">
        <v>14168</v>
      </c>
      <c r="GM214" s="76">
        <v>1331</v>
      </c>
      <c r="GN214" s="76">
        <v>1177</v>
      </c>
      <c r="GO214" s="76">
        <v>118</v>
      </c>
      <c r="GP214" s="76">
        <v>218</v>
      </c>
      <c r="GQ214" s="76">
        <v>1752</v>
      </c>
      <c r="GR214" s="76">
        <v>16812</v>
      </c>
      <c r="GS214" s="76">
        <v>289</v>
      </c>
      <c r="GT214" s="76">
        <v>0</v>
      </c>
      <c r="GU214" s="76">
        <v>505</v>
      </c>
      <c r="GV214" s="76">
        <v>0</v>
      </c>
      <c r="GW214" s="76">
        <v>12872</v>
      </c>
      <c r="GX214" s="76">
        <v>35074</v>
      </c>
      <c r="GY214" s="76">
        <v>234</v>
      </c>
      <c r="GZ214" s="76">
        <v>2239</v>
      </c>
      <c r="HA214" s="76">
        <v>2997</v>
      </c>
      <c r="HB214" s="76">
        <v>0</v>
      </c>
      <c r="HC214" s="76">
        <v>5470</v>
      </c>
      <c r="HD214" s="76">
        <v>0</v>
      </c>
      <c r="HE214" s="76">
        <v>1052</v>
      </c>
      <c r="HF214" s="76">
        <v>1052</v>
      </c>
      <c r="HG214" s="76">
        <v>14517</v>
      </c>
      <c r="HH214" s="76">
        <v>127</v>
      </c>
      <c r="HI214" s="76">
        <v>301</v>
      </c>
      <c r="HJ214" s="76">
        <v>30</v>
      </c>
      <c r="HK214" s="76">
        <v>151</v>
      </c>
      <c r="HL214" s="76">
        <v>-1935</v>
      </c>
      <c r="HM214" s="76">
        <v>13191</v>
      </c>
      <c r="HN214" s="76">
        <v>1135</v>
      </c>
      <c r="HO214" s="76">
        <v>9968</v>
      </c>
      <c r="HP214" s="76">
        <v>0</v>
      </c>
      <c r="HQ214" s="76">
        <v>93</v>
      </c>
      <c r="HR214" s="76">
        <v>-333</v>
      </c>
      <c r="HS214" s="76">
        <v>2</v>
      </c>
      <c r="HT214" s="76">
        <v>8720</v>
      </c>
      <c r="HU214" s="76">
        <v>2</v>
      </c>
      <c r="HV214" s="76">
        <v>0</v>
      </c>
      <c r="HW214" s="76">
        <v>-2</v>
      </c>
      <c r="HX214" s="76">
        <v>183</v>
      </c>
    </row>
    <row r="215" spans="1:232" x14ac:dyDescent="0.2">
      <c r="A215" s="71" t="s">
        <v>616</v>
      </c>
      <c r="B215" s="71" t="s">
        <v>617</v>
      </c>
      <c r="C215" s="72" t="s">
        <v>200</v>
      </c>
      <c r="D215" s="72">
        <v>12</v>
      </c>
      <c r="E215" s="73">
        <v>16448</v>
      </c>
      <c r="F215" s="73">
        <v>0</v>
      </c>
      <c r="G215" s="73">
        <v>-8591</v>
      </c>
      <c r="H215" s="73">
        <v>7857</v>
      </c>
      <c r="I215" s="73">
        <v>125</v>
      </c>
      <c r="J215" s="73">
        <v>33000</v>
      </c>
      <c r="K215" s="73">
        <v>0</v>
      </c>
      <c r="L215" s="73">
        <v>0</v>
      </c>
      <c r="M215" s="73">
        <v>1532</v>
      </c>
      <c r="N215" s="73">
        <v>-11061</v>
      </c>
      <c r="O215" s="73">
        <v>0</v>
      </c>
      <c r="P215" s="73">
        <v>780</v>
      </c>
      <c r="Q215" s="73">
        <v>0</v>
      </c>
      <c r="R215" s="73">
        <v>0</v>
      </c>
      <c r="S215" s="73">
        <v>32233</v>
      </c>
      <c r="T215" s="73">
        <v>0</v>
      </c>
      <c r="U215" s="73">
        <v>32233</v>
      </c>
      <c r="V215" s="73">
        <v>0</v>
      </c>
      <c r="W215" s="73">
        <v>0</v>
      </c>
      <c r="X215" s="73">
        <v>0</v>
      </c>
      <c r="Y215" s="73">
        <v>0</v>
      </c>
      <c r="Z215" s="73">
        <v>32233</v>
      </c>
      <c r="AA215" s="73">
        <v>15758</v>
      </c>
      <c r="AB215" s="73">
        <v>539</v>
      </c>
      <c r="AC215" s="73">
        <v>16297</v>
      </c>
      <c r="AD215" s="73">
        <v>137</v>
      </c>
      <c r="AE215" s="73">
        <v>0</v>
      </c>
      <c r="AF215" s="73">
        <v>0</v>
      </c>
      <c r="AG215" s="73">
        <v>0</v>
      </c>
      <c r="AH215" s="73">
        <v>16434</v>
      </c>
      <c r="AI215" s="73">
        <v>2430</v>
      </c>
      <c r="AJ215" s="73">
        <v>246</v>
      </c>
      <c r="AK215" s="73">
        <v>1496</v>
      </c>
      <c r="AL215" s="73">
        <v>600</v>
      </c>
      <c r="AM215" s="73">
        <v>1253</v>
      </c>
      <c r="AN215" s="73">
        <v>72</v>
      </c>
      <c r="AO215" s="73">
        <v>2581</v>
      </c>
      <c r="AP215" s="73">
        <v>0</v>
      </c>
      <c r="AQ215" s="73">
        <v>-83</v>
      </c>
      <c r="AR215" s="73">
        <v>8595</v>
      </c>
      <c r="AS215" s="73">
        <v>7839</v>
      </c>
      <c r="AT215" s="73">
        <v>61</v>
      </c>
      <c r="AU215" s="73">
        <v>331847</v>
      </c>
      <c r="AV215" s="73">
        <v>0</v>
      </c>
      <c r="AW215" s="73">
        <v>0</v>
      </c>
      <c r="AX215" s="73">
        <v>0</v>
      </c>
      <c r="AY215" s="73">
        <v>358</v>
      </c>
      <c r="AZ215" s="73">
        <v>0</v>
      </c>
      <c r="BA215" s="73">
        <v>0</v>
      </c>
      <c r="BB215" s="73">
        <v>0</v>
      </c>
      <c r="BC215" s="73">
        <v>0</v>
      </c>
      <c r="BD215" s="73">
        <v>4023</v>
      </c>
      <c r="BE215" s="73">
        <v>336228</v>
      </c>
      <c r="BF215" s="73">
        <v>1640</v>
      </c>
      <c r="BG215" s="73">
        <v>151</v>
      </c>
      <c r="BH215" s="73">
        <v>49536</v>
      </c>
      <c r="BI215" s="73">
        <v>15409</v>
      </c>
      <c r="BJ215" s="73">
        <v>9006</v>
      </c>
      <c r="BK215" s="73">
        <v>75742</v>
      </c>
      <c r="BL215" s="73">
        <v>83</v>
      </c>
      <c r="BM215" s="73">
        <v>0</v>
      </c>
      <c r="BN215" s="73">
        <v>138</v>
      </c>
      <c r="BO215" s="73">
        <v>6773</v>
      </c>
      <c r="BP215" s="73">
        <v>6994</v>
      </c>
      <c r="BQ215" s="73">
        <v>68748</v>
      </c>
      <c r="BR215" s="73">
        <v>404976</v>
      </c>
      <c r="BS215" s="73">
        <v>206469</v>
      </c>
      <c r="BT215" s="73">
        <v>0</v>
      </c>
      <c r="BU215" s="73">
        <v>0</v>
      </c>
      <c r="BV215" s="73">
        <v>13226</v>
      </c>
      <c r="BW215" s="73">
        <v>0</v>
      </c>
      <c r="BX215" s="73">
        <v>0</v>
      </c>
      <c r="BY215" s="73">
        <v>646</v>
      </c>
      <c r="BZ215" s="73">
        <v>220341</v>
      </c>
      <c r="CA215" s="73">
        <v>0</v>
      </c>
      <c r="CB215" s="73">
        <v>0</v>
      </c>
      <c r="CC215" s="73">
        <v>184635</v>
      </c>
      <c r="CD215" s="73">
        <v>184635</v>
      </c>
      <c r="CE215" s="73">
        <v>0</v>
      </c>
      <c r="CF215" s="73">
        <v>0</v>
      </c>
      <c r="CG215" s="73">
        <v>0</v>
      </c>
      <c r="CH215" s="73">
        <v>0</v>
      </c>
      <c r="CI215" s="73">
        <v>184635</v>
      </c>
      <c r="CJ215" s="73">
        <v>0</v>
      </c>
      <c r="CK215" s="73">
        <v>0</v>
      </c>
      <c r="CL215" s="73">
        <v>0</v>
      </c>
      <c r="CM215" s="73">
        <v>0</v>
      </c>
      <c r="CN215" s="73">
        <v>0</v>
      </c>
      <c r="CO215" s="73">
        <v>0</v>
      </c>
      <c r="CP215" s="73">
        <v>0</v>
      </c>
      <c r="CQ215" s="73">
        <v>0</v>
      </c>
      <c r="CR215" s="73">
        <v>0</v>
      </c>
      <c r="CS215" s="73">
        <v>0</v>
      </c>
      <c r="CT215" s="73">
        <v>0</v>
      </c>
      <c r="CU215" s="73">
        <v>0</v>
      </c>
      <c r="CV215" s="73">
        <v>0</v>
      </c>
      <c r="CW215" s="73">
        <v>0</v>
      </c>
      <c r="CX215" s="73">
        <v>0</v>
      </c>
      <c r="CY215" s="73">
        <v>0</v>
      </c>
      <c r="CZ215" s="73">
        <v>4</v>
      </c>
      <c r="DA215" s="73">
        <v>0</v>
      </c>
      <c r="DB215" s="73">
        <v>0</v>
      </c>
      <c r="DC215" s="73">
        <v>4</v>
      </c>
      <c r="DD215" s="73">
        <v>4</v>
      </c>
      <c r="DE215" s="73">
        <v>0</v>
      </c>
      <c r="DF215" s="73">
        <v>0</v>
      </c>
      <c r="DG215" s="73">
        <v>4</v>
      </c>
      <c r="DH215" s="73">
        <v>0</v>
      </c>
      <c r="DI215" s="73">
        <v>0</v>
      </c>
      <c r="DJ215" s="73">
        <v>0</v>
      </c>
      <c r="DK215" s="73">
        <v>0</v>
      </c>
      <c r="DL215" s="73">
        <v>0</v>
      </c>
      <c r="DM215" s="73">
        <v>0</v>
      </c>
      <c r="DN215" s="73">
        <v>0</v>
      </c>
      <c r="DO215" s="73">
        <v>0</v>
      </c>
      <c r="DP215" s="73">
        <v>0</v>
      </c>
      <c r="DQ215" s="73">
        <v>0</v>
      </c>
      <c r="DR215" s="73">
        <v>0</v>
      </c>
      <c r="DS215" s="73">
        <v>0</v>
      </c>
      <c r="DT215" s="73">
        <v>0</v>
      </c>
      <c r="DU215" s="73">
        <v>0</v>
      </c>
      <c r="DV215" s="73">
        <v>0</v>
      </c>
      <c r="DW215" s="73">
        <v>0</v>
      </c>
      <c r="DX215" s="73">
        <v>0</v>
      </c>
      <c r="DY215" s="73">
        <v>0</v>
      </c>
      <c r="DZ215" s="73">
        <v>0</v>
      </c>
      <c r="EA215" s="73">
        <v>0</v>
      </c>
      <c r="EB215" s="73">
        <v>10</v>
      </c>
      <c r="EC215" s="73">
        <v>0</v>
      </c>
      <c r="ED215" s="73">
        <v>-4</v>
      </c>
      <c r="EE215" s="73">
        <v>14</v>
      </c>
      <c r="EF215" s="73">
        <v>10</v>
      </c>
      <c r="EG215" s="73">
        <v>0</v>
      </c>
      <c r="EH215" s="73">
        <v>-4</v>
      </c>
      <c r="EI215" s="73">
        <v>14</v>
      </c>
      <c r="EJ215" s="73">
        <v>14</v>
      </c>
      <c r="EK215" s="73">
        <v>0</v>
      </c>
      <c r="EL215" s="73">
        <v>-4</v>
      </c>
      <c r="EM215" s="73">
        <v>18</v>
      </c>
      <c r="EN215" s="73">
        <v>778</v>
      </c>
      <c r="EO215" s="73">
        <v>142</v>
      </c>
      <c r="EP215" s="73">
        <v>191</v>
      </c>
      <c r="EQ215" s="73">
        <v>142</v>
      </c>
      <c r="ER215" s="73">
        <v>288948</v>
      </c>
      <c r="ES215" s="73">
        <v>0</v>
      </c>
      <c r="ET215" s="73">
        <v>288948</v>
      </c>
      <c r="EU215" s="73">
        <v>1204</v>
      </c>
      <c r="EV215" s="73">
        <v>-714</v>
      </c>
      <c r="EW215" s="73">
        <v>0</v>
      </c>
      <c r="EX215" s="73">
        <v>54229</v>
      </c>
      <c r="EY215" s="73">
        <v>0</v>
      </c>
      <c r="EZ215" s="73">
        <v>343667</v>
      </c>
      <c r="FA215" s="73">
        <v>9508</v>
      </c>
      <c r="FB215" s="73">
        <v>2581</v>
      </c>
      <c r="FC215" s="73">
        <v>0</v>
      </c>
      <c r="FD215" s="73">
        <v>0</v>
      </c>
      <c r="FE215" s="73">
        <v>-269</v>
      </c>
      <c r="FF215" s="73">
        <v>0</v>
      </c>
      <c r="FG215" s="73">
        <v>0</v>
      </c>
      <c r="FH215" s="73">
        <v>11820</v>
      </c>
      <c r="FI215" s="73">
        <v>331847</v>
      </c>
      <c r="FJ215" s="73">
        <v>279440</v>
      </c>
      <c r="FK215" s="73">
        <v>0</v>
      </c>
      <c r="FL215" s="73">
        <v>0</v>
      </c>
      <c r="FM215" s="73">
        <v>0</v>
      </c>
      <c r="FN215" s="73">
        <v>197</v>
      </c>
      <c r="FO215" s="73">
        <v>182</v>
      </c>
      <c r="FP215" s="73">
        <v>15</v>
      </c>
      <c r="FQ215" s="73">
        <v>128</v>
      </c>
      <c r="FR215" s="73">
        <v>119</v>
      </c>
      <c r="FS215" s="73">
        <v>9</v>
      </c>
      <c r="FT215" s="73">
        <v>0</v>
      </c>
      <c r="FU215" s="73">
        <v>0</v>
      </c>
      <c r="FV215" s="73">
        <v>0</v>
      </c>
      <c r="FW215" s="73">
        <v>0</v>
      </c>
      <c r="FX215" s="73">
        <v>0</v>
      </c>
      <c r="FY215" s="73">
        <v>0</v>
      </c>
      <c r="FZ215" s="73">
        <v>282</v>
      </c>
      <c r="GA215" s="73">
        <v>181</v>
      </c>
      <c r="GB215" s="73">
        <v>101</v>
      </c>
      <c r="GC215" s="73">
        <v>607</v>
      </c>
      <c r="GD215" s="73">
        <v>482</v>
      </c>
      <c r="GE215" s="73">
        <v>125</v>
      </c>
      <c r="GF215" s="73">
        <v>0</v>
      </c>
      <c r="GG215" s="73">
        <v>0</v>
      </c>
      <c r="GH215" s="73">
        <v>0</v>
      </c>
      <c r="GI215" s="73">
        <v>0</v>
      </c>
      <c r="GJ215" s="73">
        <v>0</v>
      </c>
      <c r="GK215" s="73">
        <v>9006</v>
      </c>
      <c r="GL215" s="73">
        <v>9006</v>
      </c>
      <c r="GM215" s="73">
        <v>63</v>
      </c>
      <c r="GN215" s="73">
        <v>335</v>
      </c>
      <c r="GO215" s="73">
        <v>5563</v>
      </c>
      <c r="GP215" s="73">
        <v>0</v>
      </c>
      <c r="GQ215" s="73">
        <v>0</v>
      </c>
      <c r="GR215" s="73">
        <v>369</v>
      </c>
      <c r="GS215" s="73">
        <v>0</v>
      </c>
      <c r="GT215" s="73">
        <v>0</v>
      </c>
      <c r="GU215" s="73">
        <v>0</v>
      </c>
      <c r="GV215" s="73">
        <v>0</v>
      </c>
      <c r="GW215" s="73">
        <v>443</v>
      </c>
      <c r="GX215" s="73">
        <v>6773</v>
      </c>
      <c r="GY215" s="73">
        <v>56</v>
      </c>
      <c r="GZ215" s="73">
        <v>0</v>
      </c>
      <c r="HA215" s="73">
        <v>0</v>
      </c>
      <c r="HB215" s="73">
        <v>590</v>
      </c>
      <c r="HC215" s="73">
        <v>646</v>
      </c>
      <c r="HD215" s="73">
        <v>0</v>
      </c>
      <c r="HE215" s="73">
        <v>0</v>
      </c>
      <c r="HF215" s="73">
        <v>0</v>
      </c>
      <c r="HG215" s="73">
        <v>10812</v>
      </c>
      <c r="HH215" s="73">
        <v>214</v>
      </c>
      <c r="HI215" s="73">
        <v>0</v>
      </c>
      <c r="HJ215" s="73">
        <v>0</v>
      </c>
      <c r="HK215" s="73">
        <v>35</v>
      </c>
      <c r="HL215" s="73">
        <v>0</v>
      </c>
      <c r="HM215" s="73">
        <v>11061</v>
      </c>
      <c r="HN215" s="73">
        <v>985</v>
      </c>
      <c r="HO215" s="73">
        <v>2581</v>
      </c>
      <c r="HP215" s="73">
        <v>-23</v>
      </c>
      <c r="HQ215" s="73">
        <v>0</v>
      </c>
      <c r="HR215" s="73">
        <v>0</v>
      </c>
      <c r="HS215" s="73">
        <v>311</v>
      </c>
      <c r="HT215" s="73">
        <v>2820</v>
      </c>
      <c r="HU215" s="73">
        <v>0</v>
      </c>
      <c r="HV215" s="73">
        <v>0</v>
      </c>
      <c r="HW215" s="73">
        <v>0</v>
      </c>
      <c r="HX215" s="73">
        <v>0</v>
      </c>
    </row>
    <row r="216" spans="1:232" x14ac:dyDescent="0.2">
      <c r="A216" s="71" t="s">
        <v>618</v>
      </c>
      <c r="B216" s="71" t="s">
        <v>619</v>
      </c>
      <c r="C216" s="72" t="s">
        <v>200</v>
      </c>
      <c r="D216" s="72">
        <v>12</v>
      </c>
      <c r="E216" s="73">
        <v>32209</v>
      </c>
      <c r="F216" s="73">
        <v>0</v>
      </c>
      <c r="G216" s="73">
        <v>-24980</v>
      </c>
      <c r="H216" s="73">
        <v>7229</v>
      </c>
      <c r="I216" s="73">
        <v>-39</v>
      </c>
      <c r="J216" s="73">
        <v>0</v>
      </c>
      <c r="K216" s="73">
        <v>7</v>
      </c>
      <c r="L216" s="73">
        <v>0</v>
      </c>
      <c r="M216" s="73">
        <v>502</v>
      </c>
      <c r="N216" s="73">
        <v>-4775</v>
      </c>
      <c r="O216" s="73">
        <v>0</v>
      </c>
      <c r="P216" s="73">
        <v>0</v>
      </c>
      <c r="Q216" s="73">
        <v>0</v>
      </c>
      <c r="R216" s="73">
        <v>0</v>
      </c>
      <c r="S216" s="73">
        <v>2924</v>
      </c>
      <c r="T216" s="73">
        <v>0</v>
      </c>
      <c r="U216" s="73">
        <v>2924</v>
      </c>
      <c r="V216" s="73">
        <v>549</v>
      </c>
      <c r="W216" s="73">
        <v>-537</v>
      </c>
      <c r="X216" s="73">
        <v>0</v>
      </c>
      <c r="Y216" s="73">
        <v>0</v>
      </c>
      <c r="Z216" s="73">
        <v>2936</v>
      </c>
      <c r="AA216" s="73">
        <v>22367</v>
      </c>
      <c r="AB216" s="73">
        <v>4449</v>
      </c>
      <c r="AC216" s="73">
        <v>26816</v>
      </c>
      <c r="AD216" s="73">
        <v>0</v>
      </c>
      <c r="AE216" s="73">
        <v>0</v>
      </c>
      <c r="AF216" s="73">
        <v>5</v>
      </c>
      <c r="AG216" s="73">
        <v>1317</v>
      </c>
      <c r="AH216" s="73">
        <v>28138</v>
      </c>
      <c r="AI216" s="73">
        <v>2417</v>
      </c>
      <c r="AJ216" s="73">
        <v>5224</v>
      </c>
      <c r="AK216" s="73">
        <v>4109</v>
      </c>
      <c r="AL216" s="73">
        <v>697</v>
      </c>
      <c r="AM216" s="73">
        <v>1069</v>
      </c>
      <c r="AN216" s="73">
        <v>34</v>
      </c>
      <c r="AO216" s="73">
        <v>2202</v>
      </c>
      <c r="AP216" s="73">
        <v>153</v>
      </c>
      <c r="AQ216" s="73">
        <v>5329</v>
      </c>
      <c r="AR216" s="73">
        <v>21234</v>
      </c>
      <c r="AS216" s="73">
        <v>6904</v>
      </c>
      <c r="AT216" s="73">
        <v>2304</v>
      </c>
      <c r="AU216" s="73">
        <v>169612</v>
      </c>
      <c r="AV216" s="73">
        <v>0</v>
      </c>
      <c r="AW216" s="73">
        <v>239</v>
      </c>
      <c r="AX216" s="73">
        <v>0</v>
      </c>
      <c r="AY216" s="73">
        <v>0</v>
      </c>
      <c r="AZ216" s="73">
        <v>0</v>
      </c>
      <c r="BA216" s="73">
        <v>1829</v>
      </c>
      <c r="BB216" s="73">
        <v>0</v>
      </c>
      <c r="BC216" s="73">
        <v>0</v>
      </c>
      <c r="BD216" s="73">
        <v>0</v>
      </c>
      <c r="BE216" s="73">
        <v>171680</v>
      </c>
      <c r="BF216" s="73">
        <v>0</v>
      </c>
      <c r="BG216" s="73">
        <v>1970</v>
      </c>
      <c r="BH216" s="73">
        <v>47</v>
      </c>
      <c r="BI216" s="73">
        <v>10248</v>
      </c>
      <c r="BJ216" s="73">
        <v>858</v>
      </c>
      <c r="BK216" s="73">
        <v>13123</v>
      </c>
      <c r="BL216" s="73">
        <v>0</v>
      </c>
      <c r="BM216" s="73">
        <v>0</v>
      </c>
      <c r="BN216" s="73">
        <v>4</v>
      </c>
      <c r="BO216" s="73">
        <v>3095</v>
      </c>
      <c r="BP216" s="73">
        <v>3099</v>
      </c>
      <c r="BQ216" s="73">
        <v>10024</v>
      </c>
      <c r="BR216" s="73">
        <v>181704</v>
      </c>
      <c r="BS216" s="73">
        <v>91167</v>
      </c>
      <c r="BT216" s="73">
        <v>0</v>
      </c>
      <c r="BU216" s="73">
        <v>7823</v>
      </c>
      <c r="BV216" s="73">
        <v>296</v>
      </c>
      <c r="BW216" s="73">
        <v>0</v>
      </c>
      <c r="BX216" s="73">
        <v>0</v>
      </c>
      <c r="BY216" s="73">
        <v>0</v>
      </c>
      <c r="BZ216" s="73">
        <v>99286</v>
      </c>
      <c r="CA216" s="73">
        <v>1153</v>
      </c>
      <c r="CB216" s="73">
        <v>0</v>
      </c>
      <c r="CC216" s="73">
        <v>81265</v>
      </c>
      <c r="CD216" s="73">
        <v>45275</v>
      </c>
      <c r="CE216" s="73">
        <v>35990</v>
      </c>
      <c r="CF216" s="73">
        <v>0</v>
      </c>
      <c r="CG216" s="73">
        <v>0</v>
      </c>
      <c r="CH216" s="73">
        <v>0</v>
      </c>
      <c r="CI216" s="73">
        <v>81265</v>
      </c>
      <c r="CJ216" s="73">
        <v>0</v>
      </c>
      <c r="CK216" s="73">
        <v>0</v>
      </c>
      <c r="CL216" s="73">
        <v>0</v>
      </c>
      <c r="CM216" s="73">
        <v>0</v>
      </c>
      <c r="CN216" s="73">
        <v>200</v>
      </c>
      <c r="CO216" s="73">
        <v>0</v>
      </c>
      <c r="CP216" s="73">
        <v>176</v>
      </c>
      <c r="CQ216" s="73">
        <v>24</v>
      </c>
      <c r="CR216" s="73">
        <v>0</v>
      </c>
      <c r="CS216" s="73">
        <v>0</v>
      </c>
      <c r="CT216" s="73">
        <v>0</v>
      </c>
      <c r="CU216" s="73">
        <v>0</v>
      </c>
      <c r="CV216" s="73">
        <v>0</v>
      </c>
      <c r="CW216" s="73">
        <v>0</v>
      </c>
      <c r="CX216" s="73">
        <v>0</v>
      </c>
      <c r="CY216" s="73">
        <v>0</v>
      </c>
      <c r="CZ216" s="73">
        <v>224</v>
      </c>
      <c r="DA216" s="73">
        <v>0</v>
      </c>
      <c r="DB216" s="73">
        <v>0</v>
      </c>
      <c r="DC216" s="73">
        <v>224</v>
      </c>
      <c r="DD216" s="73">
        <v>424</v>
      </c>
      <c r="DE216" s="73">
        <v>0</v>
      </c>
      <c r="DF216" s="73">
        <v>176</v>
      </c>
      <c r="DG216" s="73">
        <v>248</v>
      </c>
      <c r="DH216" s="73">
        <v>0</v>
      </c>
      <c r="DI216" s="73">
        <v>0</v>
      </c>
      <c r="DJ216" s="73">
        <v>0</v>
      </c>
      <c r="DK216" s="73">
        <v>0</v>
      </c>
      <c r="DL216" s="73">
        <v>0</v>
      </c>
      <c r="DM216" s="73">
        <v>0</v>
      </c>
      <c r="DN216" s="73">
        <v>0</v>
      </c>
      <c r="DO216" s="73">
        <v>0</v>
      </c>
      <c r="DP216" s="73">
        <v>0</v>
      </c>
      <c r="DQ216" s="73">
        <v>0</v>
      </c>
      <c r="DR216" s="73">
        <v>0</v>
      </c>
      <c r="DS216" s="73">
        <v>0</v>
      </c>
      <c r="DT216" s="73">
        <v>0</v>
      </c>
      <c r="DU216" s="73">
        <v>0</v>
      </c>
      <c r="DV216" s="73">
        <v>0</v>
      </c>
      <c r="DW216" s="73">
        <v>0</v>
      </c>
      <c r="DX216" s="73">
        <v>0</v>
      </c>
      <c r="DY216" s="73">
        <v>0</v>
      </c>
      <c r="DZ216" s="73">
        <v>0</v>
      </c>
      <c r="EA216" s="73">
        <v>0</v>
      </c>
      <c r="EB216" s="73">
        <v>3647</v>
      </c>
      <c r="EC216" s="73">
        <v>0</v>
      </c>
      <c r="ED216" s="73">
        <v>3570</v>
      </c>
      <c r="EE216" s="73">
        <v>77</v>
      </c>
      <c r="EF216" s="73">
        <v>3647</v>
      </c>
      <c r="EG216" s="73">
        <v>0</v>
      </c>
      <c r="EH216" s="73">
        <v>3570</v>
      </c>
      <c r="EI216" s="73">
        <v>77</v>
      </c>
      <c r="EJ216" s="73">
        <v>4071</v>
      </c>
      <c r="EK216" s="73">
        <v>0</v>
      </c>
      <c r="EL216" s="73">
        <v>3746</v>
      </c>
      <c r="EM216" s="73">
        <v>325</v>
      </c>
      <c r="EN216" s="73">
        <v>1306</v>
      </c>
      <c r="EO216" s="73">
        <v>78</v>
      </c>
      <c r="EP216" s="73">
        <v>0</v>
      </c>
      <c r="EQ216" s="73">
        <v>70</v>
      </c>
      <c r="ER216" s="73">
        <v>197068</v>
      </c>
      <c r="ES216" s="73">
        <v>0</v>
      </c>
      <c r="ET216" s="73">
        <v>197068</v>
      </c>
      <c r="EU216" s="73">
        <v>2358</v>
      </c>
      <c r="EV216" s="73">
        <v>-1146</v>
      </c>
      <c r="EW216" s="73">
        <v>0</v>
      </c>
      <c r="EX216" s="73">
        <v>0</v>
      </c>
      <c r="EY216" s="73">
        <v>0</v>
      </c>
      <c r="EZ216" s="73">
        <v>198280</v>
      </c>
      <c r="FA216" s="73">
        <v>26219</v>
      </c>
      <c r="FB216" s="73">
        <v>2873</v>
      </c>
      <c r="FC216" s="73">
        <v>153</v>
      </c>
      <c r="FD216" s="73">
        <v>0</v>
      </c>
      <c r="FE216" s="73">
        <v>-577</v>
      </c>
      <c r="FF216" s="73">
        <v>0</v>
      </c>
      <c r="FG216" s="73">
        <v>0</v>
      </c>
      <c r="FH216" s="73">
        <v>28668</v>
      </c>
      <c r="FI216" s="73">
        <v>169612</v>
      </c>
      <c r="FJ216" s="73">
        <v>170849</v>
      </c>
      <c r="FK216" s="73">
        <v>0</v>
      </c>
      <c r="FL216" s="73">
        <v>0</v>
      </c>
      <c r="FM216" s="73">
        <v>0</v>
      </c>
      <c r="FN216" s="73">
        <v>0</v>
      </c>
      <c r="FO216" s="73">
        <v>0</v>
      </c>
      <c r="FP216" s="73">
        <v>0</v>
      </c>
      <c r="FQ216" s="73">
        <v>0</v>
      </c>
      <c r="FR216" s="73">
        <v>0</v>
      </c>
      <c r="FS216" s="73">
        <v>0</v>
      </c>
      <c r="FT216" s="73">
        <v>527</v>
      </c>
      <c r="FU216" s="73">
        <v>566</v>
      </c>
      <c r="FV216" s="73">
        <v>-39</v>
      </c>
      <c r="FW216" s="73">
        <v>0</v>
      </c>
      <c r="FX216" s="73">
        <v>0</v>
      </c>
      <c r="FY216" s="73">
        <v>0</v>
      </c>
      <c r="FZ216" s="73">
        <v>0</v>
      </c>
      <c r="GA216" s="73">
        <v>0</v>
      </c>
      <c r="GB216" s="73">
        <v>0</v>
      </c>
      <c r="GC216" s="73">
        <v>527</v>
      </c>
      <c r="GD216" s="73">
        <v>566</v>
      </c>
      <c r="GE216" s="73">
        <v>-39</v>
      </c>
      <c r="GF216" s="73">
        <v>0</v>
      </c>
      <c r="GG216" s="73">
        <v>0</v>
      </c>
      <c r="GH216" s="73">
        <v>0</v>
      </c>
      <c r="GI216" s="73">
        <v>0</v>
      </c>
      <c r="GJ216" s="73">
        <v>0</v>
      </c>
      <c r="GK216" s="73">
        <v>858</v>
      </c>
      <c r="GL216" s="73">
        <v>858</v>
      </c>
      <c r="GM216" s="73">
        <v>574</v>
      </c>
      <c r="GN216" s="73">
        <v>301</v>
      </c>
      <c r="GO216" s="73">
        <v>219</v>
      </c>
      <c r="GP216" s="73">
        <v>0</v>
      </c>
      <c r="GQ216" s="73">
        <v>0</v>
      </c>
      <c r="GR216" s="73">
        <v>1809</v>
      </c>
      <c r="GS216" s="73">
        <v>3</v>
      </c>
      <c r="GT216" s="73">
        <v>0</v>
      </c>
      <c r="GU216" s="73">
        <v>22</v>
      </c>
      <c r="GV216" s="73">
        <v>0</v>
      </c>
      <c r="GW216" s="73">
        <v>167</v>
      </c>
      <c r="GX216" s="73">
        <v>3095</v>
      </c>
      <c r="GY216" s="73">
        <v>0</v>
      </c>
      <c r="GZ216" s="73">
        <v>0</v>
      </c>
      <c r="HA216" s="73">
        <v>0</v>
      </c>
      <c r="HB216" s="73">
        <v>0</v>
      </c>
      <c r="HC216" s="73">
        <v>0</v>
      </c>
      <c r="HD216" s="73">
        <v>0</v>
      </c>
      <c r="HE216" s="73">
        <v>0</v>
      </c>
      <c r="HF216" s="73">
        <v>0</v>
      </c>
      <c r="HG216" s="73">
        <v>4061</v>
      </c>
      <c r="HH216" s="73">
        <v>25</v>
      </c>
      <c r="HI216" s="73">
        <v>34</v>
      </c>
      <c r="HJ216" s="73">
        <v>0</v>
      </c>
      <c r="HK216" s="73">
        <v>678</v>
      </c>
      <c r="HL216" s="73">
        <v>-23</v>
      </c>
      <c r="HM216" s="73">
        <v>4775</v>
      </c>
      <c r="HN216" s="73">
        <v>627</v>
      </c>
      <c r="HO216" s="73">
        <v>2979</v>
      </c>
      <c r="HP216" s="73">
        <v>154</v>
      </c>
      <c r="HQ216" s="73">
        <v>21</v>
      </c>
      <c r="HR216" s="73">
        <v>-33</v>
      </c>
      <c r="HS216" s="73">
        <v>1</v>
      </c>
      <c r="HT216" s="73">
        <v>2561</v>
      </c>
      <c r="HU216" s="73">
        <v>0</v>
      </c>
      <c r="HV216" s="73">
        <v>0</v>
      </c>
      <c r="HW216" s="73">
        <v>0</v>
      </c>
      <c r="HX216" s="73">
        <v>586</v>
      </c>
    </row>
    <row r="217" spans="1:232" x14ac:dyDescent="0.2">
      <c r="A217" s="74" t="s">
        <v>147</v>
      </c>
      <c r="B217" s="74" t="s">
        <v>146</v>
      </c>
      <c r="C217" s="75" t="s">
        <v>200</v>
      </c>
      <c r="D217" s="75">
        <v>12</v>
      </c>
      <c r="E217" s="76">
        <v>7010</v>
      </c>
      <c r="F217" s="76">
        <v>0</v>
      </c>
      <c r="G217" s="76">
        <v>-5658</v>
      </c>
      <c r="H217" s="76">
        <v>1352</v>
      </c>
      <c r="I217" s="76">
        <v>0</v>
      </c>
      <c r="J217" s="76">
        <v>0</v>
      </c>
      <c r="K217" s="76">
        <v>0</v>
      </c>
      <c r="L217" s="76">
        <v>0</v>
      </c>
      <c r="M217" s="76">
        <v>39</v>
      </c>
      <c r="N217" s="76">
        <v>-715</v>
      </c>
      <c r="O217" s="76">
        <v>0</v>
      </c>
      <c r="P217" s="76">
        <v>0</v>
      </c>
      <c r="Q217" s="76">
        <v>0</v>
      </c>
      <c r="R217" s="76">
        <v>0</v>
      </c>
      <c r="S217" s="76">
        <v>676</v>
      </c>
      <c r="T217" s="76">
        <v>0</v>
      </c>
      <c r="U217" s="76">
        <v>676</v>
      </c>
      <c r="V217" s="76">
        <v>0</v>
      </c>
      <c r="W217" s="76">
        <v>0</v>
      </c>
      <c r="X217" s="76">
        <v>0</v>
      </c>
      <c r="Y217" s="76">
        <v>0</v>
      </c>
      <c r="Z217" s="76">
        <v>676</v>
      </c>
      <c r="AA217" s="76">
        <v>5708</v>
      </c>
      <c r="AB217" s="76">
        <v>870</v>
      </c>
      <c r="AC217" s="76">
        <v>6578</v>
      </c>
      <c r="AD217" s="76">
        <v>304</v>
      </c>
      <c r="AE217" s="76">
        <v>0</v>
      </c>
      <c r="AF217" s="76">
        <v>0</v>
      </c>
      <c r="AG217" s="76">
        <v>0</v>
      </c>
      <c r="AH217" s="76">
        <v>6882</v>
      </c>
      <c r="AI217" s="76">
        <v>942</v>
      </c>
      <c r="AJ217" s="76">
        <v>859</v>
      </c>
      <c r="AK217" s="76">
        <v>1385</v>
      </c>
      <c r="AL217" s="76">
        <v>124</v>
      </c>
      <c r="AM217" s="76">
        <v>0</v>
      </c>
      <c r="AN217" s="76">
        <v>-4</v>
      </c>
      <c r="AO217" s="76">
        <v>1773</v>
      </c>
      <c r="AP217" s="76">
        <v>456</v>
      </c>
      <c r="AQ217" s="76">
        <v>26</v>
      </c>
      <c r="AR217" s="76">
        <v>5561</v>
      </c>
      <c r="AS217" s="76">
        <v>1321</v>
      </c>
      <c r="AT217" s="76">
        <v>45</v>
      </c>
      <c r="AU217" s="76">
        <v>46667</v>
      </c>
      <c r="AV217" s="76">
        <v>0</v>
      </c>
      <c r="AW217" s="76">
        <v>259</v>
      </c>
      <c r="AX217" s="76">
        <v>117</v>
      </c>
      <c r="AY217" s="76">
        <v>0</v>
      </c>
      <c r="AZ217" s="76">
        <v>0</v>
      </c>
      <c r="BA217" s="76">
        <v>0</v>
      </c>
      <c r="BB217" s="76">
        <v>0</v>
      </c>
      <c r="BC217" s="76">
        <v>0</v>
      </c>
      <c r="BD217" s="76">
        <v>0</v>
      </c>
      <c r="BE217" s="76">
        <v>47043</v>
      </c>
      <c r="BF217" s="76">
        <v>0</v>
      </c>
      <c r="BG217" s="76">
        <v>521</v>
      </c>
      <c r="BH217" s="76">
        <v>8238</v>
      </c>
      <c r="BI217" s="76">
        <v>0</v>
      </c>
      <c r="BJ217" s="76">
        <v>0</v>
      </c>
      <c r="BK217" s="76">
        <v>8759</v>
      </c>
      <c r="BL217" s="76">
        <v>21</v>
      </c>
      <c r="BM217" s="76">
        <v>0</v>
      </c>
      <c r="BN217" s="76">
        <v>304</v>
      </c>
      <c r="BO217" s="76">
        <v>2731</v>
      </c>
      <c r="BP217" s="76">
        <v>3056</v>
      </c>
      <c r="BQ217" s="76">
        <v>5703</v>
      </c>
      <c r="BR217" s="76">
        <v>52746</v>
      </c>
      <c r="BS217" s="76">
        <v>10773</v>
      </c>
      <c r="BT217" s="76">
        <v>0</v>
      </c>
      <c r="BU217" s="76">
        <v>0</v>
      </c>
      <c r="BV217" s="76">
        <v>18537</v>
      </c>
      <c r="BW217" s="76">
        <v>0</v>
      </c>
      <c r="BX217" s="76">
        <v>0</v>
      </c>
      <c r="BY217" s="76">
        <v>1679</v>
      </c>
      <c r="BZ217" s="76">
        <v>30989</v>
      </c>
      <c r="CA217" s="76">
        <v>0</v>
      </c>
      <c r="CB217" s="76">
        <v>0</v>
      </c>
      <c r="CC217" s="76">
        <v>21757</v>
      </c>
      <c r="CD217" s="76">
        <v>5295</v>
      </c>
      <c r="CE217" s="76">
        <v>0</v>
      </c>
      <c r="CF217" s="76">
        <v>0</v>
      </c>
      <c r="CG217" s="76">
        <v>0</v>
      </c>
      <c r="CH217" s="76">
        <v>16462</v>
      </c>
      <c r="CI217" s="76">
        <v>21757</v>
      </c>
      <c r="CJ217" s="76">
        <v>0</v>
      </c>
      <c r="CK217" s="76">
        <v>0</v>
      </c>
      <c r="CL217" s="76">
        <v>0</v>
      </c>
      <c r="CM217" s="76">
        <v>0</v>
      </c>
      <c r="CN217" s="76">
        <v>0</v>
      </c>
      <c r="CO217" s="76">
        <v>0</v>
      </c>
      <c r="CP217" s="76">
        <v>0</v>
      </c>
      <c r="CQ217" s="76">
        <v>0</v>
      </c>
      <c r="CR217" s="76">
        <v>0</v>
      </c>
      <c r="CS217" s="76">
        <v>0</v>
      </c>
      <c r="CT217" s="76">
        <v>0</v>
      </c>
      <c r="CU217" s="76">
        <v>0</v>
      </c>
      <c r="CV217" s="76">
        <v>0</v>
      </c>
      <c r="CW217" s="76">
        <v>0</v>
      </c>
      <c r="CX217" s="76">
        <v>0</v>
      </c>
      <c r="CY217" s="76">
        <v>0</v>
      </c>
      <c r="CZ217" s="76">
        <v>128</v>
      </c>
      <c r="DA217" s="76">
        <v>0</v>
      </c>
      <c r="DB217" s="76">
        <v>97</v>
      </c>
      <c r="DC217" s="76">
        <v>31</v>
      </c>
      <c r="DD217" s="76">
        <v>128</v>
      </c>
      <c r="DE217" s="76">
        <v>0</v>
      </c>
      <c r="DF217" s="76">
        <v>97</v>
      </c>
      <c r="DG217" s="76">
        <v>31</v>
      </c>
      <c r="DH217" s="76">
        <v>0</v>
      </c>
      <c r="DI217" s="76">
        <v>0</v>
      </c>
      <c r="DJ217" s="76">
        <v>0</v>
      </c>
      <c r="DK217" s="76">
        <v>0</v>
      </c>
      <c r="DL217" s="76">
        <v>0</v>
      </c>
      <c r="DM217" s="76">
        <v>0</v>
      </c>
      <c r="DN217" s="76">
        <v>0</v>
      </c>
      <c r="DO217" s="76">
        <v>0</v>
      </c>
      <c r="DP217" s="76">
        <v>0</v>
      </c>
      <c r="DQ217" s="76">
        <v>0</v>
      </c>
      <c r="DR217" s="76">
        <v>0</v>
      </c>
      <c r="DS217" s="76">
        <v>0</v>
      </c>
      <c r="DT217" s="76">
        <v>0</v>
      </c>
      <c r="DU217" s="76">
        <v>0</v>
      </c>
      <c r="DV217" s="76">
        <v>0</v>
      </c>
      <c r="DW217" s="76">
        <v>0</v>
      </c>
      <c r="DX217" s="76">
        <v>0</v>
      </c>
      <c r="DY217" s="76">
        <v>0</v>
      </c>
      <c r="DZ217" s="76">
        <v>0</v>
      </c>
      <c r="EA217" s="76">
        <v>0</v>
      </c>
      <c r="EB217" s="76">
        <v>1</v>
      </c>
      <c r="EC217" s="76">
        <v>0</v>
      </c>
      <c r="ED217" s="76">
        <v>1</v>
      </c>
      <c r="EE217" s="76">
        <v>0</v>
      </c>
      <c r="EF217" s="76">
        <v>1</v>
      </c>
      <c r="EG217" s="76">
        <v>0</v>
      </c>
      <c r="EH217" s="76">
        <v>1</v>
      </c>
      <c r="EI217" s="76">
        <v>0</v>
      </c>
      <c r="EJ217" s="76">
        <v>129</v>
      </c>
      <c r="EK217" s="76">
        <v>0</v>
      </c>
      <c r="EL217" s="76">
        <v>98</v>
      </c>
      <c r="EM217" s="76">
        <v>31</v>
      </c>
      <c r="EN217" s="76">
        <v>111</v>
      </c>
      <c r="EO217" s="76">
        <v>16</v>
      </c>
      <c r="EP217" s="76">
        <v>26</v>
      </c>
      <c r="EQ217" s="76">
        <v>16</v>
      </c>
      <c r="ER217" s="76">
        <v>73044</v>
      </c>
      <c r="ES217" s="76">
        <v>0</v>
      </c>
      <c r="ET217" s="76">
        <v>73044</v>
      </c>
      <c r="EU217" s="76">
        <v>2972</v>
      </c>
      <c r="EV217" s="76">
        <v>0</v>
      </c>
      <c r="EW217" s="76">
        <v>0</v>
      </c>
      <c r="EX217" s="76">
        <v>0</v>
      </c>
      <c r="EY217" s="76">
        <v>2</v>
      </c>
      <c r="EZ217" s="76">
        <v>76018</v>
      </c>
      <c r="FA217" s="76">
        <v>27122</v>
      </c>
      <c r="FB217" s="76">
        <v>1773</v>
      </c>
      <c r="FC217" s="76">
        <v>456</v>
      </c>
      <c r="FD217" s="76">
        <v>0</v>
      </c>
      <c r="FE217" s="76">
        <v>0</v>
      </c>
      <c r="FF217" s="76">
        <v>0</v>
      </c>
      <c r="FG217" s="76">
        <v>0</v>
      </c>
      <c r="FH217" s="76">
        <v>29351</v>
      </c>
      <c r="FI217" s="76">
        <v>46667</v>
      </c>
      <c r="FJ217" s="76">
        <v>45922</v>
      </c>
      <c r="FK217" s="76">
        <v>0</v>
      </c>
      <c r="FL217" s="76">
        <v>0</v>
      </c>
      <c r="FM217" s="76">
        <v>0</v>
      </c>
      <c r="FN217" s="76">
        <v>0</v>
      </c>
      <c r="FO217" s="76">
        <v>0</v>
      </c>
      <c r="FP217" s="76">
        <v>0</v>
      </c>
      <c r="FQ217" s="76">
        <v>0</v>
      </c>
      <c r="FR217" s="76">
        <v>0</v>
      </c>
      <c r="FS217" s="76">
        <v>0</v>
      </c>
      <c r="FT217" s="76">
        <v>0</v>
      </c>
      <c r="FU217" s="76">
        <v>0</v>
      </c>
      <c r="FV217" s="76">
        <v>0</v>
      </c>
      <c r="FW217" s="76">
        <v>0</v>
      </c>
      <c r="FX217" s="76">
        <v>0</v>
      </c>
      <c r="FY217" s="76">
        <v>0</v>
      </c>
      <c r="FZ217" s="76">
        <v>0</v>
      </c>
      <c r="GA217" s="76">
        <v>0</v>
      </c>
      <c r="GB217" s="76">
        <v>0</v>
      </c>
      <c r="GC217" s="76">
        <v>0</v>
      </c>
      <c r="GD217" s="76">
        <v>0</v>
      </c>
      <c r="GE217" s="76">
        <v>0</v>
      </c>
      <c r="GF217" s="76">
        <v>0</v>
      </c>
      <c r="GG217" s="76">
        <v>0</v>
      </c>
      <c r="GH217" s="76">
        <v>0</v>
      </c>
      <c r="GI217" s="76">
        <v>0</v>
      </c>
      <c r="GJ217" s="76">
        <v>0</v>
      </c>
      <c r="GK217" s="76">
        <v>0</v>
      </c>
      <c r="GL217" s="76">
        <v>0</v>
      </c>
      <c r="GM217" s="76">
        <v>998</v>
      </c>
      <c r="GN217" s="76">
        <v>171</v>
      </c>
      <c r="GO217" s="76">
        <v>0</v>
      </c>
      <c r="GP217" s="76">
        <v>0</v>
      </c>
      <c r="GQ217" s="76">
        <v>0</v>
      </c>
      <c r="GR217" s="76">
        <v>1423</v>
      </c>
      <c r="GS217" s="76">
        <v>0</v>
      </c>
      <c r="GT217" s="76">
        <v>0</v>
      </c>
      <c r="GU217" s="76">
        <v>139</v>
      </c>
      <c r="GV217" s="76">
        <v>0</v>
      </c>
      <c r="GW217" s="76">
        <v>0</v>
      </c>
      <c r="GX217" s="76">
        <v>2731</v>
      </c>
      <c r="GY217" s="76">
        <v>0</v>
      </c>
      <c r="GZ217" s="76">
        <v>0</v>
      </c>
      <c r="HA217" s="76">
        <v>929</v>
      </c>
      <c r="HB217" s="76">
        <v>750</v>
      </c>
      <c r="HC217" s="76">
        <v>1679</v>
      </c>
      <c r="HD217" s="76">
        <v>0</v>
      </c>
      <c r="HE217" s="76">
        <v>0</v>
      </c>
      <c r="HF217" s="76">
        <v>0</v>
      </c>
      <c r="HG217" s="76">
        <v>679</v>
      </c>
      <c r="HH217" s="76">
        <v>15</v>
      </c>
      <c r="HI217" s="76">
        <v>22</v>
      </c>
      <c r="HJ217" s="76">
        <v>0</v>
      </c>
      <c r="HK217" s="76">
        <v>0</v>
      </c>
      <c r="HL217" s="76">
        <v>0</v>
      </c>
      <c r="HM217" s="76">
        <v>716</v>
      </c>
      <c r="HN217" s="76">
        <v>1201</v>
      </c>
      <c r="HO217" s="76">
        <v>1840</v>
      </c>
      <c r="HP217" s="76">
        <v>456</v>
      </c>
      <c r="HQ217" s="76">
        <v>0</v>
      </c>
      <c r="HR217" s="76">
        <v>0</v>
      </c>
      <c r="HS217" s="76">
        <v>0</v>
      </c>
      <c r="HT217" s="76">
        <v>1504</v>
      </c>
      <c r="HU217" s="76">
        <v>0</v>
      </c>
      <c r="HV217" s="76">
        <v>0</v>
      </c>
      <c r="HW217" s="76">
        <v>0</v>
      </c>
      <c r="HX217" s="76">
        <v>0</v>
      </c>
    </row>
    <row r="218" spans="1:232" x14ac:dyDescent="0.2">
      <c r="A218" s="74" t="s">
        <v>624</v>
      </c>
      <c r="B218" s="74" t="s">
        <v>148</v>
      </c>
      <c r="C218" s="75" t="s">
        <v>200</v>
      </c>
      <c r="D218" s="75">
        <v>12</v>
      </c>
      <c r="E218" s="76">
        <v>46656</v>
      </c>
      <c r="F218" s="76">
        <v>-4480</v>
      </c>
      <c r="G218" s="76">
        <v>-28369</v>
      </c>
      <c r="H218" s="76">
        <v>13807</v>
      </c>
      <c r="I218" s="76">
        <v>671</v>
      </c>
      <c r="J218" s="76">
        <v>441</v>
      </c>
      <c r="K218" s="76">
        <v>0</v>
      </c>
      <c r="L218" s="76">
        <v>0</v>
      </c>
      <c r="M218" s="76">
        <v>70</v>
      </c>
      <c r="N218" s="76">
        <v>-5641</v>
      </c>
      <c r="O218" s="76">
        <v>1841</v>
      </c>
      <c r="P218" s="76">
        <v>-184</v>
      </c>
      <c r="Q218" s="76">
        <v>0</v>
      </c>
      <c r="R218" s="76">
        <v>0</v>
      </c>
      <c r="S218" s="76">
        <v>11005</v>
      </c>
      <c r="T218" s="76">
        <v>0</v>
      </c>
      <c r="U218" s="76">
        <v>11005</v>
      </c>
      <c r="V218" s="76">
        <v>0</v>
      </c>
      <c r="W218" s="76">
        <v>-736</v>
      </c>
      <c r="X218" s="76">
        <v>0</v>
      </c>
      <c r="Y218" s="76">
        <v>0</v>
      </c>
      <c r="Z218" s="76">
        <v>10269</v>
      </c>
      <c r="AA218" s="76">
        <v>34296</v>
      </c>
      <c r="AB218" s="76">
        <v>2020</v>
      </c>
      <c r="AC218" s="76">
        <v>36316</v>
      </c>
      <c r="AD218" s="76">
        <v>399</v>
      </c>
      <c r="AE218" s="76">
        <v>0</v>
      </c>
      <c r="AF218" s="76">
        <v>0</v>
      </c>
      <c r="AG218" s="76">
        <v>0</v>
      </c>
      <c r="AH218" s="76">
        <v>36715</v>
      </c>
      <c r="AI218" s="76">
        <v>5110</v>
      </c>
      <c r="AJ218" s="76">
        <v>2008</v>
      </c>
      <c r="AK218" s="76">
        <v>3931</v>
      </c>
      <c r="AL218" s="76">
        <v>2558</v>
      </c>
      <c r="AM218" s="76">
        <v>1920</v>
      </c>
      <c r="AN218" s="76">
        <v>-23</v>
      </c>
      <c r="AO218" s="76">
        <v>4419</v>
      </c>
      <c r="AP218" s="76">
        <v>191</v>
      </c>
      <c r="AQ218" s="76">
        <v>4465</v>
      </c>
      <c r="AR218" s="76">
        <v>24579</v>
      </c>
      <c r="AS218" s="76">
        <v>12136</v>
      </c>
      <c r="AT218" s="76">
        <v>247</v>
      </c>
      <c r="AU218" s="76">
        <v>246950</v>
      </c>
      <c r="AV218" s="76">
        <v>0</v>
      </c>
      <c r="AW218" s="76">
        <v>3936</v>
      </c>
      <c r="AX218" s="76">
        <v>0</v>
      </c>
      <c r="AY218" s="76">
        <v>590</v>
      </c>
      <c r="AZ218" s="76">
        <v>3746</v>
      </c>
      <c r="BA218" s="76">
        <v>0</v>
      </c>
      <c r="BB218" s="76">
        <v>0</v>
      </c>
      <c r="BC218" s="76">
        <v>0</v>
      </c>
      <c r="BD218" s="76">
        <v>0</v>
      </c>
      <c r="BE218" s="76">
        <v>255222</v>
      </c>
      <c r="BF218" s="76">
        <v>3305</v>
      </c>
      <c r="BG218" s="76">
        <v>1047</v>
      </c>
      <c r="BH218" s="76">
        <v>4611</v>
      </c>
      <c r="BI218" s="76">
        <v>0</v>
      </c>
      <c r="BJ218" s="76">
        <v>2464</v>
      </c>
      <c r="BK218" s="76">
        <v>11427</v>
      </c>
      <c r="BL218" s="76">
        <v>0</v>
      </c>
      <c r="BM218" s="76">
        <v>0</v>
      </c>
      <c r="BN218" s="76">
        <v>438</v>
      </c>
      <c r="BO218" s="76">
        <v>7774</v>
      </c>
      <c r="BP218" s="76">
        <v>8212</v>
      </c>
      <c r="BQ218" s="76">
        <v>3215</v>
      </c>
      <c r="BR218" s="76">
        <v>258437</v>
      </c>
      <c r="BS218" s="76">
        <v>167798</v>
      </c>
      <c r="BT218" s="76">
        <v>0</v>
      </c>
      <c r="BU218" s="76">
        <v>0</v>
      </c>
      <c r="BV218" s="76">
        <v>38193</v>
      </c>
      <c r="BW218" s="76">
        <v>590</v>
      </c>
      <c r="BX218" s="76">
        <v>0</v>
      </c>
      <c r="BY218" s="76">
        <v>1262</v>
      </c>
      <c r="BZ218" s="76">
        <v>207843</v>
      </c>
      <c r="CA218" s="76">
        <v>933</v>
      </c>
      <c r="CB218" s="76">
        <v>124</v>
      </c>
      <c r="CC218" s="76">
        <v>49537</v>
      </c>
      <c r="CD218" s="76">
        <v>49537</v>
      </c>
      <c r="CE218" s="76">
        <v>0</v>
      </c>
      <c r="CF218" s="76">
        <v>0</v>
      </c>
      <c r="CG218" s="76">
        <v>0</v>
      </c>
      <c r="CH218" s="76">
        <v>0</v>
      </c>
      <c r="CI218" s="76">
        <v>49537</v>
      </c>
      <c r="CJ218" s="76">
        <v>6521</v>
      </c>
      <c r="CK218" s="76">
        <v>4480</v>
      </c>
      <c r="CL218" s="76">
        <v>0</v>
      </c>
      <c r="CM218" s="76">
        <v>2041</v>
      </c>
      <c r="CN218" s="76">
        <v>299</v>
      </c>
      <c r="CO218" s="76">
        <v>0</v>
      </c>
      <c r="CP218" s="76">
        <v>394</v>
      </c>
      <c r="CQ218" s="76">
        <v>-95</v>
      </c>
      <c r="CR218" s="76">
        <v>0</v>
      </c>
      <c r="CS218" s="76">
        <v>0</v>
      </c>
      <c r="CT218" s="76">
        <v>0</v>
      </c>
      <c r="CU218" s="76">
        <v>0</v>
      </c>
      <c r="CV218" s="76">
        <v>103</v>
      </c>
      <c r="CW218" s="76">
        <v>0</v>
      </c>
      <c r="CX218" s="76">
        <v>769</v>
      </c>
      <c r="CY218" s="76">
        <v>-666</v>
      </c>
      <c r="CZ218" s="76">
        <v>495</v>
      </c>
      <c r="DA218" s="76">
        <v>0</v>
      </c>
      <c r="DB218" s="76">
        <v>765</v>
      </c>
      <c r="DC218" s="76">
        <v>-270</v>
      </c>
      <c r="DD218" s="76">
        <v>7418</v>
      </c>
      <c r="DE218" s="76">
        <v>4480</v>
      </c>
      <c r="DF218" s="76">
        <v>1928</v>
      </c>
      <c r="DG218" s="76">
        <v>1010</v>
      </c>
      <c r="DH218" s="76">
        <v>0</v>
      </c>
      <c r="DI218" s="76">
        <v>0</v>
      </c>
      <c r="DJ218" s="76">
        <v>0</v>
      </c>
      <c r="DK218" s="76">
        <v>0</v>
      </c>
      <c r="DL218" s="76">
        <v>0</v>
      </c>
      <c r="DM218" s="76">
        <v>0</v>
      </c>
      <c r="DN218" s="76">
        <v>0</v>
      </c>
      <c r="DO218" s="76">
        <v>0</v>
      </c>
      <c r="DP218" s="76">
        <v>0</v>
      </c>
      <c r="DQ218" s="76">
        <v>0</v>
      </c>
      <c r="DR218" s="76">
        <v>0</v>
      </c>
      <c r="DS218" s="76">
        <v>0</v>
      </c>
      <c r="DT218" s="76">
        <v>0</v>
      </c>
      <c r="DU218" s="76">
        <v>0</v>
      </c>
      <c r="DV218" s="76">
        <v>0</v>
      </c>
      <c r="DW218" s="76">
        <v>0</v>
      </c>
      <c r="DX218" s="76">
        <v>0</v>
      </c>
      <c r="DY218" s="76">
        <v>0</v>
      </c>
      <c r="DZ218" s="76">
        <v>0</v>
      </c>
      <c r="EA218" s="76">
        <v>0</v>
      </c>
      <c r="EB218" s="76">
        <v>2523</v>
      </c>
      <c r="EC218" s="76">
        <v>0</v>
      </c>
      <c r="ED218" s="76">
        <v>1862</v>
      </c>
      <c r="EE218" s="76">
        <v>661</v>
      </c>
      <c r="EF218" s="76">
        <v>2523</v>
      </c>
      <c r="EG218" s="76">
        <v>0</v>
      </c>
      <c r="EH218" s="76">
        <v>1862</v>
      </c>
      <c r="EI218" s="76">
        <v>661</v>
      </c>
      <c r="EJ218" s="76">
        <v>9941</v>
      </c>
      <c r="EK218" s="76">
        <v>4480</v>
      </c>
      <c r="EL218" s="76">
        <v>3790</v>
      </c>
      <c r="EM218" s="76">
        <v>1671</v>
      </c>
      <c r="EN218" s="76">
        <v>452</v>
      </c>
      <c r="EO218" s="76">
        <v>490</v>
      </c>
      <c r="EP218" s="76">
        <v>60</v>
      </c>
      <c r="EQ218" s="76">
        <v>490</v>
      </c>
      <c r="ER218" s="76">
        <v>255277</v>
      </c>
      <c r="ES218" s="76">
        <v>0</v>
      </c>
      <c r="ET218" s="76">
        <v>255277</v>
      </c>
      <c r="EU218" s="76">
        <v>32801</v>
      </c>
      <c r="EV218" s="76">
        <v>-3305</v>
      </c>
      <c r="EW218" s="76">
        <v>0</v>
      </c>
      <c r="EX218" s="76">
        <v>0</v>
      </c>
      <c r="EY218" s="76">
        <v>0</v>
      </c>
      <c r="EZ218" s="76">
        <v>284773</v>
      </c>
      <c r="FA218" s="76">
        <v>33605</v>
      </c>
      <c r="FB218" s="76">
        <v>4419</v>
      </c>
      <c r="FC218" s="76">
        <v>191</v>
      </c>
      <c r="FD218" s="76">
        <v>0</v>
      </c>
      <c r="FE218" s="76">
        <v>-392</v>
      </c>
      <c r="FF218" s="76">
        <v>0</v>
      </c>
      <c r="FG218" s="76">
        <v>0</v>
      </c>
      <c r="FH218" s="76">
        <v>37823</v>
      </c>
      <c r="FI218" s="76">
        <v>246950</v>
      </c>
      <c r="FJ218" s="76">
        <v>221672</v>
      </c>
      <c r="FK218" s="76">
        <v>2040</v>
      </c>
      <c r="FL218" s="76">
        <v>1548</v>
      </c>
      <c r="FM218" s="76">
        <v>492</v>
      </c>
      <c r="FN218" s="76">
        <v>3870</v>
      </c>
      <c r="FO218" s="76">
        <v>3768</v>
      </c>
      <c r="FP218" s="76">
        <v>102</v>
      </c>
      <c r="FQ218" s="76">
        <v>184</v>
      </c>
      <c r="FR218" s="76">
        <v>168</v>
      </c>
      <c r="FS218" s="76">
        <v>16</v>
      </c>
      <c r="FT218" s="76">
        <v>0</v>
      </c>
      <c r="FU218" s="76">
        <v>0</v>
      </c>
      <c r="FV218" s="76">
        <v>0</v>
      </c>
      <c r="FW218" s="76">
        <v>0</v>
      </c>
      <c r="FX218" s="76">
        <v>0</v>
      </c>
      <c r="FY218" s="76">
        <v>0</v>
      </c>
      <c r="FZ218" s="76">
        <v>185</v>
      </c>
      <c r="GA218" s="76">
        <v>124</v>
      </c>
      <c r="GB218" s="76">
        <v>61</v>
      </c>
      <c r="GC218" s="76">
        <v>6279</v>
      </c>
      <c r="GD218" s="76">
        <v>5608</v>
      </c>
      <c r="GE218" s="76">
        <v>671</v>
      </c>
      <c r="GF218" s="76">
        <v>280</v>
      </c>
      <c r="GG218" s="76">
        <v>19</v>
      </c>
      <c r="GH218" s="76">
        <v>47</v>
      </c>
      <c r="GI218" s="76">
        <v>0</v>
      </c>
      <c r="GJ218" s="76">
        <v>0</v>
      </c>
      <c r="GK218" s="76">
        <v>2118</v>
      </c>
      <c r="GL218" s="76">
        <v>2464</v>
      </c>
      <c r="GM218" s="76">
        <v>504</v>
      </c>
      <c r="GN218" s="76">
        <v>1144</v>
      </c>
      <c r="GO218" s="76">
        <v>0</v>
      </c>
      <c r="GP218" s="76">
        <v>192</v>
      </c>
      <c r="GQ218" s="76">
        <v>301</v>
      </c>
      <c r="GR218" s="76">
        <v>4562</v>
      </c>
      <c r="GS218" s="76">
        <v>0</v>
      </c>
      <c r="GT218" s="76">
        <v>0</v>
      </c>
      <c r="GU218" s="76">
        <v>0</v>
      </c>
      <c r="GV218" s="76">
        <v>0</v>
      </c>
      <c r="GW218" s="76">
        <v>1071</v>
      </c>
      <c r="GX218" s="76">
        <v>7774</v>
      </c>
      <c r="GY218" s="76">
        <v>614</v>
      </c>
      <c r="GZ218" s="76">
        <v>648</v>
      </c>
      <c r="HA218" s="76">
        <v>0</v>
      </c>
      <c r="HB218" s="76">
        <v>0</v>
      </c>
      <c r="HC218" s="76">
        <v>1262</v>
      </c>
      <c r="HD218" s="76">
        <v>0</v>
      </c>
      <c r="HE218" s="76">
        <v>124</v>
      </c>
      <c r="HF218" s="76">
        <v>124</v>
      </c>
      <c r="HG218" s="76">
        <v>6335</v>
      </c>
      <c r="HH218" s="76">
        <v>72</v>
      </c>
      <c r="HI218" s="76">
        <v>53</v>
      </c>
      <c r="HJ218" s="76">
        <v>0</v>
      </c>
      <c r="HK218" s="76">
        <v>0</v>
      </c>
      <c r="HL218" s="76">
        <v>-819</v>
      </c>
      <c r="HM218" s="76">
        <v>5641</v>
      </c>
      <c r="HN218" s="76">
        <v>1483</v>
      </c>
      <c r="HO218" s="76">
        <v>4698</v>
      </c>
      <c r="HP218" s="76">
        <v>191</v>
      </c>
      <c r="HQ218" s="76">
        <v>200</v>
      </c>
      <c r="HR218" s="76">
        <v>-23</v>
      </c>
      <c r="HS218" s="76">
        <v>4</v>
      </c>
      <c r="HT218" s="76">
        <v>5775</v>
      </c>
      <c r="HU218" s="76">
        <v>0</v>
      </c>
      <c r="HV218" s="76">
        <v>-2</v>
      </c>
      <c r="HW218" s="76">
        <v>5</v>
      </c>
      <c r="HX218" s="76">
        <v>814</v>
      </c>
    </row>
    <row r="219" spans="1:232" x14ac:dyDescent="0.2">
      <c r="A219" s="74" t="s">
        <v>151</v>
      </c>
      <c r="B219" s="74" t="s">
        <v>150</v>
      </c>
      <c r="C219" s="75" t="s">
        <v>200</v>
      </c>
      <c r="D219" s="75">
        <v>12</v>
      </c>
      <c r="E219" s="76">
        <v>35436</v>
      </c>
      <c r="F219" s="76">
        <v>0</v>
      </c>
      <c r="G219" s="76">
        <v>-28530</v>
      </c>
      <c r="H219" s="76">
        <v>6906</v>
      </c>
      <c r="I219" s="76">
        <v>2942</v>
      </c>
      <c r="J219" s="76">
        <v>0</v>
      </c>
      <c r="K219" s="76">
        <v>761</v>
      </c>
      <c r="L219" s="76">
        <v>0</v>
      </c>
      <c r="M219" s="76">
        <v>40</v>
      </c>
      <c r="N219" s="76">
        <v>-4118</v>
      </c>
      <c r="O219" s="76">
        <v>175</v>
      </c>
      <c r="P219" s="76">
        <v>84</v>
      </c>
      <c r="Q219" s="76">
        <v>0</v>
      </c>
      <c r="R219" s="76">
        <v>0</v>
      </c>
      <c r="S219" s="76">
        <v>6790</v>
      </c>
      <c r="T219" s="76">
        <v>0</v>
      </c>
      <c r="U219" s="76">
        <v>6790</v>
      </c>
      <c r="V219" s="76">
        <v>0</v>
      </c>
      <c r="W219" s="76">
        <v>-1664</v>
      </c>
      <c r="X219" s="76">
        <v>0</v>
      </c>
      <c r="Y219" s="76">
        <v>0</v>
      </c>
      <c r="Z219" s="76">
        <v>5126</v>
      </c>
      <c r="AA219" s="76">
        <v>32332</v>
      </c>
      <c r="AB219" s="76">
        <v>1432</v>
      </c>
      <c r="AC219" s="76">
        <v>33764</v>
      </c>
      <c r="AD219" s="76">
        <v>513</v>
      </c>
      <c r="AE219" s="76">
        <v>0</v>
      </c>
      <c r="AF219" s="76">
        <v>0</v>
      </c>
      <c r="AG219" s="76">
        <v>0</v>
      </c>
      <c r="AH219" s="76">
        <v>34277</v>
      </c>
      <c r="AI219" s="76">
        <v>6639</v>
      </c>
      <c r="AJ219" s="76">
        <v>1527</v>
      </c>
      <c r="AK219" s="76">
        <v>3198</v>
      </c>
      <c r="AL219" s="76">
        <v>2493</v>
      </c>
      <c r="AM219" s="76">
        <v>10046</v>
      </c>
      <c r="AN219" s="76">
        <v>69</v>
      </c>
      <c r="AO219" s="76">
        <v>2163</v>
      </c>
      <c r="AP219" s="76">
        <v>0</v>
      </c>
      <c r="AQ219" s="76">
        <v>-1419</v>
      </c>
      <c r="AR219" s="76">
        <v>24716</v>
      </c>
      <c r="AS219" s="76">
        <v>9561</v>
      </c>
      <c r="AT219" s="76">
        <v>387</v>
      </c>
      <c r="AU219" s="76">
        <v>171935</v>
      </c>
      <c r="AV219" s="76">
        <v>0</v>
      </c>
      <c r="AW219" s="76">
        <v>692</v>
      </c>
      <c r="AX219" s="76">
        <v>-36514</v>
      </c>
      <c r="AY219" s="76">
        <v>0</v>
      </c>
      <c r="AZ219" s="76">
        <v>4260</v>
      </c>
      <c r="BA219" s="76">
        <v>0</v>
      </c>
      <c r="BB219" s="76">
        <v>0</v>
      </c>
      <c r="BC219" s="76">
        <v>0</v>
      </c>
      <c r="BD219" s="76">
        <v>0</v>
      </c>
      <c r="BE219" s="76">
        <v>140373</v>
      </c>
      <c r="BF219" s="76">
        <v>97</v>
      </c>
      <c r="BG219" s="76">
        <v>3533</v>
      </c>
      <c r="BH219" s="76">
        <v>16208</v>
      </c>
      <c r="BI219" s="76">
        <v>0</v>
      </c>
      <c r="BJ219" s="76">
        <v>0</v>
      </c>
      <c r="BK219" s="76">
        <v>19838</v>
      </c>
      <c r="BL219" s="76">
        <v>0</v>
      </c>
      <c r="BM219" s="76">
        <v>0</v>
      </c>
      <c r="BN219" s="76">
        <v>377</v>
      </c>
      <c r="BO219" s="76">
        <v>13212</v>
      </c>
      <c r="BP219" s="76">
        <v>13589</v>
      </c>
      <c r="BQ219" s="76">
        <v>6249</v>
      </c>
      <c r="BR219" s="76">
        <v>146622</v>
      </c>
      <c r="BS219" s="76">
        <v>65507</v>
      </c>
      <c r="BT219" s="76">
        <v>0</v>
      </c>
      <c r="BU219" s="76">
        <v>0</v>
      </c>
      <c r="BV219" s="76">
        <v>16249</v>
      </c>
      <c r="BW219" s="76">
        <v>0</v>
      </c>
      <c r="BX219" s="76">
        <v>0</v>
      </c>
      <c r="BY219" s="76">
        <v>14146</v>
      </c>
      <c r="BZ219" s="76">
        <v>95902</v>
      </c>
      <c r="CA219" s="76">
        <v>7740</v>
      </c>
      <c r="CB219" s="76">
        <v>6</v>
      </c>
      <c r="CC219" s="76">
        <v>42974</v>
      </c>
      <c r="CD219" s="76">
        <v>42871</v>
      </c>
      <c r="CE219" s="76">
        <v>-143</v>
      </c>
      <c r="CF219" s="76">
        <v>246</v>
      </c>
      <c r="CG219" s="76">
        <v>0</v>
      </c>
      <c r="CH219" s="76">
        <v>0</v>
      </c>
      <c r="CI219" s="76">
        <v>42974</v>
      </c>
      <c r="CJ219" s="76">
        <v>0</v>
      </c>
      <c r="CK219" s="76">
        <v>0</v>
      </c>
      <c r="CL219" s="76">
        <v>0</v>
      </c>
      <c r="CM219" s="76">
        <v>0</v>
      </c>
      <c r="CN219" s="76">
        <v>0</v>
      </c>
      <c r="CO219" s="76">
        <v>0</v>
      </c>
      <c r="CP219" s="76">
        <v>5</v>
      </c>
      <c r="CQ219" s="76">
        <v>-5</v>
      </c>
      <c r="CR219" s="76">
        <v>0</v>
      </c>
      <c r="CS219" s="76">
        <v>0</v>
      </c>
      <c r="CT219" s="76">
        <v>0</v>
      </c>
      <c r="CU219" s="76">
        <v>0</v>
      </c>
      <c r="CV219" s="76">
        <v>0</v>
      </c>
      <c r="CW219" s="76">
        <v>0</v>
      </c>
      <c r="CX219" s="76">
        <v>0</v>
      </c>
      <c r="CY219" s="76">
        <v>0</v>
      </c>
      <c r="CZ219" s="76">
        <v>0</v>
      </c>
      <c r="DA219" s="76">
        <v>0</v>
      </c>
      <c r="DB219" s="76">
        <v>0</v>
      </c>
      <c r="DC219" s="76">
        <v>0</v>
      </c>
      <c r="DD219" s="76">
        <v>0</v>
      </c>
      <c r="DE219" s="76">
        <v>0</v>
      </c>
      <c r="DF219" s="76">
        <v>5</v>
      </c>
      <c r="DG219" s="76">
        <v>-5</v>
      </c>
      <c r="DH219" s="76">
        <v>0</v>
      </c>
      <c r="DI219" s="76">
        <v>0</v>
      </c>
      <c r="DJ219" s="76">
        <v>0</v>
      </c>
      <c r="DK219" s="76">
        <v>0</v>
      </c>
      <c r="DL219" s="76">
        <v>0</v>
      </c>
      <c r="DM219" s="76">
        <v>0</v>
      </c>
      <c r="DN219" s="76">
        <v>0</v>
      </c>
      <c r="DO219" s="76">
        <v>0</v>
      </c>
      <c r="DP219" s="76">
        <v>0</v>
      </c>
      <c r="DQ219" s="76">
        <v>0</v>
      </c>
      <c r="DR219" s="76">
        <v>0</v>
      </c>
      <c r="DS219" s="76">
        <v>0</v>
      </c>
      <c r="DT219" s="76">
        <v>742</v>
      </c>
      <c r="DU219" s="76">
        <v>0</v>
      </c>
      <c r="DV219" s="76">
        <v>1407</v>
      </c>
      <c r="DW219" s="76">
        <v>-665</v>
      </c>
      <c r="DX219" s="76">
        <v>0</v>
      </c>
      <c r="DY219" s="76">
        <v>0</v>
      </c>
      <c r="DZ219" s="76">
        <v>0</v>
      </c>
      <c r="EA219" s="76">
        <v>0</v>
      </c>
      <c r="EB219" s="76">
        <v>417</v>
      </c>
      <c r="EC219" s="76">
        <v>0</v>
      </c>
      <c r="ED219" s="76">
        <v>2402</v>
      </c>
      <c r="EE219" s="76">
        <v>-1985</v>
      </c>
      <c r="EF219" s="76">
        <v>1159</v>
      </c>
      <c r="EG219" s="76">
        <v>0</v>
      </c>
      <c r="EH219" s="76">
        <v>3809</v>
      </c>
      <c r="EI219" s="76">
        <v>-2650</v>
      </c>
      <c r="EJ219" s="76">
        <v>1159</v>
      </c>
      <c r="EK219" s="76">
        <v>0</v>
      </c>
      <c r="EL219" s="76">
        <v>3814</v>
      </c>
      <c r="EM219" s="76">
        <v>-2655</v>
      </c>
      <c r="EN219" s="76">
        <v>1338</v>
      </c>
      <c r="EO219" s="76">
        <v>459</v>
      </c>
      <c r="EP219" s="76">
        <v>431</v>
      </c>
      <c r="EQ219" s="76">
        <v>397</v>
      </c>
      <c r="ER219" s="76">
        <v>170829</v>
      </c>
      <c r="ES219" s="76">
        <v>0</v>
      </c>
      <c r="ET219" s="76">
        <v>170829</v>
      </c>
      <c r="EU219" s="76">
        <v>8749</v>
      </c>
      <c r="EV219" s="76">
        <v>-1087</v>
      </c>
      <c r="EW219" s="76">
        <v>0</v>
      </c>
      <c r="EX219" s="76">
        <v>0</v>
      </c>
      <c r="EY219" s="76">
        <v>0</v>
      </c>
      <c r="EZ219" s="76">
        <v>178491</v>
      </c>
      <c r="FA219" s="76">
        <v>4523</v>
      </c>
      <c r="FB219" s="76">
        <v>2163</v>
      </c>
      <c r="FC219" s="76">
        <v>0</v>
      </c>
      <c r="FD219" s="76">
        <v>0</v>
      </c>
      <c r="FE219" s="76">
        <v>-130</v>
      </c>
      <c r="FF219" s="76">
        <v>0</v>
      </c>
      <c r="FG219" s="76">
        <v>0</v>
      </c>
      <c r="FH219" s="76">
        <v>6556</v>
      </c>
      <c r="FI219" s="76">
        <v>171935</v>
      </c>
      <c r="FJ219" s="76">
        <v>166306</v>
      </c>
      <c r="FK219" s="76">
        <v>0</v>
      </c>
      <c r="FL219" s="76">
        <v>0</v>
      </c>
      <c r="FM219" s="76">
        <v>0</v>
      </c>
      <c r="FN219" s="76">
        <v>6044</v>
      </c>
      <c r="FO219" s="76">
        <v>5216</v>
      </c>
      <c r="FP219" s="76">
        <v>828</v>
      </c>
      <c r="FQ219" s="76">
        <v>0</v>
      </c>
      <c r="FR219" s="76">
        <v>0</v>
      </c>
      <c r="FS219" s="76">
        <v>0</v>
      </c>
      <c r="FT219" s="76">
        <v>5123</v>
      </c>
      <c r="FU219" s="76">
        <v>3009</v>
      </c>
      <c r="FV219" s="76">
        <v>2114</v>
      </c>
      <c r="FW219" s="76">
        <v>0</v>
      </c>
      <c r="FX219" s="76">
        <v>0</v>
      </c>
      <c r="FY219" s="76">
        <v>0</v>
      </c>
      <c r="FZ219" s="76">
        <v>0</v>
      </c>
      <c r="GA219" s="76">
        <v>0</v>
      </c>
      <c r="GB219" s="76">
        <v>0</v>
      </c>
      <c r="GC219" s="76">
        <v>11167</v>
      </c>
      <c r="GD219" s="76">
        <v>8225</v>
      </c>
      <c r="GE219" s="76">
        <v>2942</v>
      </c>
      <c r="GF219" s="76">
        <v>0</v>
      </c>
      <c r="GG219" s="76">
        <v>0</v>
      </c>
      <c r="GH219" s="76">
        <v>0</v>
      </c>
      <c r="GI219" s="76">
        <v>0</v>
      </c>
      <c r="GJ219" s="76">
        <v>0</v>
      </c>
      <c r="GK219" s="76">
        <v>0</v>
      </c>
      <c r="GL219" s="76">
        <v>0</v>
      </c>
      <c r="GM219" s="76">
        <v>6661</v>
      </c>
      <c r="GN219" s="76">
        <v>812</v>
      </c>
      <c r="GO219" s="76">
        <v>0</v>
      </c>
      <c r="GP219" s="76">
        <v>0</v>
      </c>
      <c r="GQ219" s="76">
        <v>0</v>
      </c>
      <c r="GR219" s="76">
        <v>1281</v>
      </c>
      <c r="GS219" s="76">
        <v>0</v>
      </c>
      <c r="GT219" s="76">
        <v>0</v>
      </c>
      <c r="GU219" s="76">
        <v>0</v>
      </c>
      <c r="GV219" s="76">
        <v>0</v>
      </c>
      <c r="GW219" s="76">
        <v>4458</v>
      </c>
      <c r="GX219" s="76">
        <v>13212</v>
      </c>
      <c r="GY219" s="76">
        <v>0</v>
      </c>
      <c r="GZ219" s="76">
        <v>0</v>
      </c>
      <c r="HA219" s="76">
        <v>0</v>
      </c>
      <c r="HB219" s="76">
        <v>14146</v>
      </c>
      <c r="HC219" s="76">
        <v>14146</v>
      </c>
      <c r="HD219" s="76">
        <v>0</v>
      </c>
      <c r="HE219" s="76">
        <v>6</v>
      </c>
      <c r="HF219" s="76">
        <v>6</v>
      </c>
      <c r="HG219" s="76">
        <v>3901</v>
      </c>
      <c r="HH219" s="76">
        <v>0</v>
      </c>
      <c r="HI219" s="76">
        <v>217</v>
      </c>
      <c r="HJ219" s="76">
        <v>0</v>
      </c>
      <c r="HK219" s="76">
        <v>0</v>
      </c>
      <c r="HL219" s="76">
        <v>0</v>
      </c>
      <c r="HM219" s="76">
        <v>4118</v>
      </c>
      <c r="HN219" s="76">
        <v>8305</v>
      </c>
      <c r="HO219" s="76">
        <v>2688</v>
      </c>
      <c r="HP219" s="76">
        <v>0</v>
      </c>
      <c r="HQ219" s="76">
        <v>2</v>
      </c>
      <c r="HR219" s="76">
        <v>-82</v>
      </c>
      <c r="HS219" s="76">
        <v>2</v>
      </c>
      <c r="HT219" s="76">
        <v>5840</v>
      </c>
      <c r="HU219" s="76">
        <v>13</v>
      </c>
      <c r="HV219" s="76">
        <v>0</v>
      </c>
      <c r="HW219" s="76">
        <v>2</v>
      </c>
      <c r="HX219" s="76">
        <v>664</v>
      </c>
    </row>
    <row r="220" spans="1:232" x14ac:dyDescent="0.2">
      <c r="A220" s="74" t="s">
        <v>625</v>
      </c>
      <c r="B220" s="74" t="s">
        <v>626</v>
      </c>
      <c r="C220" s="75" t="s">
        <v>200</v>
      </c>
      <c r="D220" s="75">
        <v>12</v>
      </c>
      <c r="E220" s="76">
        <v>9022</v>
      </c>
      <c r="F220" s="76">
        <v>-603</v>
      </c>
      <c r="G220" s="76">
        <v>-4796</v>
      </c>
      <c r="H220" s="76">
        <v>3623</v>
      </c>
      <c r="I220" s="76">
        <v>-43</v>
      </c>
      <c r="J220" s="76">
        <v>0</v>
      </c>
      <c r="K220" s="76">
        <v>75</v>
      </c>
      <c r="L220" s="76">
        <v>0</v>
      </c>
      <c r="M220" s="76">
        <v>1</v>
      </c>
      <c r="N220" s="76">
        <v>-1311</v>
      </c>
      <c r="O220" s="76">
        <v>82</v>
      </c>
      <c r="P220" s="76">
        <v>0</v>
      </c>
      <c r="Q220" s="76">
        <v>0</v>
      </c>
      <c r="R220" s="76">
        <v>0</v>
      </c>
      <c r="S220" s="76">
        <v>2427</v>
      </c>
      <c r="T220" s="76">
        <v>-470</v>
      </c>
      <c r="U220" s="76">
        <v>1957</v>
      </c>
      <c r="V220" s="76">
        <v>0</v>
      </c>
      <c r="W220" s="76">
        <v>0</v>
      </c>
      <c r="X220" s="76">
        <v>0</v>
      </c>
      <c r="Y220" s="76">
        <v>0</v>
      </c>
      <c r="Z220" s="76">
        <v>1957</v>
      </c>
      <c r="AA220" s="76">
        <v>5533</v>
      </c>
      <c r="AB220" s="76">
        <v>1574</v>
      </c>
      <c r="AC220" s="76">
        <v>7107</v>
      </c>
      <c r="AD220" s="76">
        <v>433</v>
      </c>
      <c r="AE220" s="76">
        <v>0</v>
      </c>
      <c r="AF220" s="76">
        <v>0</v>
      </c>
      <c r="AG220" s="76">
        <v>36</v>
      </c>
      <c r="AH220" s="76">
        <v>7576</v>
      </c>
      <c r="AI220" s="76">
        <v>664</v>
      </c>
      <c r="AJ220" s="76">
        <v>1219</v>
      </c>
      <c r="AK220" s="76">
        <v>679</v>
      </c>
      <c r="AL220" s="76">
        <v>358</v>
      </c>
      <c r="AM220" s="76">
        <v>25</v>
      </c>
      <c r="AN220" s="76">
        <v>23</v>
      </c>
      <c r="AO220" s="76">
        <v>1089</v>
      </c>
      <c r="AP220" s="76">
        <v>0</v>
      </c>
      <c r="AQ220" s="76">
        <v>21</v>
      </c>
      <c r="AR220" s="76">
        <v>4078</v>
      </c>
      <c r="AS220" s="76">
        <v>3498</v>
      </c>
      <c r="AT220" s="76">
        <v>39</v>
      </c>
      <c r="AU220" s="76">
        <v>64388</v>
      </c>
      <c r="AV220" s="76">
        <v>0</v>
      </c>
      <c r="AW220" s="76">
        <v>2943</v>
      </c>
      <c r="AX220" s="76">
        <v>0</v>
      </c>
      <c r="AY220" s="76">
        <v>0</v>
      </c>
      <c r="AZ220" s="76">
        <v>7194</v>
      </c>
      <c r="BA220" s="76">
        <v>0</v>
      </c>
      <c r="BB220" s="76">
        <v>495</v>
      </c>
      <c r="BC220" s="76">
        <v>0</v>
      </c>
      <c r="BD220" s="76">
        <v>0</v>
      </c>
      <c r="BE220" s="76">
        <v>75020</v>
      </c>
      <c r="BF220" s="76">
        <v>69</v>
      </c>
      <c r="BG220" s="76">
        <v>152</v>
      </c>
      <c r="BH220" s="76">
        <v>323</v>
      </c>
      <c r="BI220" s="76">
        <v>1887</v>
      </c>
      <c r="BJ220" s="76">
        <v>1507</v>
      </c>
      <c r="BK220" s="76">
        <v>3938</v>
      </c>
      <c r="BL220" s="76">
        <v>100</v>
      </c>
      <c r="BM220" s="76">
        <v>0</v>
      </c>
      <c r="BN220" s="76">
        <v>465</v>
      </c>
      <c r="BO220" s="76">
        <v>4206</v>
      </c>
      <c r="BP220" s="76">
        <v>4771</v>
      </c>
      <c r="BQ220" s="76">
        <v>-833</v>
      </c>
      <c r="BR220" s="76">
        <v>74187</v>
      </c>
      <c r="BS220" s="76">
        <v>18740</v>
      </c>
      <c r="BT220" s="76">
        <v>0</v>
      </c>
      <c r="BU220" s="76">
        <v>0</v>
      </c>
      <c r="BV220" s="76">
        <v>34404</v>
      </c>
      <c r="BW220" s="76">
        <v>0</v>
      </c>
      <c r="BX220" s="76">
        <v>0</v>
      </c>
      <c r="BY220" s="76">
        <v>655</v>
      </c>
      <c r="BZ220" s="76">
        <v>53799</v>
      </c>
      <c r="CA220" s="76">
        <v>0</v>
      </c>
      <c r="CB220" s="76">
        <v>506</v>
      </c>
      <c r="CC220" s="76">
        <v>19882</v>
      </c>
      <c r="CD220" s="76">
        <v>19882</v>
      </c>
      <c r="CE220" s="76">
        <v>0</v>
      </c>
      <c r="CF220" s="76">
        <v>0</v>
      </c>
      <c r="CG220" s="76">
        <v>0</v>
      </c>
      <c r="CH220" s="76">
        <v>0</v>
      </c>
      <c r="CI220" s="76">
        <v>19882</v>
      </c>
      <c r="CJ220" s="76">
        <v>640</v>
      </c>
      <c r="CK220" s="76">
        <v>603</v>
      </c>
      <c r="CL220" s="76">
        <v>0</v>
      </c>
      <c r="CM220" s="76">
        <v>37</v>
      </c>
      <c r="CN220" s="76">
        <v>0</v>
      </c>
      <c r="CO220" s="76">
        <v>0</v>
      </c>
      <c r="CP220" s="76">
        <v>0</v>
      </c>
      <c r="CQ220" s="76">
        <v>0</v>
      </c>
      <c r="CR220" s="76">
        <v>0</v>
      </c>
      <c r="CS220" s="76">
        <v>0</v>
      </c>
      <c r="CT220" s="76">
        <v>1</v>
      </c>
      <c r="CU220" s="76">
        <v>-1</v>
      </c>
      <c r="CV220" s="76">
        <v>67</v>
      </c>
      <c r="CW220" s="76">
        <v>0</v>
      </c>
      <c r="CX220" s="76">
        <v>60</v>
      </c>
      <c r="CY220" s="76">
        <v>7</v>
      </c>
      <c r="CZ220" s="76">
        <v>63</v>
      </c>
      <c r="DA220" s="76">
        <v>0</v>
      </c>
      <c r="DB220" s="76">
        <v>50</v>
      </c>
      <c r="DC220" s="76">
        <v>13</v>
      </c>
      <c r="DD220" s="76">
        <v>770</v>
      </c>
      <c r="DE220" s="76">
        <v>603</v>
      </c>
      <c r="DF220" s="76">
        <v>111</v>
      </c>
      <c r="DG220" s="76">
        <v>56</v>
      </c>
      <c r="DH220" s="76">
        <v>0</v>
      </c>
      <c r="DI220" s="76">
        <v>0</v>
      </c>
      <c r="DJ220" s="76">
        <v>0</v>
      </c>
      <c r="DK220" s="76">
        <v>0</v>
      </c>
      <c r="DL220" s="76">
        <v>0</v>
      </c>
      <c r="DM220" s="76">
        <v>0</v>
      </c>
      <c r="DN220" s="76">
        <v>0</v>
      </c>
      <c r="DO220" s="76">
        <v>0</v>
      </c>
      <c r="DP220" s="76">
        <v>0</v>
      </c>
      <c r="DQ220" s="76">
        <v>0</v>
      </c>
      <c r="DR220" s="76">
        <v>0</v>
      </c>
      <c r="DS220" s="76">
        <v>0</v>
      </c>
      <c r="DT220" s="76">
        <v>0</v>
      </c>
      <c r="DU220" s="76">
        <v>0</v>
      </c>
      <c r="DV220" s="76">
        <v>0</v>
      </c>
      <c r="DW220" s="76">
        <v>0</v>
      </c>
      <c r="DX220" s="76">
        <v>0</v>
      </c>
      <c r="DY220" s="76">
        <v>0</v>
      </c>
      <c r="DZ220" s="76">
        <v>0</v>
      </c>
      <c r="EA220" s="76">
        <v>0</v>
      </c>
      <c r="EB220" s="76">
        <v>676</v>
      </c>
      <c r="EC220" s="76">
        <v>0</v>
      </c>
      <c r="ED220" s="76">
        <v>607</v>
      </c>
      <c r="EE220" s="76">
        <v>69</v>
      </c>
      <c r="EF220" s="76">
        <v>676</v>
      </c>
      <c r="EG220" s="76">
        <v>0</v>
      </c>
      <c r="EH220" s="76">
        <v>607</v>
      </c>
      <c r="EI220" s="76">
        <v>69</v>
      </c>
      <c r="EJ220" s="76">
        <v>1446</v>
      </c>
      <c r="EK220" s="76">
        <v>603</v>
      </c>
      <c r="EL220" s="76">
        <v>718</v>
      </c>
      <c r="EM220" s="76">
        <v>125</v>
      </c>
      <c r="EN220" s="76">
        <v>238</v>
      </c>
      <c r="EO220" s="76">
        <v>196</v>
      </c>
      <c r="EP220" s="76">
        <v>86</v>
      </c>
      <c r="EQ220" s="76">
        <v>196</v>
      </c>
      <c r="ER220" s="76">
        <v>76243</v>
      </c>
      <c r="ES220" s="76">
        <v>0</v>
      </c>
      <c r="ET220" s="76">
        <v>76243</v>
      </c>
      <c r="EU220" s="76">
        <v>3222</v>
      </c>
      <c r="EV220" s="76">
        <v>-938</v>
      </c>
      <c r="EW220" s="76">
        <v>0</v>
      </c>
      <c r="EX220" s="76">
        <v>0</v>
      </c>
      <c r="EY220" s="76">
        <v>0</v>
      </c>
      <c r="EZ220" s="76">
        <v>78527</v>
      </c>
      <c r="FA220" s="76">
        <v>13183</v>
      </c>
      <c r="FB220" s="76">
        <v>1088</v>
      </c>
      <c r="FC220" s="76">
        <v>0</v>
      </c>
      <c r="FD220" s="76">
        <v>0</v>
      </c>
      <c r="FE220" s="76">
        <v>-132</v>
      </c>
      <c r="FF220" s="76">
        <v>0</v>
      </c>
      <c r="FG220" s="76">
        <v>0</v>
      </c>
      <c r="FH220" s="76">
        <v>14139</v>
      </c>
      <c r="FI220" s="76">
        <v>64388</v>
      </c>
      <c r="FJ220" s="76">
        <v>63060</v>
      </c>
      <c r="FK220" s="76">
        <v>642</v>
      </c>
      <c r="FL220" s="76">
        <v>685</v>
      </c>
      <c r="FM220" s="76">
        <v>-43</v>
      </c>
      <c r="FN220" s="76">
        <v>0</v>
      </c>
      <c r="FO220" s="76">
        <v>0</v>
      </c>
      <c r="FP220" s="76">
        <v>0</v>
      </c>
      <c r="FQ220" s="76">
        <v>0</v>
      </c>
      <c r="FR220" s="76">
        <v>0</v>
      </c>
      <c r="FS220" s="76">
        <v>0</v>
      </c>
      <c r="FT220" s="76">
        <v>0</v>
      </c>
      <c r="FU220" s="76">
        <v>0</v>
      </c>
      <c r="FV220" s="76">
        <v>0</v>
      </c>
      <c r="FW220" s="76">
        <v>0</v>
      </c>
      <c r="FX220" s="76">
        <v>0</v>
      </c>
      <c r="FY220" s="76">
        <v>0</v>
      </c>
      <c r="FZ220" s="76">
        <v>0</v>
      </c>
      <c r="GA220" s="76">
        <v>0</v>
      </c>
      <c r="GB220" s="76">
        <v>0</v>
      </c>
      <c r="GC220" s="76">
        <v>642</v>
      </c>
      <c r="GD220" s="76">
        <v>685</v>
      </c>
      <c r="GE220" s="76">
        <v>-43</v>
      </c>
      <c r="GF220" s="76">
        <v>1021</v>
      </c>
      <c r="GG220" s="76">
        <v>0</v>
      </c>
      <c r="GH220" s="76">
        <v>0</v>
      </c>
      <c r="GI220" s="76">
        <v>0</v>
      </c>
      <c r="GJ220" s="76">
        <v>0</v>
      </c>
      <c r="GK220" s="76">
        <v>486</v>
      </c>
      <c r="GL220" s="76">
        <v>1507</v>
      </c>
      <c r="GM220" s="76">
        <v>100</v>
      </c>
      <c r="GN220" s="76">
        <v>302</v>
      </c>
      <c r="GO220" s="76">
        <v>1015</v>
      </c>
      <c r="GP220" s="76">
        <v>120</v>
      </c>
      <c r="GQ220" s="76">
        <v>0</v>
      </c>
      <c r="GR220" s="76">
        <v>205</v>
      </c>
      <c r="GS220" s="76">
        <v>0</v>
      </c>
      <c r="GT220" s="76">
        <v>0</v>
      </c>
      <c r="GU220" s="76">
        <v>0</v>
      </c>
      <c r="GV220" s="76">
        <v>0</v>
      </c>
      <c r="GW220" s="76">
        <v>2464</v>
      </c>
      <c r="GX220" s="76">
        <v>4206</v>
      </c>
      <c r="GY220" s="76">
        <v>655</v>
      </c>
      <c r="GZ220" s="76">
        <v>0</v>
      </c>
      <c r="HA220" s="76">
        <v>0</v>
      </c>
      <c r="HB220" s="76">
        <v>0</v>
      </c>
      <c r="HC220" s="76">
        <v>655</v>
      </c>
      <c r="HD220" s="76">
        <v>0</v>
      </c>
      <c r="HE220" s="76">
        <v>506</v>
      </c>
      <c r="HF220" s="76">
        <v>506</v>
      </c>
      <c r="HG220" s="76">
        <v>1265</v>
      </c>
      <c r="HH220" s="76">
        <v>82</v>
      </c>
      <c r="HI220" s="76">
        <v>0</v>
      </c>
      <c r="HJ220" s="76">
        <v>0</v>
      </c>
      <c r="HK220" s="76">
        <v>0</v>
      </c>
      <c r="HL220" s="76">
        <v>-36</v>
      </c>
      <c r="HM220" s="76">
        <v>1311</v>
      </c>
      <c r="HN220" s="76">
        <v>555</v>
      </c>
      <c r="HO220" s="76">
        <v>1153</v>
      </c>
      <c r="HP220" s="76">
        <v>0</v>
      </c>
      <c r="HQ220" s="76">
        <v>2</v>
      </c>
      <c r="HR220" s="76">
        <v>-14</v>
      </c>
      <c r="HS220" s="76">
        <v>-19</v>
      </c>
      <c r="HT220" s="76">
        <v>2339</v>
      </c>
      <c r="HU220" s="76">
        <v>5</v>
      </c>
      <c r="HV220" s="76">
        <v>0</v>
      </c>
      <c r="HW220" s="76">
        <v>22</v>
      </c>
      <c r="HX220" s="76">
        <v>111</v>
      </c>
    </row>
    <row r="221" spans="1:232" x14ac:dyDescent="0.2">
      <c r="A221" s="74" t="s">
        <v>627</v>
      </c>
      <c r="B221" s="74" t="s">
        <v>628</v>
      </c>
      <c r="C221" s="75" t="s">
        <v>200</v>
      </c>
      <c r="D221" s="75">
        <v>12</v>
      </c>
      <c r="E221" s="76">
        <v>52619</v>
      </c>
      <c r="F221" s="76">
        <v>-60</v>
      </c>
      <c r="G221" s="76">
        <v>-35293</v>
      </c>
      <c r="H221" s="76">
        <v>17266</v>
      </c>
      <c r="I221" s="76">
        <v>282</v>
      </c>
      <c r="J221" s="76">
        <v>1102</v>
      </c>
      <c r="K221" s="76">
        <v>0</v>
      </c>
      <c r="L221" s="76">
        <v>0</v>
      </c>
      <c r="M221" s="76">
        <v>251</v>
      </c>
      <c r="N221" s="76">
        <v>-9468</v>
      </c>
      <c r="O221" s="76">
        <v>0</v>
      </c>
      <c r="P221" s="76">
        <v>0</v>
      </c>
      <c r="Q221" s="76">
        <v>0</v>
      </c>
      <c r="R221" s="76">
        <v>0</v>
      </c>
      <c r="S221" s="76">
        <v>9433</v>
      </c>
      <c r="T221" s="76">
        <v>0</v>
      </c>
      <c r="U221" s="76">
        <v>9433</v>
      </c>
      <c r="V221" s="76">
        <v>0</v>
      </c>
      <c r="W221" s="76">
        <v>-294</v>
      </c>
      <c r="X221" s="76">
        <v>0</v>
      </c>
      <c r="Y221" s="76">
        <v>0</v>
      </c>
      <c r="Z221" s="76">
        <v>9139</v>
      </c>
      <c r="AA221" s="76">
        <v>46257</v>
      </c>
      <c r="AB221" s="76">
        <v>3537</v>
      </c>
      <c r="AC221" s="76">
        <v>49794</v>
      </c>
      <c r="AD221" s="76">
        <v>2331</v>
      </c>
      <c r="AE221" s="76">
        <v>0</v>
      </c>
      <c r="AF221" s="76">
        <v>0</v>
      </c>
      <c r="AG221" s="76">
        <v>0</v>
      </c>
      <c r="AH221" s="76">
        <v>52125</v>
      </c>
      <c r="AI221" s="76">
        <v>8101</v>
      </c>
      <c r="AJ221" s="76">
        <v>3523</v>
      </c>
      <c r="AK221" s="76">
        <v>8098</v>
      </c>
      <c r="AL221" s="76">
        <v>5523</v>
      </c>
      <c r="AM221" s="76">
        <v>299</v>
      </c>
      <c r="AN221" s="76">
        <v>310</v>
      </c>
      <c r="AO221" s="76">
        <v>6968</v>
      </c>
      <c r="AP221" s="76">
        <v>0</v>
      </c>
      <c r="AQ221" s="76">
        <v>560</v>
      </c>
      <c r="AR221" s="76">
        <v>33382</v>
      </c>
      <c r="AS221" s="76">
        <v>18743</v>
      </c>
      <c r="AT221" s="76">
        <v>691</v>
      </c>
      <c r="AU221" s="76">
        <v>410968</v>
      </c>
      <c r="AV221" s="76">
        <v>0</v>
      </c>
      <c r="AW221" s="76">
        <v>6354</v>
      </c>
      <c r="AX221" s="76">
        <v>0</v>
      </c>
      <c r="AY221" s="76">
        <v>0</v>
      </c>
      <c r="AZ221" s="76">
        <v>0</v>
      </c>
      <c r="BA221" s="76">
        <v>0</v>
      </c>
      <c r="BB221" s="76">
        <v>1134</v>
      </c>
      <c r="BC221" s="76">
        <v>0</v>
      </c>
      <c r="BD221" s="76">
        <v>0</v>
      </c>
      <c r="BE221" s="76">
        <v>418456</v>
      </c>
      <c r="BF221" s="76">
        <v>2811</v>
      </c>
      <c r="BG221" s="76">
        <v>874</v>
      </c>
      <c r="BH221" s="76">
        <v>3380</v>
      </c>
      <c r="BI221" s="76">
        <v>12508</v>
      </c>
      <c r="BJ221" s="76">
        <v>9934</v>
      </c>
      <c r="BK221" s="76">
        <v>29507</v>
      </c>
      <c r="BL221" s="76">
        <v>3201</v>
      </c>
      <c r="BM221" s="76">
        <v>0</v>
      </c>
      <c r="BN221" s="76">
        <v>2602</v>
      </c>
      <c r="BO221" s="76">
        <v>10544</v>
      </c>
      <c r="BP221" s="76">
        <v>16347</v>
      </c>
      <c r="BQ221" s="76">
        <v>13160</v>
      </c>
      <c r="BR221" s="76">
        <v>431616</v>
      </c>
      <c r="BS221" s="76">
        <v>183656</v>
      </c>
      <c r="BT221" s="76">
        <v>0</v>
      </c>
      <c r="BU221" s="76">
        <v>0</v>
      </c>
      <c r="BV221" s="76">
        <v>196649</v>
      </c>
      <c r="BW221" s="76">
        <v>0</v>
      </c>
      <c r="BX221" s="76">
        <v>0</v>
      </c>
      <c r="BY221" s="76">
        <v>8699</v>
      </c>
      <c r="BZ221" s="76">
        <v>389004</v>
      </c>
      <c r="CA221" s="76">
        <v>2214</v>
      </c>
      <c r="CB221" s="76">
        <v>0</v>
      </c>
      <c r="CC221" s="76">
        <v>40398</v>
      </c>
      <c r="CD221" s="76">
        <v>39037</v>
      </c>
      <c r="CE221" s="76">
        <v>0</v>
      </c>
      <c r="CF221" s="76">
        <v>1361</v>
      </c>
      <c r="CG221" s="76">
        <v>0</v>
      </c>
      <c r="CH221" s="76">
        <v>0</v>
      </c>
      <c r="CI221" s="76">
        <v>40398</v>
      </c>
      <c r="CJ221" s="76">
        <v>68</v>
      </c>
      <c r="CK221" s="76">
        <v>60</v>
      </c>
      <c r="CL221" s="76">
        <v>0</v>
      </c>
      <c r="CM221" s="76">
        <v>8</v>
      </c>
      <c r="CN221" s="76">
        <v>234</v>
      </c>
      <c r="CO221" s="76">
        <v>0</v>
      </c>
      <c r="CP221" s="76">
        <v>234</v>
      </c>
      <c r="CQ221" s="76">
        <v>0</v>
      </c>
      <c r="CR221" s="76">
        <v>0</v>
      </c>
      <c r="CS221" s="76">
        <v>0</v>
      </c>
      <c r="CT221" s="76">
        <v>0</v>
      </c>
      <c r="CU221" s="76">
        <v>0</v>
      </c>
      <c r="CV221" s="76">
        <v>0</v>
      </c>
      <c r="CW221" s="76">
        <v>0</v>
      </c>
      <c r="CX221" s="76">
        <v>1460</v>
      </c>
      <c r="CY221" s="76">
        <v>-1460</v>
      </c>
      <c r="CZ221" s="76">
        <v>192</v>
      </c>
      <c r="DA221" s="76">
        <v>0</v>
      </c>
      <c r="DB221" s="76">
        <v>217</v>
      </c>
      <c r="DC221" s="76">
        <v>-25</v>
      </c>
      <c r="DD221" s="76">
        <v>494</v>
      </c>
      <c r="DE221" s="76">
        <v>60</v>
      </c>
      <c r="DF221" s="76">
        <v>1911</v>
      </c>
      <c r="DG221" s="76">
        <v>-1477</v>
      </c>
      <c r="DH221" s="76">
        <v>0</v>
      </c>
      <c r="DI221" s="76">
        <v>0</v>
      </c>
      <c r="DJ221" s="76">
        <v>0</v>
      </c>
      <c r="DK221" s="76">
        <v>0</v>
      </c>
      <c r="DL221" s="76">
        <v>0</v>
      </c>
      <c r="DM221" s="76">
        <v>0</v>
      </c>
      <c r="DN221" s="76">
        <v>0</v>
      </c>
      <c r="DO221" s="76">
        <v>0</v>
      </c>
      <c r="DP221" s="76">
        <v>0</v>
      </c>
      <c r="DQ221" s="76">
        <v>0</v>
      </c>
      <c r="DR221" s="76">
        <v>0</v>
      </c>
      <c r="DS221" s="76">
        <v>0</v>
      </c>
      <c r="DT221" s="76">
        <v>0</v>
      </c>
      <c r="DU221" s="76">
        <v>0</v>
      </c>
      <c r="DV221" s="76">
        <v>0</v>
      </c>
      <c r="DW221" s="76">
        <v>0</v>
      </c>
      <c r="DX221" s="76">
        <v>0</v>
      </c>
      <c r="DY221" s="76">
        <v>0</v>
      </c>
      <c r="DZ221" s="76">
        <v>0</v>
      </c>
      <c r="EA221" s="76">
        <v>0</v>
      </c>
      <c r="EB221" s="76">
        <v>0</v>
      </c>
      <c r="EC221" s="76">
        <v>0</v>
      </c>
      <c r="ED221" s="76">
        <v>0</v>
      </c>
      <c r="EE221" s="76">
        <v>0</v>
      </c>
      <c r="EF221" s="76">
        <v>0</v>
      </c>
      <c r="EG221" s="76">
        <v>0</v>
      </c>
      <c r="EH221" s="76">
        <v>0</v>
      </c>
      <c r="EI221" s="76">
        <v>0</v>
      </c>
      <c r="EJ221" s="76">
        <v>494</v>
      </c>
      <c r="EK221" s="76">
        <v>60</v>
      </c>
      <c r="EL221" s="76">
        <v>1911</v>
      </c>
      <c r="EM221" s="76">
        <v>-1477</v>
      </c>
      <c r="EN221" s="76">
        <v>1345</v>
      </c>
      <c r="EO221" s="76">
        <v>1101</v>
      </c>
      <c r="EP221" s="76">
        <v>471</v>
      </c>
      <c r="EQ221" s="76">
        <v>1101</v>
      </c>
      <c r="ER221" s="76">
        <v>467160</v>
      </c>
      <c r="ES221" s="76">
        <v>0</v>
      </c>
      <c r="ET221" s="76">
        <v>467160</v>
      </c>
      <c r="EU221" s="76">
        <v>18278</v>
      </c>
      <c r="EV221" s="76">
        <v>-1278</v>
      </c>
      <c r="EW221" s="76">
        <v>0</v>
      </c>
      <c r="EX221" s="76">
        <v>0</v>
      </c>
      <c r="EY221" s="76">
        <v>0</v>
      </c>
      <c r="EZ221" s="76">
        <v>484160</v>
      </c>
      <c r="FA221" s="76">
        <v>67067</v>
      </c>
      <c r="FB221" s="76">
        <v>6968</v>
      </c>
      <c r="FC221" s="76">
        <v>0</v>
      </c>
      <c r="FD221" s="76">
        <v>0</v>
      </c>
      <c r="FE221" s="76">
        <v>-843</v>
      </c>
      <c r="FF221" s="76">
        <v>0</v>
      </c>
      <c r="FG221" s="76">
        <v>0</v>
      </c>
      <c r="FH221" s="76">
        <v>73192</v>
      </c>
      <c r="FI221" s="76">
        <v>410968</v>
      </c>
      <c r="FJ221" s="76">
        <v>400093</v>
      </c>
      <c r="FK221" s="76">
        <v>0</v>
      </c>
      <c r="FL221" s="76">
        <v>0</v>
      </c>
      <c r="FM221" s="76">
        <v>0</v>
      </c>
      <c r="FN221" s="76">
        <v>66</v>
      </c>
      <c r="FO221" s="76">
        <v>22</v>
      </c>
      <c r="FP221" s="76">
        <v>44</v>
      </c>
      <c r="FQ221" s="76">
        <v>538</v>
      </c>
      <c r="FR221" s="76">
        <v>323</v>
      </c>
      <c r="FS221" s="76">
        <v>215</v>
      </c>
      <c r="FT221" s="76">
        <v>153</v>
      </c>
      <c r="FU221" s="76">
        <v>130</v>
      </c>
      <c r="FV221" s="76">
        <v>23</v>
      </c>
      <c r="FW221" s="76">
        <v>0</v>
      </c>
      <c r="FX221" s="76">
        <v>0</v>
      </c>
      <c r="FY221" s="76">
        <v>0</v>
      </c>
      <c r="FZ221" s="76">
        <v>0</v>
      </c>
      <c r="GA221" s="76">
        <v>0</v>
      </c>
      <c r="GB221" s="76">
        <v>0</v>
      </c>
      <c r="GC221" s="76">
        <v>757</v>
      </c>
      <c r="GD221" s="76">
        <v>475</v>
      </c>
      <c r="GE221" s="76">
        <v>282</v>
      </c>
      <c r="GF221" s="76">
        <v>9055</v>
      </c>
      <c r="GG221" s="76">
        <v>0</v>
      </c>
      <c r="GH221" s="76">
        <v>115</v>
      </c>
      <c r="GI221" s="76">
        <v>0</v>
      </c>
      <c r="GJ221" s="76">
        <v>0</v>
      </c>
      <c r="GK221" s="76">
        <v>764</v>
      </c>
      <c r="GL221" s="76">
        <v>9934</v>
      </c>
      <c r="GM221" s="76">
        <v>211</v>
      </c>
      <c r="GN221" s="76">
        <v>1712</v>
      </c>
      <c r="GO221" s="76">
        <v>1730</v>
      </c>
      <c r="GP221" s="76">
        <v>1</v>
      </c>
      <c r="GQ221" s="76">
        <v>92</v>
      </c>
      <c r="GR221" s="76">
        <v>3774</v>
      </c>
      <c r="GS221" s="76">
        <v>0</v>
      </c>
      <c r="GT221" s="76">
        <v>0</v>
      </c>
      <c r="GU221" s="76">
        <v>1131</v>
      </c>
      <c r="GV221" s="76">
        <v>0</v>
      </c>
      <c r="GW221" s="76">
        <v>1893</v>
      </c>
      <c r="GX221" s="76">
        <v>10544</v>
      </c>
      <c r="GY221" s="76">
        <v>320</v>
      </c>
      <c r="GZ221" s="76">
        <v>729</v>
      </c>
      <c r="HA221" s="76">
        <v>7650</v>
      </c>
      <c r="HB221" s="76">
        <v>0</v>
      </c>
      <c r="HC221" s="76">
        <v>8699</v>
      </c>
      <c r="HD221" s="76">
        <v>0</v>
      </c>
      <c r="HE221" s="76">
        <v>0</v>
      </c>
      <c r="HF221" s="76">
        <v>0</v>
      </c>
      <c r="HG221" s="76">
        <v>8863</v>
      </c>
      <c r="HH221" s="76">
        <v>532</v>
      </c>
      <c r="HI221" s="76">
        <v>220</v>
      </c>
      <c r="HJ221" s="76">
        <v>1</v>
      </c>
      <c r="HK221" s="76">
        <v>0</v>
      </c>
      <c r="HL221" s="76">
        <v>-148</v>
      </c>
      <c r="HM221" s="76">
        <v>9468</v>
      </c>
      <c r="HN221" s="76">
        <v>5637</v>
      </c>
      <c r="HO221" s="76">
        <v>7661</v>
      </c>
      <c r="HP221" s="76">
        <v>0</v>
      </c>
      <c r="HQ221" s="76">
        <v>95</v>
      </c>
      <c r="HR221" s="76">
        <v>-13</v>
      </c>
      <c r="HS221" s="76">
        <v>0</v>
      </c>
      <c r="HT221" s="76">
        <v>10590</v>
      </c>
      <c r="HU221" s="76">
        <v>0</v>
      </c>
      <c r="HV221" s="76">
        <v>0</v>
      </c>
      <c r="HW221" s="76">
        <v>0</v>
      </c>
      <c r="HX221" s="76">
        <v>0</v>
      </c>
    </row>
    <row r="222" spans="1:232" x14ac:dyDescent="0.2">
      <c r="A222" s="74" t="s">
        <v>153</v>
      </c>
      <c r="B222" s="74" t="s">
        <v>152</v>
      </c>
      <c r="C222" s="75" t="s">
        <v>200</v>
      </c>
      <c r="D222" s="75">
        <v>12</v>
      </c>
      <c r="E222" s="76">
        <v>12435</v>
      </c>
      <c r="F222" s="76">
        <v>0</v>
      </c>
      <c r="G222" s="76">
        <v>-11489</v>
      </c>
      <c r="H222" s="76">
        <v>946</v>
      </c>
      <c r="I222" s="76">
        <v>-15</v>
      </c>
      <c r="J222" s="76">
        <v>0</v>
      </c>
      <c r="K222" s="76">
        <v>0</v>
      </c>
      <c r="L222" s="76">
        <v>0</v>
      </c>
      <c r="M222" s="76">
        <v>4</v>
      </c>
      <c r="N222" s="76">
        <v>-61</v>
      </c>
      <c r="O222" s="76">
        <v>0</v>
      </c>
      <c r="P222" s="76">
        <v>217</v>
      </c>
      <c r="Q222" s="76">
        <v>0</v>
      </c>
      <c r="R222" s="76">
        <v>0</v>
      </c>
      <c r="S222" s="76">
        <v>1091</v>
      </c>
      <c r="T222" s="76">
        <v>0</v>
      </c>
      <c r="U222" s="76">
        <v>1091</v>
      </c>
      <c r="V222" s="76">
        <v>291</v>
      </c>
      <c r="W222" s="76">
        <v>0</v>
      </c>
      <c r="X222" s="76">
        <v>0</v>
      </c>
      <c r="Y222" s="76">
        <v>0</v>
      </c>
      <c r="Z222" s="76">
        <v>1382</v>
      </c>
      <c r="AA222" s="76">
        <v>11304</v>
      </c>
      <c r="AB222" s="76">
        <v>623</v>
      </c>
      <c r="AC222" s="76">
        <v>11927</v>
      </c>
      <c r="AD222" s="76">
        <v>0</v>
      </c>
      <c r="AE222" s="76">
        <v>0</v>
      </c>
      <c r="AF222" s="76">
        <v>0</v>
      </c>
      <c r="AG222" s="76">
        <v>105</v>
      </c>
      <c r="AH222" s="76">
        <v>12032</v>
      </c>
      <c r="AI222" s="76">
        <v>1472</v>
      </c>
      <c r="AJ222" s="76">
        <v>685</v>
      </c>
      <c r="AK222" s="76">
        <v>685</v>
      </c>
      <c r="AL222" s="76">
        <v>0</v>
      </c>
      <c r="AM222" s="76">
        <v>40</v>
      </c>
      <c r="AN222" s="76">
        <v>163</v>
      </c>
      <c r="AO222" s="76">
        <v>160</v>
      </c>
      <c r="AP222" s="76">
        <v>391</v>
      </c>
      <c r="AQ222" s="76">
        <v>7509</v>
      </c>
      <c r="AR222" s="76">
        <v>11105</v>
      </c>
      <c r="AS222" s="76">
        <v>927</v>
      </c>
      <c r="AT222" s="76">
        <v>0</v>
      </c>
      <c r="AU222" s="76">
        <v>1249</v>
      </c>
      <c r="AV222" s="76">
        <v>8423</v>
      </c>
      <c r="AW222" s="76">
        <v>98</v>
      </c>
      <c r="AX222" s="76">
        <v>0</v>
      </c>
      <c r="AY222" s="76">
        <v>0</v>
      </c>
      <c r="AZ222" s="76">
        <v>0</v>
      </c>
      <c r="BA222" s="76">
        <v>0</v>
      </c>
      <c r="BB222" s="76">
        <v>0</v>
      </c>
      <c r="BC222" s="76">
        <v>0</v>
      </c>
      <c r="BD222" s="76">
        <v>2217</v>
      </c>
      <c r="BE222" s="76">
        <v>11987</v>
      </c>
      <c r="BF222" s="76">
        <v>0</v>
      </c>
      <c r="BG222" s="76">
        <v>1544</v>
      </c>
      <c r="BH222" s="76">
        <v>1478</v>
      </c>
      <c r="BI222" s="76">
        <v>0</v>
      </c>
      <c r="BJ222" s="76">
        <v>0</v>
      </c>
      <c r="BK222" s="76">
        <v>3022</v>
      </c>
      <c r="BL222" s="76">
        <v>79</v>
      </c>
      <c r="BM222" s="76">
        <v>0</v>
      </c>
      <c r="BN222" s="76">
        <v>0</v>
      </c>
      <c r="BO222" s="76">
        <v>1184</v>
      </c>
      <c r="BP222" s="76">
        <v>1263</v>
      </c>
      <c r="BQ222" s="76">
        <v>1759</v>
      </c>
      <c r="BR222" s="76">
        <v>13746</v>
      </c>
      <c r="BS222" s="76">
        <v>1504</v>
      </c>
      <c r="BT222" s="76">
        <v>0</v>
      </c>
      <c r="BU222" s="76">
        <v>0</v>
      </c>
      <c r="BV222" s="76">
        <v>0</v>
      </c>
      <c r="BW222" s="76">
        <v>0</v>
      </c>
      <c r="BX222" s="76">
        <v>0</v>
      </c>
      <c r="BY222" s="76">
        <v>0</v>
      </c>
      <c r="BZ222" s="76">
        <v>1504</v>
      </c>
      <c r="CA222" s="76">
        <v>0</v>
      </c>
      <c r="CB222" s="76">
        <v>0</v>
      </c>
      <c r="CC222" s="76">
        <v>12242</v>
      </c>
      <c r="CD222" s="76">
        <v>6908</v>
      </c>
      <c r="CE222" s="76">
        <v>4876</v>
      </c>
      <c r="CF222" s="76">
        <v>0</v>
      </c>
      <c r="CG222" s="76">
        <v>0</v>
      </c>
      <c r="CH222" s="76">
        <v>458</v>
      </c>
      <c r="CI222" s="76">
        <v>12242</v>
      </c>
      <c r="CJ222" s="76">
        <v>0</v>
      </c>
      <c r="CK222" s="76">
        <v>0</v>
      </c>
      <c r="CL222" s="76">
        <v>0</v>
      </c>
      <c r="CM222" s="76">
        <v>0</v>
      </c>
      <c r="CN222" s="76">
        <v>403</v>
      </c>
      <c r="CO222" s="76">
        <v>0</v>
      </c>
      <c r="CP222" s="76">
        <v>384</v>
      </c>
      <c r="CQ222" s="76">
        <v>19</v>
      </c>
      <c r="CR222" s="76">
        <v>0</v>
      </c>
      <c r="CS222" s="76">
        <v>0</v>
      </c>
      <c r="CT222" s="76">
        <v>0</v>
      </c>
      <c r="CU222" s="76">
        <v>0</v>
      </c>
      <c r="CV222" s="76">
        <v>0</v>
      </c>
      <c r="CW222" s="76">
        <v>0</v>
      </c>
      <c r="CX222" s="76">
        <v>0</v>
      </c>
      <c r="CY222" s="76">
        <v>0</v>
      </c>
      <c r="CZ222" s="76">
        <v>0</v>
      </c>
      <c r="DA222" s="76">
        <v>0</v>
      </c>
      <c r="DB222" s="76">
        <v>0</v>
      </c>
      <c r="DC222" s="76">
        <v>0</v>
      </c>
      <c r="DD222" s="76">
        <v>403</v>
      </c>
      <c r="DE222" s="76">
        <v>0</v>
      </c>
      <c r="DF222" s="76">
        <v>384</v>
      </c>
      <c r="DG222" s="76">
        <v>19</v>
      </c>
      <c r="DH222" s="76">
        <v>0</v>
      </c>
      <c r="DI222" s="76">
        <v>0</v>
      </c>
      <c r="DJ222" s="76">
        <v>0</v>
      </c>
      <c r="DK222" s="76">
        <v>0</v>
      </c>
      <c r="DL222" s="76">
        <v>0</v>
      </c>
      <c r="DM222" s="76">
        <v>0</v>
      </c>
      <c r="DN222" s="76">
        <v>0</v>
      </c>
      <c r="DO222" s="76">
        <v>0</v>
      </c>
      <c r="DP222" s="76">
        <v>0</v>
      </c>
      <c r="DQ222" s="76">
        <v>0</v>
      </c>
      <c r="DR222" s="76">
        <v>0</v>
      </c>
      <c r="DS222" s="76">
        <v>0</v>
      </c>
      <c r="DT222" s="76">
        <v>0</v>
      </c>
      <c r="DU222" s="76">
        <v>0</v>
      </c>
      <c r="DV222" s="76">
        <v>0</v>
      </c>
      <c r="DW222" s="76">
        <v>0</v>
      </c>
      <c r="DX222" s="76">
        <v>0</v>
      </c>
      <c r="DY222" s="76">
        <v>0</v>
      </c>
      <c r="DZ222" s="76">
        <v>0</v>
      </c>
      <c r="EA222" s="76">
        <v>0</v>
      </c>
      <c r="EB222" s="76">
        <v>0</v>
      </c>
      <c r="EC222" s="76">
        <v>0</v>
      </c>
      <c r="ED222" s="76">
        <v>0</v>
      </c>
      <c r="EE222" s="76">
        <v>0</v>
      </c>
      <c r="EF222" s="76">
        <v>0</v>
      </c>
      <c r="EG222" s="76">
        <v>0</v>
      </c>
      <c r="EH222" s="76">
        <v>0</v>
      </c>
      <c r="EI222" s="76">
        <v>0</v>
      </c>
      <c r="EJ222" s="76">
        <v>403</v>
      </c>
      <c r="EK222" s="76">
        <v>0</v>
      </c>
      <c r="EL222" s="76">
        <v>384</v>
      </c>
      <c r="EM222" s="76">
        <v>19</v>
      </c>
      <c r="EN222" s="76">
        <v>926</v>
      </c>
      <c r="EO222" s="76">
        <v>0</v>
      </c>
      <c r="EP222" s="76">
        <v>68</v>
      </c>
      <c r="EQ222" s="76">
        <v>0</v>
      </c>
      <c r="ER222" s="76">
        <v>2691</v>
      </c>
      <c r="ES222" s="76">
        <v>7419</v>
      </c>
      <c r="ET222" s="76">
        <v>10110</v>
      </c>
      <c r="EU222" s="76">
        <v>372</v>
      </c>
      <c r="EV222" s="76">
        <v>-15</v>
      </c>
      <c r="EW222" s="76">
        <v>0</v>
      </c>
      <c r="EX222" s="76">
        <v>0</v>
      </c>
      <c r="EY222" s="76">
        <v>290</v>
      </c>
      <c r="EZ222" s="76">
        <v>10757</v>
      </c>
      <c r="FA222" s="76">
        <v>535</v>
      </c>
      <c r="FB222" s="76">
        <v>160</v>
      </c>
      <c r="FC222" s="76">
        <v>391</v>
      </c>
      <c r="FD222" s="76">
        <v>0</v>
      </c>
      <c r="FE222" s="76">
        <v>-1</v>
      </c>
      <c r="FF222" s="76">
        <v>0</v>
      </c>
      <c r="FG222" s="76">
        <v>0</v>
      </c>
      <c r="FH222" s="76">
        <v>1085</v>
      </c>
      <c r="FI222" s="76">
        <v>9672</v>
      </c>
      <c r="FJ222" s="76">
        <v>9575</v>
      </c>
      <c r="FK222" s="76">
        <v>0</v>
      </c>
      <c r="FL222" s="76">
        <v>0</v>
      </c>
      <c r="FM222" s="76">
        <v>0</v>
      </c>
      <c r="FN222" s="76">
        <v>0</v>
      </c>
      <c r="FO222" s="76">
        <v>0</v>
      </c>
      <c r="FP222" s="76">
        <v>0</v>
      </c>
      <c r="FQ222" s="76">
        <v>0</v>
      </c>
      <c r="FR222" s="76">
        <v>0</v>
      </c>
      <c r="FS222" s="76">
        <v>0</v>
      </c>
      <c r="FT222" s="76">
        <v>0</v>
      </c>
      <c r="FU222" s="76">
        <v>0</v>
      </c>
      <c r="FV222" s="76">
        <v>0</v>
      </c>
      <c r="FW222" s="76">
        <v>0</v>
      </c>
      <c r="FX222" s="76">
        <v>0</v>
      </c>
      <c r="FY222" s="76">
        <v>0</v>
      </c>
      <c r="FZ222" s="76">
        <v>0</v>
      </c>
      <c r="GA222" s="76">
        <v>15</v>
      </c>
      <c r="GB222" s="76">
        <v>-15</v>
      </c>
      <c r="GC222" s="76">
        <v>0</v>
      </c>
      <c r="GD222" s="76">
        <v>15</v>
      </c>
      <c r="GE222" s="76">
        <v>-15</v>
      </c>
      <c r="GF222" s="76">
        <v>0</v>
      </c>
      <c r="GG222" s="76">
        <v>0</v>
      </c>
      <c r="GH222" s="76">
        <v>0</v>
      </c>
      <c r="GI222" s="76">
        <v>0</v>
      </c>
      <c r="GJ222" s="76">
        <v>0</v>
      </c>
      <c r="GK222" s="76">
        <v>0</v>
      </c>
      <c r="GL222" s="76">
        <v>0</v>
      </c>
      <c r="GM222" s="76">
        <v>795</v>
      </c>
      <c r="GN222" s="76">
        <v>0</v>
      </c>
      <c r="GO222" s="76">
        <v>0</v>
      </c>
      <c r="GP222" s="76">
        <v>0</v>
      </c>
      <c r="GQ222" s="76">
        <v>0</v>
      </c>
      <c r="GR222" s="76">
        <v>132</v>
      </c>
      <c r="GS222" s="76">
        <v>0</v>
      </c>
      <c r="GT222" s="76">
        <v>0</v>
      </c>
      <c r="GU222" s="76">
        <v>0</v>
      </c>
      <c r="GV222" s="76">
        <v>0</v>
      </c>
      <c r="GW222" s="76">
        <v>257</v>
      </c>
      <c r="GX222" s="76">
        <v>1184</v>
      </c>
      <c r="GY222" s="76">
        <v>0</v>
      </c>
      <c r="GZ222" s="76">
        <v>0</v>
      </c>
      <c r="HA222" s="76">
        <v>0</v>
      </c>
      <c r="HB222" s="76">
        <v>0</v>
      </c>
      <c r="HC222" s="76">
        <v>0</v>
      </c>
      <c r="HD222" s="76">
        <v>0</v>
      </c>
      <c r="HE222" s="76">
        <v>0</v>
      </c>
      <c r="HF222" s="76">
        <v>0</v>
      </c>
      <c r="HG222" s="76">
        <v>61</v>
      </c>
      <c r="HH222" s="76">
        <v>0</v>
      </c>
      <c r="HI222" s="76">
        <v>0</v>
      </c>
      <c r="HJ222" s="76">
        <v>0</v>
      </c>
      <c r="HK222" s="76">
        <v>0</v>
      </c>
      <c r="HL222" s="76">
        <v>0</v>
      </c>
      <c r="HM222" s="76">
        <v>61</v>
      </c>
      <c r="HN222" s="76">
        <v>0</v>
      </c>
      <c r="HO222" s="76">
        <v>229</v>
      </c>
      <c r="HP222" s="76">
        <v>391</v>
      </c>
      <c r="HQ222" s="76">
        <v>208</v>
      </c>
      <c r="HR222" s="76">
        <v>-27</v>
      </c>
      <c r="HS222" s="76">
        <v>0</v>
      </c>
      <c r="HT222" s="76">
        <v>1155</v>
      </c>
      <c r="HU222" s="76">
        <v>0</v>
      </c>
      <c r="HV222" s="76">
        <v>0</v>
      </c>
      <c r="HW222" s="76">
        <v>0</v>
      </c>
      <c r="HX222" s="76">
        <v>0</v>
      </c>
    </row>
    <row r="223" spans="1:232" x14ac:dyDescent="0.2">
      <c r="A223" s="74" t="s">
        <v>630</v>
      </c>
      <c r="B223" s="74" t="s">
        <v>631</v>
      </c>
      <c r="C223" s="75" t="s">
        <v>200</v>
      </c>
      <c r="D223" s="75">
        <v>12</v>
      </c>
      <c r="E223" s="76">
        <v>5619</v>
      </c>
      <c r="F223" s="76">
        <v>-260</v>
      </c>
      <c r="G223" s="76">
        <v>-4155</v>
      </c>
      <c r="H223" s="76">
        <v>1204</v>
      </c>
      <c r="I223" s="76">
        <v>230</v>
      </c>
      <c r="J223" s="76">
        <v>0</v>
      </c>
      <c r="K223" s="76">
        <v>0</v>
      </c>
      <c r="L223" s="76">
        <v>0</v>
      </c>
      <c r="M223" s="76">
        <v>8</v>
      </c>
      <c r="N223" s="76">
        <v>-320</v>
      </c>
      <c r="O223" s="76">
        <v>0</v>
      </c>
      <c r="P223" s="76">
        <v>0</v>
      </c>
      <c r="Q223" s="76">
        <v>0</v>
      </c>
      <c r="R223" s="76">
        <v>0</v>
      </c>
      <c r="S223" s="76">
        <v>1122</v>
      </c>
      <c r="T223" s="76">
        <v>0</v>
      </c>
      <c r="U223" s="76">
        <v>1122</v>
      </c>
      <c r="V223" s="76">
        <v>0</v>
      </c>
      <c r="W223" s="76">
        <v>-199</v>
      </c>
      <c r="X223" s="76">
        <v>0</v>
      </c>
      <c r="Y223" s="76">
        <v>0</v>
      </c>
      <c r="Z223" s="76">
        <v>923</v>
      </c>
      <c r="AA223" s="76">
        <v>4579</v>
      </c>
      <c r="AB223" s="76">
        <v>397</v>
      </c>
      <c r="AC223" s="76">
        <v>4976</v>
      </c>
      <c r="AD223" s="76">
        <v>-3</v>
      </c>
      <c r="AE223" s="76">
        <v>125</v>
      </c>
      <c r="AF223" s="76">
        <v>2</v>
      </c>
      <c r="AG223" s="76">
        <v>25</v>
      </c>
      <c r="AH223" s="76">
        <v>5125</v>
      </c>
      <c r="AI223" s="76">
        <v>395</v>
      </c>
      <c r="AJ223" s="76">
        <v>555</v>
      </c>
      <c r="AK223" s="76">
        <v>854</v>
      </c>
      <c r="AL223" s="76">
        <v>786</v>
      </c>
      <c r="AM223" s="76">
        <v>84</v>
      </c>
      <c r="AN223" s="76">
        <v>15</v>
      </c>
      <c r="AO223" s="76">
        <v>690</v>
      </c>
      <c r="AP223" s="76">
        <v>0</v>
      </c>
      <c r="AQ223" s="76">
        <v>166</v>
      </c>
      <c r="AR223" s="76">
        <v>3545</v>
      </c>
      <c r="AS223" s="76">
        <v>1580</v>
      </c>
      <c r="AT223" s="76">
        <v>78</v>
      </c>
      <c r="AU223" s="76">
        <v>18012</v>
      </c>
      <c r="AV223" s="76">
        <v>0</v>
      </c>
      <c r="AW223" s="76">
        <v>1883</v>
      </c>
      <c r="AX223" s="76">
        <v>0</v>
      </c>
      <c r="AY223" s="76">
        <v>0</v>
      </c>
      <c r="AZ223" s="76">
        <v>364</v>
      </c>
      <c r="BA223" s="76">
        <v>0</v>
      </c>
      <c r="BB223" s="76">
        <v>0</v>
      </c>
      <c r="BC223" s="76">
        <v>0</v>
      </c>
      <c r="BD223" s="76">
        <v>0</v>
      </c>
      <c r="BE223" s="76">
        <v>20259</v>
      </c>
      <c r="BF223" s="76">
        <v>370</v>
      </c>
      <c r="BG223" s="76">
        <v>3717</v>
      </c>
      <c r="BH223" s="76">
        <v>5514</v>
      </c>
      <c r="BI223" s="76">
        <v>0</v>
      </c>
      <c r="BJ223" s="76">
        <v>0</v>
      </c>
      <c r="BK223" s="76">
        <v>9601</v>
      </c>
      <c r="BL223" s="76">
        <v>0</v>
      </c>
      <c r="BM223" s="76">
        <v>0</v>
      </c>
      <c r="BN223" s="76">
        <v>0</v>
      </c>
      <c r="BO223" s="76">
        <v>2826</v>
      </c>
      <c r="BP223" s="76">
        <v>2826</v>
      </c>
      <c r="BQ223" s="76">
        <v>6775</v>
      </c>
      <c r="BR223" s="76">
        <v>27034</v>
      </c>
      <c r="BS223" s="76">
        <v>18369</v>
      </c>
      <c r="BT223" s="76">
        <v>0</v>
      </c>
      <c r="BU223" s="76">
        <v>0</v>
      </c>
      <c r="BV223" s="76">
        <v>0</v>
      </c>
      <c r="BW223" s="76">
        <v>0</v>
      </c>
      <c r="BX223" s="76">
        <v>0</v>
      </c>
      <c r="BY223" s="76">
        <v>0</v>
      </c>
      <c r="BZ223" s="76">
        <v>18369</v>
      </c>
      <c r="CA223" s="76">
        <v>633</v>
      </c>
      <c r="CB223" s="76">
        <v>13</v>
      </c>
      <c r="CC223" s="76">
        <v>8019</v>
      </c>
      <c r="CD223" s="76">
        <v>8019</v>
      </c>
      <c r="CE223" s="76">
        <v>0</v>
      </c>
      <c r="CF223" s="76">
        <v>0</v>
      </c>
      <c r="CG223" s="76">
        <v>0</v>
      </c>
      <c r="CH223" s="76">
        <v>0</v>
      </c>
      <c r="CI223" s="76">
        <v>8019</v>
      </c>
      <c r="CJ223" s="76">
        <v>268</v>
      </c>
      <c r="CK223" s="76">
        <v>260</v>
      </c>
      <c r="CL223" s="76">
        <v>0</v>
      </c>
      <c r="CM223" s="76">
        <v>8</v>
      </c>
      <c r="CN223" s="76">
        <v>9</v>
      </c>
      <c r="CO223" s="76">
        <v>0</v>
      </c>
      <c r="CP223" s="76">
        <v>0</v>
      </c>
      <c r="CQ223" s="76">
        <v>9</v>
      </c>
      <c r="CR223" s="76">
        <v>14</v>
      </c>
      <c r="CS223" s="76">
        <v>0</v>
      </c>
      <c r="CT223" s="76">
        <v>16</v>
      </c>
      <c r="CU223" s="76">
        <v>-2</v>
      </c>
      <c r="CV223" s="76">
        <v>0</v>
      </c>
      <c r="CW223" s="76">
        <v>0</v>
      </c>
      <c r="CX223" s="76">
        <v>189</v>
      </c>
      <c r="CY223" s="76">
        <v>-189</v>
      </c>
      <c r="CZ223" s="76">
        <v>8</v>
      </c>
      <c r="DA223" s="76">
        <v>0</v>
      </c>
      <c r="DB223" s="76">
        <v>299</v>
      </c>
      <c r="DC223" s="76">
        <v>-291</v>
      </c>
      <c r="DD223" s="76">
        <v>299</v>
      </c>
      <c r="DE223" s="76">
        <v>260</v>
      </c>
      <c r="DF223" s="76">
        <v>504</v>
      </c>
      <c r="DG223" s="76">
        <v>-465</v>
      </c>
      <c r="DH223" s="76">
        <v>0</v>
      </c>
      <c r="DI223" s="76">
        <v>0</v>
      </c>
      <c r="DJ223" s="76">
        <v>0</v>
      </c>
      <c r="DK223" s="76">
        <v>0</v>
      </c>
      <c r="DL223" s="76">
        <v>0</v>
      </c>
      <c r="DM223" s="76">
        <v>0</v>
      </c>
      <c r="DN223" s="76">
        <v>0</v>
      </c>
      <c r="DO223" s="76">
        <v>0</v>
      </c>
      <c r="DP223" s="76">
        <v>0</v>
      </c>
      <c r="DQ223" s="76">
        <v>0</v>
      </c>
      <c r="DR223" s="76">
        <v>0</v>
      </c>
      <c r="DS223" s="76">
        <v>0</v>
      </c>
      <c r="DT223" s="76">
        <v>0</v>
      </c>
      <c r="DU223" s="76">
        <v>0</v>
      </c>
      <c r="DV223" s="76">
        <v>0</v>
      </c>
      <c r="DW223" s="76">
        <v>0</v>
      </c>
      <c r="DX223" s="76">
        <v>0</v>
      </c>
      <c r="DY223" s="76">
        <v>0</v>
      </c>
      <c r="DZ223" s="76">
        <v>0</v>
      </c>
      <c r="EA223" s="76">
        <v>0</v>
      </c>
      <c r="EB223" s="76">
        <v>195</v>
      </c>
      <c r="EC223" s="76">
        <v>0</v>
      </c>
      <c r="ED223" s="76">
        <v>106</v>
      </c>
      <c r="EE223" s="76">
        <v>89</v>
      </c>
      <c r="EF223" s="76">
        <v>195</v>
      </c>
      <c r="EG223" s="76">
        <v>0</v>
      </c>
      <c r="EH223" s="76">
        <v>106</v>
      </c>
      <c r="EI223" s="76">
        <v>89</v>
      </c>
      <c r="EJ223" s="76">
        <v>494</v>
      </c>
      <c r="EK223" s="76">
        <v>260</v>
      </c>
      <c r="EL223" s="76">
        <v>610</v>
      </c>
      <c r="EM223" s="76">
        <v>-376</v>
      </c>
      <c r="EN223" s="76">
        <v>59</v>
      </c>
      <c r="EO223" s="76">
        <v>10</v>
      </c>
      <c r="EP223" s="76">
        <v>1</v>
      </c>
      <c r="EQ223" s="76">
        <v>10</v>
      </c>
      <c r="ER223" s="76">
        <v>19986</v>
      </c>
      <c r="ES223" s="76">
        <v>0</v>
      </c>
      <c r="ET223" s="76">
        <v>19986</v>
      </c>
      <c r="EU223" s="76">
        <v>2378</v>
      </c>
      <c r="EV223" s="76">
        <v>-174</v>
      </c>
      <c r="EW223" s="76">
        <v>0</v>
      </c>
      <c r="EX223" s="76">
        <v>0</v>
      </c>
      <c r="EY223" s="76">
        <v>-316</v>
      </c>
      <c r="EZ223" s="76">
        <v>21874</v>
      </c>
      <c r="FA223" s="76">
        <v>3172</v>
      </c>
      <c r="FB223" s="76">
        <v>690</v>
      </c>
      <c r="FC223" s="76">
        <v>0</v>
      </c>
      <c r="FD223" s="76">
        <v>0</v>
      </c>
      <c r="FE223" s="76">
        <v>0</v>
      </c>
      <c r="FF223" s="76">
        <v>0</v>
      </c>
      <c r="FG223" s="76">
        <v>0</v>
      </c>
      <c r="FH223" s="76">
        <v>3862</v>
      </c>
      <c r="FI223" s="76">
        <v>18012</v>
      </c>
      <c r="FJ223" s="76">
        <v>16814</v>
      </c>
      <c r="FK223" s="76">
        <v>0</v>
      </c>
      <c r="FL223" s="76">
        <v>0</v>
      </c>
      <c r="FM223" s="76">
        <v>0</v>
      </c>
      <c r="FN223" s="76">
        <v>229</v>
      </c>
      <c r="FO223" s="76">
        <v>196</v>
      </c>
      <c r="FP223" s="76">
        <v>33</v>
      </c>
      <c r="FQ223" s="76">
        <v>0</v>
      </c>
      <c r="FR223" s="76">
        <v>-44</v>
      </c>
      <c r="FS223" s="76">
        <v>44</v>
      </c>
      <c r="FT223" s="76">
        <v>170</v>
      </c>
      <c r="FU223" s="76">
        <v>19</v>
      </c>
      <c r="FV223" s="76">
        <v>151</v>
      </c>
      <c r="FW223" s="76">
        <v>0</v>
      </c>
      <c r="FX223" s="76">
        <v>0</v>
      </c>
      <c r="FY223" s="76">
        <v>0</v>
      </c>
      <c r="FZ223" s="76">
        <v>1</v>
      </c>
      <c r="GA223" s="76">
        <v>0</v>
      </c>
      <c r="GB223" s="76">
        <v>1</v>
      </c>
      <c r="GC223" s="76">
        <v>400</v>
      </c>
      <c r="GD223" s="76">
        <v>171</v>
      </c>
      <c r="GE223" s="76">
        <v>229</v>
      </c>
      <c r="GF223" s="76">
        <v>0</v>
      </c>
      <c r="GG223" s="76">
        <v>0</v>
      </c>
      <c r="GH223" s="76">
        <v>0</v>
      </c>
      <c r="GI223" s="76">
        <v>0</v>
      </c>
      <c r="GJ223" s="76">
        <v>0</v>
      </c>
      <c r="GK223" s="76">
        <v>0</v>
      </c>
      <c r="GL223" s="76">
        <v>0</v>
      </c>
      <c r="GM223" s="76">
        <v>548</v>
      </c>
      <c r="GN223" s="76">
        <v>131</v>
      </c>
      <c r="GO223" s="76">
        <v>63</v>
      </c>
      <c r="GP223" s="76">
        <v>0</v>
      </c>
      <c r="GQ223" s="76">
        <v>0</v>
      </c>
      <c r="GR223" s="76">
        <v>222</v>
      </c>
      <c r="GS223" s="76">
        <v>0</v>
      </c>
      <c r="GT223" s="76">
        <v>0</v>
      </c>
      <c r="GU223" s="76">
        <v>0</v>
      </c>
      <c r="GV223" s="76">
        <v>0</v>
      </c>
      <c r="GW223" s="76">
        <v>1862</v>
      </c>
      <c r="GX223" s="76">
        <v>2826</v>
      </c>
      <c r="GY223" s="76">
        <v>0</v>
      </c>
      <c r="GZ223" s="76">
        <v>0</v>
      </c>
      <c r="HA223" s="76">
        <v>0</v>
      </c>
      <c r="HB223" s="76">
        <v>0</v>
      </c>
      <c r="HC223" s="76">
        <v>0</v>
      </c>
      <c r="HD223" s="76">
        <v>0</v>
      </c>
      <c r="HE223" s="76">
        <v>13</v>
      </c>
      <c r="HF223" s="76">
        <v>13</v>
      </c>
      <c r="HG223" s="76">
        <v>306</v>
      </c>
      <c r="HH223" s="76">
        <v>0</v>
      </c>
      <c r="HI223" s="76">
        <v>0</v>
      </c>
      <c r="HJ223" s="76">
        <v>0</v>
      </c>
      <c r="HK223" s="76">
        <v>25</v>
      </c>
      <c r="HL223" s="76">
        <v>-11</v>
      </c>
      <c r="HM223" s="76">
        <v>320</v>
      </c>
      <c r="HN223" s="76">
        <v>1178</v>
      </c>
      <c r="HO223" s="76">
        <v>737</v>
      </c>
      <c r="HP223" s="76">
        <v>0</v>
      </c>
      <c r="HQ223" s="76">
        <v>9</v>
      </c>
      <c r="HR223" s="76">
        <v>-6</v>
      </c>
      <c r="HS223" s="76">
        <v>-2</v>
      </c>
      <c r="HT223" s="76">
        <v>1179</v>
      </c>
      <c r="HU223" s="76">
        <v>1</v>
      </c>
      <c r="HV223" s="76">
        <v>0</v>
      </c>
      <c r="HW223" s="76">
        <v>0</v>
      </c>
      <c r="HX223" s="76">
        <v>83</v>
      </c>
    </row>
    <row r="224" spans="1:232" x14ac:dyDescent="0.2">
      <c r="A224" s="74" t="s">
        <v>632</v>
      </c>
      <c r="B224" s="74" t="s">
        <v>633</v>
      </c>
      <c r="C224" s="75" t="s">
        <v>200</v>
      </c>
      <c r="D224" s="75">
        <v>12</v>
      </c>
      <c r="E224" s="76">
        <v>52871</v>
      </c>
      <c r="F224" s="76">
        <v>-996</v>
      </c>
      <c r="G224" s="76">
        <v>-30558</v>
      </c>
      <c r="H224" s="76">
        <v>21317</v>
      </c>
      <c r="I224" s="76">
        <v>284</v>
      </c>
      <c r="J224" s="76">
        <v>0</v>
      </c>
      <c r="K224" s="76">
        <v>0</v>
      </c>
      <c r="L224" s="76">
        <v>0</v>
      </c>
      <c r="M224" s="76">
        <v>343</v>
      </c>
      <c r="N224" s="76">
        <v>-8973</v>
      </c>
      <c r="O224" s="76">
        <v>-171</v>
      </c>
      <c r="P224" s="76">
        <v>210</v>
      </c>
      <c r="Q224" s="76">
        <v>0</v>
      </c>
      <c r="R224" s="76">
        <v>0</v>
      </c>
      <c r="S224" s="76">
        <v>13010</v>
      </c>
      <c r="T224" s="76">
        <v>0</v>
      </c>
      <c r="U224" s="76">
        <v>13010</v>
      </c>
      <c r="V224" s="76">
        <v>0</v>
      </c>
      <c r="W224" s="76">
        <v>-1284</v>
      </c>
      <c r="X224" s="76">
        <v>0</v>
      </c>
      <c r="Y224" s="76">
        <v>0</v>
      </c>
      <c r="Z224" s="76">
        <v>11726</v>
      </c>
      <c r="AA224" s="76">
        <v>44159</v>
      </c>
      <c r="AB224" s="76">
        <v>2705</v>
      </c>
      <c r="AC224" s="76">
        <v>46864</v>
      </c>
      <c r="AD224" s="76">
        <v>249</v>
      </c>
      <c r="AE224" s="76">
        <v>0</v>
      </c>
      <c r="AF224" s="76">
        <v>0</v>
      </c>
      <c r="AG224" s="76">
        <v>542</v>
      </c>
      <c r="AH224" s="76">
        <v>47655</v>
      </c>
      <c r="AI224" s="76">
        <v>11680</v>
      </c>
      <c r="AJ224" s="76">
        <v>2868</v>
      </c>
      <c r="AK224" s="76">
        <v>2843</v>
      </c>
      <c r="AL224" s="76">
        <v>3170</v>
      </c>
      <c r="AM224" s="76">
        <v>1663</v>
      </c>
      <c r="AN224" s="76">
        <v>458</v>
      </c>
      <c r="AO224" s="76">
        <v>5255</v>
      </c>
      <c r="AP224" s="76">
        <v>0</v>
      </c>
      <c r="AQ224" s="76">
        <v>0</v>
      </c>
      <c r="AR224" s="76">
        <v>27937</v>
      </c>
      <c r="AS224" s="76">
        <v>19718</v>
      </c>
      <c r="AT224" s="76">
        <v>406</v>
      </c>
      <c r="AU224" s="76">
        <v>275927</v>
      </c>
      <c r="AV224" s="76">
        <v>0</v>
      </c>
      <c r="AW224" s="76">
        <v>7371</v>
      </c>
      <c r="AX224" s="76">
        <v>365</v>
      </c>
      <c r="AY224" s="76">
        <v>0</v>
      </c>
      <c r="AZ224" s="76">
        <v>6920</v>
      </c>
      <c r="BA224" s="76">
        <v>0</v>
      </c>
      <c r="BB224" s="76">
        <v>0</v>
      </c>
      <c r="BC224" s="76">
        <v>0</v>
      </c>
      <c r="BD224" s="76">
        <v>13</v>
      </c>
      <c r="BE224" s="76">
        <v>290596</v>
      </c>
      <c r="BF224" s="76">
        <v>3099</v>
      </c>
      <c r="BG224" s="76">
        <v>6110</v>
      </c>
      <c r="BH224" s="76">
        <v>37726</v>
      </c>
      <c r="BI224" s="76">
        <v>0</v>
      </c>
      <c r="BJ224" s="76">
        <v>0</v>
      </c>
      <c r="BK224" s="76">
        <v>46935</v>
      </c>
      <c r="BL224" s="76">
        <v>0</v>
      </c>
      <c r="BM224" s="76">
        <v>0</v>
      </c>
      <c r="BN224" s="76">
        <v>210</v>
      </c>
      <c r="BO224" s="76">
        <v>9382</v>
      </c>
      <c r="BP224" s="76">
        <v>9592</v>
      </c>
      <c r="BQ224" s="76">
        <v>37343</v>
      </c>
      <c r="BR224" s="76">
        <v>327939</v>
      </c>
      <c r="BS224" s="76">
        <v>79696</v>
      </c>
      <c r="BT224" s="76">
        <v>137819</v>
      </c>
      <c r="BU224" s="76">
        <v>0</v>
      </c>
      <c r="BV224" s="76">
        <v>23438</v>
      </c>
      <c r="BW224" s="76">
        <v>0</v>
      </c>
      <c r="BX224" s="76">
        <v>0</v>
      </c>
      <c r="BY224" s="76">
        <v>4017</v>
      </c>
      <c r="BZ224" s="76">
        <v>244970</v>
      </c>
      <c r="CA224" s="76">
        <v>4435</v>
      </c>
      <c r="CB224" s="76">
        <v>0</v>
      </c>
      <c r="CC224" s="76">
        <v>78534</v>
      </c>
      <c r="CD224" s="76">
        <v>78534</v>
      </c>
      <c r="CE224" s="76">
        <v>0</v>
      </c>
      <c r="CF224" s="76">
        <v>0</v>
      </c>
      <c r="CG224" s="76">
        <v>0</v>
      </c>
      <c r="CH224" s="76">
        <v>0</v>
      </c>
      <c r="CI224" s="76">
        <v>78534</v>
      </c>
      <c r="CJ224" s="76">
        <v>1082</v>
      </c>
      <c r="CK224" s="76">
        <v>996</v>
      </c>
      <c r="CL224" s="76">
        <v>0</v>
      </c>
      <c r="CM224" s="76">
        <v>86</v>
      </c>
      <c r="CN224" s="76">
        <v>0</v>
      </c>
      <c r="CO224" s="76">
        <v>0</v>
      </c>
      <c r="CP224" s="76">
        <v>0</v>
      </c>
      <c r="CQ224" s="76">
        <v>0</v>
      </c>
      <c r="CR224" s="76">
        <v>0</v>
      </c>
      <c r="CS224" s="76">
        <v>0</v>
      </c>
      <c r="CT224" s="76">
        <v>0</v>
      </c>
      <c r="CU224" s="76">
        <v>0</v>
      </c>
      <c r="CV224" s="76">
        <v>0</v>
      </c>
      <c r="CW224" s="76">
        <v>0</v>
      </c>
      <c r="CX224" s="76">
        <v>0</v>
      </c>
      <c r="CY224" s="76">
        <v>0</v>
      </c>
      <c r="CZ224" s="76">
        <v>3420</v>
      </c>
      <c r="DA224" s="76">
        <v>0</v>
      </c>
      <c r="DB224" s="76">
        <v>2271</v>
      </c>
      <c r="DC224" s="76">
        <v>1149</v>
      </c>
      <c r="DD224" s="76">
        <v>4502</v>
      </c>
      <c r="DE224" s="76">
        <v>996</v>
      </c>
      <c r="DF224" s="76">
        <v>2271</v>
      </c>
      <c r="DG224" s="76">
        <v>1235</v>
      </c>
      <c r="DH224" s="76">
        <v>0</v>
      </c>
      <c r="DI224" s="76">
        <v>0</v>
      </c>
      <c r="DJ224" s="76">
        <v>0</v>
      </c>
      <c r="DK224" s="76">
        <v>0</v>
      </c>
      <c r="DL224" s="76">
        <v>0</v>
      </c>
      <c r="DM224" s="76">
        <v>0</v>
      </c>
      <c r="DN224" s="76">
        <v>0</v>
      </c>
      <c r="DO224" s="76">
        <v>0</v>
      </c>
      <c r="DP224" s="76">
        <v>0</v>
      </c>
      <c r="DQ224" s="76">
        <v>0</v>
      </c>
      <c r="DR224" s="76">
        <v>0</v>
      </c>
      <c r="DS224" s="76">
        <v>0</v>
      </c>
      <c r="DT224" s="76">
        <v>0</v>
      </c>
      <c r="DU224" s="76">
        <v>0</v>
      </c>
      <c r="DV224" s="76">
        <v>0</v>
      </c>
      <c r="DW224" s="76">
        <v>0</v>
      </c>
      <c r="DX224" s="76">
        <v>0</v>
      </c>
      <c r="DY224" s="76">
        <v>0</v>
      </c>
      <c r="DZ224" s="76">
        <v>0</v>
      </c>
      <c r="EA224" s="76">
        <v>0</v>
      </c>
      <c r="EB224" s="76">
        <v>714</v>
      </c>
      <c r="EC224" s="76">
        <v>0</v>
      </c>
      <c r="ED224" s="76">
        <v>350</v>
      </c>
      <c r="EE224" s="76">
        <v>364</v>
      </c>
      <c r="EF224" s="76">
        <v>714</v>
      </c>
      <c r="EG224" s="76">
        <v>0</v>
      </c>
      <c r="EH224" s="76">
        <v>350</v>
      </c>
      <c r="EI224" s="76">
        <v>364</v>
      </c>
      <c r="EJ224" s="76">
        <v>5216</v>
      </c>
      <c r="EK224" s="76">
        <v>996</v>
      </c>
      <c r="EL224" s="76">
        <v>2621</v>
      </c>
      <c r="EM224" s="76">
        <v>1599</v>
      </c>
      <c r="EN224" s="76">
        <v>2002</v>
      </c>
      <c r="EO224" s="76">
        <v>859</v>
      </c>
      <c r="EP224" s="76">
        <v>627</v>
      </c>
      <c r="EQ224" s="76">
        <v>859</v>
      </c>
      <c r="ER224" s="76">
        <v>285550</v>
      </c>
      <c r="ES224" s="76">
        <v>0</v>
      </c>
      <c r="ET224" s="76">
        <v>285550</v>
      </c>
      <c r="EU224" s="76">
        <v>33811</v>
      </c>
      <c r="EV224" s="76">
        <v>-726</v>
      </c>
      <c r="EW224" s="76">
        <v>0</v>
      </c>
      <c r="EX224" s="76">
        <v>0</v>
      </c>
      <c r="EY224" s="76">
        <v>0</v>
      </c>
      <c r="EZ224" s="76">
        <v>318635</v>
      </c>
      <c r="FA224" s="76">
        <v>37965</v>
      </c>
      <c r="FB224" s="76">
        <v>5050</v>
      </c>
      <c r="FC224" s="76">
        <v>0</v>
      </c>
      <c r="FD224" s="76">
        <v>0</v>
      </c>
      <c r="FE224" s="76">
        <v>-307</v>
      </c>
      <c r="FF224" s="76">
        <v>0</v>
      </c>
      <c r="FG224" s="76">
        <v>0</v>
      </c>
      <c r="FH224" s="76">
        <v>42708</v>
      </c>
      <c r="FI224" s="76">
        <v>275927</v>
      </c>
      <c r="FJ224" s="76">
        <v>247585</v>
      </c>
      <c r="FK224" s="76">
        <v>158</v>
      </c>
      <c r="FL224" s="76">
        <v>46</v>
      </c>
      <c r="FM224" s="76">
        <v>112</v>
      </c>
      <c r="FN224" s="76">
        <v>1001</v>
      </c>
      <c r="FO224" s="76">
        <v>854</v>
      </c>
      <c r="FP224" s="76">
        <v>147</v>
      </c>
      <c r="FQ224" s="76">
        <v>469</v>
      </c>
      <c r="FR224" s="76">
        <v>469</v>
      </c>
      <c r="FS224" s="76">
        <v>0</v>
      </c>
      <c r="FT224" s="76">
        <v>0</v>
      </c>
      <c r="FU224" s="76">
        <v>0</v>
      </c>
      <c r="FV224" s="76">
        <v>0</v>
      </c>
      <c r="FW224" s="76">
        <v>0</v>
      </c>
      <c r="FX224" s="76">
        <v>0</v>
      </c>
      <c r="FY224" s="76">
        <v>0</v>
      </c>
      <c r="FZ224" s="76">
        <v>56</v>
      </c>
      <c r="GA224" s="76">
        <v>31</v>
      </c>
      <c r="GB224" s="76">
        <v>25</v>
      </c>
      <c r="GC224" s="76">
        <v>1684</v>
      </c>
      <c r="GD224" s="76">
        <v>1400</v>
      </c>
      <c r="GE224" s="76">
        <v>284</v>
      </c>
      <c r="GF224" s="76">
        <v>0</v>
      </c>
      <c r="GG224" s="76">
        <v>0</v>
      </c>
      <c r="GH224" s="76">
        <v>0</v>
      </c>
      <c r="GI224" s="76">
        <v>0</v>
      </c>
      <c r="GJ224" s="76">
        <v>0</v>
      </c>
      <c r="GK224" s="76">
        <v>0</v>
      </c>
      <c r="GL224" s="76">
        <v>0</v>
      </c>
      <c r="GM224" s="76">
        <v>976</v>
      </c>
      <c r="GN224" s="76">
        <v>1024</v>
      </c>
      <c r="GO224" s="76">
        <v>673</v>
      </c>
      <c r="GP224" s="76">
        <v>0</v>
      </c>
      <c r="GQ224" s="76">
        <v>954</v>
      </c>
      <c r="GR224" s="76">
        <v>5167</v>
      </c>
      <c r="GS224" s="76">
        <v>0</v>
      </c>
      <c r="GT224" s="76">
        <v>0</v>
      </c>
      <c r="GU224" s="76">
        <v>0</v>
      </c>
      <c r="GV224" s="76">
        <v>0</v>
      </c>
      <c r="GW224" s="76">
        <v>588</v>
      </c>
      <c r="GX224" s="76">
        <v>9382</v>
      </c>
      <c r="GY224" s="76">
        <v>0</v>
      </c>
      <c r="GZ224" s="76">
        <v>1245</v>
      </c>
      <c r="HA224" s="76">
        <v>2772</v>
      </c>
      <c r="HB224" s="76">
        <v>0</v>
      </c>
      <c r="HC224" s="76">
        <v>4017</v>
      </c>
      <c r="HD224" s="76">
        <v>0</v>
      </c>
      <c r="HE224" s="76">
        <v>0</v>
      </c>
      <c r="HF224" s="76">
        <v>0</v>
      </c>
      <c r="HG224" s="76">
        <v>9198</v>
      </c>
      <c r="HH224" s="76">
        <v>31</v>
      </c>
      <c r="HI224" s="76">
        <v>176</v>
      </c>
      <c r="HJ224" s="76">
        <v>14</v>
      </c>
      <c r="HK224" s="76">
        <v>0</v>
      </c>
      <c r="HL224" s="76">
        <v>-446</v>
      </c>
      <c r="HM224" s="76">
        <v>8973</v>
      </c>
      <c r="HN224" s="76">
        <v>4214</v>
      </c>
      <c r="HO224" s="76">
        <v>5863</v>
      </c>
      <c r="HP224" s="76">
        <v>0</v>
      </c>
      <c r="HQ224" s="76">
        <v>38</v>
      </c>
      <c r="HR224" s="76">
        <v>-12</v>
      </c>
      <c r="HS224" s="76">
        <v>171</v>
      </c>
      <c r="HT224" s="76">
        <v>8960</v>
      </c>
      <c r="HU224" s="76">
        <v>0</v>
      </c>
      <c r="HV224" s="76">
        <v>0</v>
      </c>
      <c r="HW224" s="76">
        <v>2</v>
      </c>
      <c r="HX224" s="76">
        <v>3</v>
      </c>
    </row>
    <row r="225" spans="1:232" x14ac:dyDescent="0.2">
      <c r="A225" s="74" t="s">
        <v>155</v>
      </c>
      <c r="B225" s="74" t="s">
        <v>154</v>
      </c>
      <c r="C225" s="75" t="s">
        <v>200</v>
      </c>
      <c r="D225" s="75">
        <v>12</v>
      </c>
      <c r="E225" s="76">
        <v>57755</v>
      </c>
      <c r="F225" s="76">
        <v>0</v>
      </c>
      <c r="G225" s="76">
        <v>-41853</v>
      </c>
      <c r="H225" s="76">
        <v>15902</v>
      </c>
      <c r="I225" s="76">
        <v>3347</v>
      </c>
      <c r="J225" s="76">
        <v>178</v>
      </c>
      <c r="K225" s="76">
        <v>0</v>
      </c>
      <c r="L225" s="76">
        <v>0</v>
      </c>
      <c r="M225" s="76">
        <v>31</v>
      </c>
      <c r="N225" s="76">
        <v>-4966</v>
      </c>
      <c r="O225" s="76">
        <v>0</v>
      </c>
      <c r="P225" s="76">
        <v>0</v>
      </c>
      <c r="Q225" s="76">
        <v>0</v>
      </c>
      <c r="R225" s="76">
        <v>0</v>
      </c>
      <c r="S225" s="76">
        <v>14492</v>
      </c>
      <c r="T225" s="76">
        <v>0</v>
      </c>
      <c r="U225" s="76">
        <v>14492</v>
      </c>
      <c r="V225" s="76">
        <v>0</v>
      </c>
      <c r="W225" s="76">
        <v>-1573</v>
      </c>
      <c r="X225" s="76">
        <v>0</v>
      </c>
      <c r="Y225" s="76">
        <v>0</v>
      </c>
      <c r="Z225" s="76">
        <v>12919</v>
      </c>
      <c r="AA225" s="76">
        <v>49321</v>
      </c>
      <c r="AB225" s="76">
        <v>4038</v>
      </c>
      <c r="AC225" s="76">
        <v>53359</v>
      </c>
      <c r="AD225" s="76">
        <v>68</v>
      </c>
      <c r="AE225" s="76">
        <v>0</v>
      </c>
      <c r="AF225" s="76">
        <v>100</v>
      </c>
      <c r="AG225" s="76">
        <v>517</v>
      </c>
      <c r="AH225" s="76">
        <v>54044</v>
      </c>
      <c r="AI225" s="76">
        <v>15887</v>
      </c>
      <c r="AJ225" s="76">
        <v>4456</v>
      </c>
      <c r="AK225" s="76">
        <v>8443</v>
      </c>
      <c r="AL225" s="76">
        <v>1549</v>
      </c>
      <c r="AM225" s="76">
        <v>5411</v>
      </c>
      <c r="AN225" s="76">
        <v>210</v>
      </c>
      <c r="AO225" s="76">
        <v>3507</v>
      </c>
      <c r="AP225" s="76">
        <v>0</v>
      </c>
      <c r="AQ225" s="76">
        <v>0</v>
      </c>
      <c r="AR225" s="76">
        <v>39463</v>
      </c>
      <c r="AS225" s="76">
        <v>14581</v>
      </c>
      <c r="AT225" s="76">
        <v>1049</v>
      </c>
      <c r="AU225" s="76">
        <v>130410</v>
      </c>
      <c r="AV225" s="76">
        <v>0</v>
      </c>
      <c r="AW225" s="76">
        <v>1836</v>
      </c>
      <c r="AX225" s="76">
        <v>0</v>
      </c>
      <c r="AY225" s="76">
        <v>0</v>
      </c>
      <c r="AZ225" s="76">
        <v>0</v>
      </c>
      <c r="BA225" s="76">
        <v>0</v>
      </c>
      <c r="BB225" s="76">
        <v>0</v>
      </c>
      <c r="BC225" s="76">
        <v>0</v>
      </c>
      <c r="BD225" s="76">
        <v>0</v>
      </c>
      <c r="BE225" s="76">
        <v>132246</v>
      </c>
      <c r="BF225" s="76">
        <v>0</v>
      </c>
      <c r="BG225" s="76">
        <v>2516</v>
      </c>
      <c r="BH225" s="76">
        <v>13181</v>
      </c>
      <c r="BI225" s="76">
        <v>0</v>
      </c>
      <c r="BJ225" s="76">
        <v>475871</v>
      </c>
      <c r="BK225" s="76">
        <v>491568</v>
      </c>
      <c r="BL225" s="76">
        <v>104</v>
      </c>
      <c r="BM225" s="76">
        <v>0</v>
      </c>
      <c r="BN225" s="76">
        <v>85</v>
      </c>
      <c r="BO225" s="76">
        <v>14658</v>
      </c>
      <c r="BP225" s="76">
        <v>14847</v>
      </c>
      <c r="BQ225" s="76">
        <v>476721</v>
      </c>
      <c r="BR225" s="76">
        <v>608967</v>
      </c>
      <c r="BS225" s="76">
        <v>62191</v>
      </c>
      <c r="BT225" s="76">
        <v>0</v>
      </c>
      <c r="BU225" s="76">
        <v>0</v>
      </c>
      <c r="BV225" s="76">
        <v>9667</v>
      </c>
      <c r="BW225" s="76">
        <v>0</v>
      </c>
      <c r="BX225" s="76">
        <v>0</v>
      </c>
      <c r="BY225" s="76">
        <v>0</v>
      </c>
      <c r="BZ225" s="76">
        <v>71858</v>
      </c>
      <c r="CA225" s="76">
        <v>14343</v>
      </c>
      <c r="CB225" s="76">
        <v>466749</v>
      </c>
      <c r="CC225" s="76">
        <v>56017</v>
      </c>
      <c r="CD225" s="76">
        <v>70360</v>
      </c>
      <c r="CE225" s="76">
        <v>0</v>
      </c>
      <c r="CF225" s="76">
        <v>0</v>
      </c>
      <c r="CG225" s="76">
        <v>0</v>
      </c>
      <c r="CH225" s="76">
        <v>-14343</v>
      </c>
      <c r="CI225" s="76">
        <v>56017</v>
      </c>
      <c r="CJ225" s="76">
        <v>0</v>
      </c>
      <c r="CK225" s="76">
        <v>0</v>
      </c>
      <c r="CL225" s="76">
        <v>0</v>
      </c>
      <c r="CM225" s="76">
        <v>0</v>
      </c>
      <c r="CN225" s="76">
        <v>521</v>
      </c>
      <c r="CO225" s="76">
        <v>0</v>
      </c>
      <c r="CP225" s="76">
        <v>1092</v>
      </c>
      <c r="CQ225" s="76">
        <v>-571</v>
      </c>
      <c r="CR225" s="76">
        <v>0</v>
      </c>
      <c r="CS225" s="76">
        <v>0</v>
      </c>
      <c r="CT225" s="76">
        <v>0</v>
      </c>
      <c r="CU225" s="76">
        <v>0</v>
      </c>
      <c r="CV225" s="76">
        <v>0</v>
      </c>
      <c r="CW225" s="76">
        <v>0</v>
      </c>
      <c r="CX225" s="76">
        <v>0</v>
      </c>
      <c r="CY225" s="76">
        <v>0</v>
      </c>
      <c r="CZ225" s="76">
        <v>2822</v>
      </c>
      <c r="DA225" s="76">
        <v>0</v>
      </c>
      <c r="DB225" s="76">
        <v>1085</v>
      </c>
      <c r="DC225" s="76">
        <v>1737</v>
      </c>
      <c r="DD225" s="76">
        <v>3343</v>
      </c>
      <c r="DE225" s="76">
        <v>0</v>
      </c>
      <c r="DF225" s="76">
        <v>2177</v>
      </c>
      <c r="DG225" s="76">
        <v>1166</v>
      </c>
      <c r="DH225" s="76">
        <v>0</v>
      </c>
      <c r="DI225" s="76">
        <v>0</v>
      </c>
      <c r="DJ225" s="76">
        <v>0</v>
      </c>
      <c r="DK225" s="76">
        <v>0</v>
      </c>
      <c r="DL225" s="76">
        <v>0</v>
      </c>
      <c r="DM225" s="76">
        <v>0</v>
      </c>
      <c r="DN225" s="76">
        <v>0</v>
      </c>
      <c r="DO225" s="76">
        <v>0</v>
      </c>
      <c r="DP225" s="76">
        <v>0</v>
      </c>
      <c r="DQ225" s="76">
        <v>0</v>
      </c>
      <c r="DR225" s="76">
        <v>0</v>
      </c>
      <c r="DS225" s="76">
        <v>0</v>
      </c>
      <c r="DT225" s="76">
        <v>8</v>
      </c>
      <c r="DU225" s="76">
        <v>0</v>
      </c>
      <c r="DV225" s="76">
        <v>3</v>
      </c>
      <c r="DW225" s="76">
        <v>5</v>
      </c>
      <c r="DX225" s="76">
        <v>0</v>
      </c>
      <c r="DY225" s="76">
        <v>0</v>
      </c>
      <c r="DZ225" s="76">
        <v>0</v>
      </c>
      <c r="EA225" s="76">
        <v>0</v>
      </c>
      <c r="EB225" s="76">
        <v>360</v>
      </c>
      <c r="EC225" s="76">
        <v>0</v>
      </c>
      <c r="ED225" s="76">
        <v>210</v>
      </c>
      <c r="EE225" s="76">
        <v>150</v>
      </c>
      <c r="EF225" s="76">
        <v>368</v>
      </c>
      <c r="EG225" s="76">
        <v>0</v>
      </c>
      <c r="EH225" s="76">
        <v>213</v>
      </c>
      <c r="EI225" s="76">
        <v>155</v>
      </c>
      <c r="EJ225" s="76">
        <v>3711</v>
      </c>
      <c r="EK225" s="76">
        <v>0</v>
      </c>
      <c r="EL225" s="76">
        <v>2390</v>
      </c>
      <c r="EM225" s="76">
        <v>1321</v>
      </c>
      <c r="EN225" s="76">
        <v>2194</v>
      </c>
      <c r="EO225" s="76">
        <v>3931</v>
      </c>
      <c r="EP225" s="76">
        <v>1364</v>
      </c>
      <c r="EQ225" s="76">
        <v>3892</v>
      </c>
      <c r="ER225" s="76">
        <v>121582</v>
      </c>
      <c r="ES225" s="76">
        <v>0</v>
      </c>
      <c r="ET225" s="76">
        <v>121582</v>
      </c>
      <c r="EU225" s="76">
        <v>17227</v>
      </c>
      <c r="EV225" s="76">
        <v>-1134</v>
      </c>
      <c r="EW225" s="76">
        <v>0</v>
      </c>
      <c r="EX225" s="76">
        <v>0</v>
      </c>
      <c r="EY225" s="76">
        <v>0</v>
      </c>
      <c r="EZ225" s="76">
        <v>137675</v>
      </c>
      <c r="FA225" s="76">
        <v>4286</v>
      </c>
      <c r="FB225" s="76">
        <v>3017</v>
      </c>
      <c r="FC225" s="76">
        <v>0</v>
      </c>
      <c r="FD225" s="76">
        <v>0</v>
      </c>
      <c r="FE225" s="76">
        <v>-38</v>
      </c>
      <c r="FF225" s="76">
        <v>0</v>
      </c>
      <c r="FG225" s="76">
        <v>0</v>
      </c>
      <c r="FH225" s="76">
        <v>7265</v>
      </c>
      <c r="FI225" s="76">
        <v>130410</v>
      </c>
      <c r="FJ225" s="76">
        <v>117296</v>
      </c>
      <c r="FK225" s="76">
        <v>0</v>
      </c>
      <c r="FL225" s="76">
        <v>0</v>
      </c>
      <c r="FM225" s="76">
        <v>0</v>
      </c>
      <c r="FN225" s="76">
        <v>3653</v>
      </c>
      <c r="FO225" s="76">
        <v>1006</v>
      </c>
      <c r="FP225" s="76">
        <v>2647</v>
      </c>
      <c r="FQ225" s="76">
        <v>403</v>
      </c>
      <c r="FR225" s="76">
        <v>384</v>
      </c>
      <c r="FS225" s="76">
        <v>19</v>
      </c>
      <c r="FT225" s="76">
        <v>824</v>
      </c>
      <c r="FU225" s="76">
        <v>143</v>
      </c>
      <c r="FV225" s="76">
        <v>681</v>
      </c>
      <c r="FW225" s="76">
        <v>0</v>
      </c>
      <c r="FX225" s="76">
        <v>0</v>
      </c>
      <c r="FY225" s="76">
        <v>0</v>
      </c>
      <c r="FZ225" s="76">
        <v>0</v>
      </c>
      <c r="GA225" s="76">
        <v>0</v>
      </c>
      <c r="GB225" s="76">
        <v>0</v>
      </c>
      <c r="GC225" s="76">
        <v>4880</v>
      </c>
      <c r="GD225" s="76">
        <v>1533</v>
      </c>
      <c r="GE225" s="76">
        <v>3347</v>
      </c>
      <c r="GF225" s="76">
        <v>0</v>
      </c>
      <c r="GG225" s="76">
        <v>0</v>
      </c>
      <c r="GH225" s="76">
        <v>0</v>
      </c>
      <c r="GI225" s="76">
        <v>475516</v>
      </c>
      <c r="GJ225" s="76">
        <v>0</v>
      </c>
      <c r="GK225" s="76">
        <v>355</v>
      </c>
      <c r="GL225" s="76">
        <v>475871</v>
      </c>
      <c r="GM225" s="76">
        <v>1942</v>
      </c>
      <c r="GN225" s="76">
        <v>4</v>
      </c>
      <c r="GO225" s="76">
        <v>0</v>
      </c>
      <c r="GP225" s="76">
        <v>0</v>
      </c>
      <c r="GQ225" s="76">
        <v>0</v>
      </c>
      <c r="GR225" s="76">
        <v>3362</v>
      </c>
      <c r="GS225" s="76">
        <v>0</v>
      </c>
      <c r="GT225" s="76">
        <v>8962</v>
      </c>
      <c r="GU225" s="76">
        <v>0</v>
      </c>
      <c r="GV225" s="76">
        <v>0</v>
      </c>
      <c r="GW225" s="76">
        <v>388</v>
      </c>
      <c r="GX225" s="76">
        <v>14658</v>
      </c>
      <c r="GY225" s="76">
        <v>0</v>
      </c>
      <c r="GZ225" s="76">
        <v>0</v>
      </c>
      <c r="HA225" s="76">
        <v>0</v>
      </c>
      <c r="HB225" s="76">
        <v>0</v>
      </c>
      <c r="HC225" s="76">
        <v>0</v>
      </c>
      <c r="HD225" s="76">
        <v>466554</v>
      </c>
      <c r="HE225" s="76">
        <v>195</v>
      </c>
      <c r="HF225" s="76">
        <v>466749</v>
      </c>
      <c r="HG225" s="76">
        <v>3528</v>
      </c>
      <c r="HH225" s="76">
        <v>1031</v>
      </c>
      <c r="HI225" s="76">
        <v>407</v>
      </c>
      <c r="HJ225" s="76">
        <v>0</v>
      </c>
      <c r="HK225" s="76">
        <v>0</v>
      </c>
      <c r="HL225" s="76">
        <v>0</v>
      </c>
      <c r="HM225" s="76">
        <v>4966</v>
      </c>
      <c r="HN225" s="76">
        <v>13182</v>
      </c>
      <c r="HO225" s="76">
        <v>3507</v>
      </c>
      <c r="HP225" s="76">
        <v>0</v>
      </c>
      <c r="HQ225" s="76">
        <v>37</v>
      </c>
      <c r="HR225" s="76">
        <v>-431</v>
      </c>
      <c r="HS225" s="76">
        <v>13</v>
      </c>
      <c r="HT225" s="76">
        <v>13096</v>
      </c>
      <c r="HU225" s="76">
        <v>0</v>
      </c>
      <c r="HV225" s="76">
        <v>0</v>
      </c>
      <c r="HW225" s="76">
        <v>0</v>
      </c>
      <c r="HX225" s="76">
        <v>1</v>
      </c>
    </row>
    <row r="226" spans="1:232" x14ac:dyDescent="0.2">
      <c r="A226" s="71" t="s">
        <v>635</v>
      </c>
      <c r="B226" s="71" t="s">
        <v>636</v>
      </c>
      <c r="C226" s="72" t="s">
        <v>200</v>
      </c>
      <c r="D226" s="72">
        <v>12</v>
      </c>
      <c r="E226" s="73">
        <v>33015</v>
      </c>
      <c r="F226" s="73">
        <v>-918</v>
      </c>
      <c r="G226" s="73">
        <v>-16873</v>
      </c>
      <c r="H226" s="73">
        <v>15224</v>
      </c>
      <c r="I226" s="73">
        <v>431</v>
      </c>
      <c r="J226" s="73">
        <v>0</v>
      </c>
      <c r="K226" s="73">
        <v>0</v>
      </c>
      <c r="L226" s="73">
        <v>0</v>
      </c>
      <c r="M226" s="73">
        <v>341</v>
      </c>
      <c r="N226" s="73">
        <v>-8633</v>
      </c>
      <c r="O226" s="73">
        <v>9</v>
      </c>
      <c r="P226" s="73">
        <v>23</v>
      </c>
      <c r="Q226" s="73">
        <v>0</v>
      </c>
      <c r="R226" s="73">
        <v>0</v>
      </c>
      <c r="S226" s="73">
        <v>7395</v>
      </c>
      <c r="T226" s="73">
        <v>-4</v>
      </c>
      <c r="U226" s="73">
        <v>7391</v>
      </c>
      <c r="V226" s="73">
        <v>0</v>
      </c>
      <c r="W226" s="73">
        <v>0</v>
      </c>
      <c r="X226" s="73">
        <v>0</v>
      </c>
      <c r="Y226" s="73">
        <v>0</v>
      </c>
      <c r="Z226" s="73">
        <v>7391</v>
      </c>
      <c r="AA226" s="73">
        <v>28625</v>
      </c>
      <c r="AB226" s="73">
        <v>2484</v>
      </c>
      <c r="AC226" s="73">
        <v>31109</v>
      </c>
      <c r="AD226" s="73">
        <v>607</v>
      </c>
      <c r="AE226" s="73">
        <v>0</v>
      </c>
      <c r="AF226" s="73">
        <v>0</v>
      </c>
      <c r="AG226" s="73">
        <v>0</v>
      </c>
      <c r="AH226" s="73">
        <v>31716</v>
      </c>
      <c r="AI226" s="73">
        <v>3124</v>
      </c>
      <c r="AJ226" s="73">
        <v>2795</v>
      </c>
      <c r="AK226" s="73">
        <v>4439</v>
      </c>
      <c r="AL226" s="73">
        <v>1449</v>
      </c>
      <c r="AM226" s="73">
        <v>0</v>
      </c>
      <c r="AN226" s="73">
        <v>91</v>
      </c>
      <c r="AO226" s="73">
        <v>3836</v>
      </c>
      <c r="AP226" s="73">
        <v>0</v>
      </c>
      <c r="AQ226" s="73">
        <v>0</v>
      </c>
      <c r="AR226" s="73">
        <v>15734</v>
      </c>
      <c r="AS226" s="73">
        <v>15982</v>
      </c>
      <c r="AT226" s="73">
        <v>402</v>
      </c>
      <c r="AU226" s="73">
        <v>278317</v>
      </c>
      <c r="AV226" s="73">
        <v>0</v>
      </c>
      <c r="AW226" s="73">
        <v>0</v>
      </c>
      <c r="AX226" s="73">
        <v>0</v>
      </c>
      <c r="AY226" s="73">
        <v>0</v>
      </c>
      <c r="AZ226" s="73">
        <v>700</v>
      </c>
      <c r="BA226" s="73">
        <v>0</v>
      </c>
      <c r="BB226" s="73">
        <v>0</v>
      </c>
      <c r="BC226" s="73">
        <v>4384</v>
      </c>
      <c r="BD226" s="73">
        <v>0</v>
      </c>
      <c r="BE226" s="73">
        <v>283401</v>
      </c>
      <c r="BF226" s="73">
        <v>1502</v>
      </c>
      <c r="BG226" s="73">
        <v>1718</v>
      </c>
      <c r="BH226" s="73">
        <v>17419</v>
      </c>
      <c r="BI226" s="73">
        <v>0</v>
      </c>
      <c r="BJ226" s="73">
        <v>1410</v>
      </c>
      <c r="BK226" s="73">
        <v>22049</v>
      </c>
      <c r="BL226" s="73">
        <v>3579</v>
      </c>
      <c r="BM226" s="73">
        <v>0</v>
      </c>
      <c r="BN226" s="73">
        <v>4701</v>
      </c>
      <c r="BO226" s="73">
        <v>7952</v>
      </c>
      <c r="BP226" s="73">
        <v>16232</v>
      </c>
      <c r="BQ226" s="73">
        <v>5817</v>
      </c>
      <c r="BR226" s="73">
        <v>289218</v>
      </c>
      <c r="BS226" s="73">
        <v>184377</v>
      </c>
      <c r="BT226" s="73">
        <v>0</v>
      </c>
      <c r="BU226" s="73">
        <v>0</v>
      </c>
      <c r="BV226" s="73">
        <v>51971</v>
      </c>
      <c r="BW226" s="73">
        <v>0</v>
      </c>
      <c r="BX226" s="73">
        <v>0</v>
      </c>
      <c r="BY226" s="73">
        <v>649</v>
      </c>
      <c r="BZ226" s="73">
        <v>236997</v>
      </c>
      <c r="CA226" s="73">
        <v>0</v>
      </c>
      <c r="CB226" s="73">
        <v>0</v>
      </c>
      <c r="CC226" s="73">
        <v>52221</v>
      </c>
      <c r="CD226" s="73">
        <v>52221</v>
      </c>
      <c r="CE226" s="73">
        <v>0</v>
      </c>
      <c r="CF226" s="73">
        <v>0</v>
      </c>
      <c r="CG226" s="73">
        <v>0</v>
      </c>
      <c r="CH226" s="73">
        <v>0</v>
      </c>
      <c r="CI226" s="73">
        <v>52221</v>
      </c>
      <c r="CJ226" s="73">
        <v>1119</v>
      </c>
      <c r="CK226" s="73">
        <v>918</v>
      </c>
      <c r="CL226" s="73">
        <v>0</v>
      </c>
      <c r="CM226" s="73">
        <v>201</v>
      </c>
      <c r="CN226" s="73">
        <v>180</v>
      </c>
      <c r="CO226" s="73">
        <v>0</v>
      </c>
      <c r="CP226" s="73">
        <v>630</v>
      </c>
      <c r="CQ226" s="73">
        <v>-450</v>
      </c>
      <c r="CR226" s="73">
        <v>0</v>
      </c>
      <c r="CS226" s="73">
        <v>0</v>
      </c>
      <c r="CT226" s="73">
        <v>0</v>
      </c>
      <c r="CU226" s="73">
        <v>0</v>
      </c>
      <c r="CV226" s="73">
        <v>0</v>
      </c>
      <c r="CW226" s="73">
        <v>0</v>
      </c>
      <c r="CX226" s="73">
        <v>0</v>
      </c>
      <c r="CY226" s="73">
        <v>0</v>
      </c>
      <c r="CZ226" s="73">
        <v>0</v>
      </c>
      <c r="DA226" s="73">
        <v>0</v>
      </c>
      <c r="DB226" s="73">
        <v>509</v>
      </c>
      <c r="DC226" s="73">
        <v>-509</v>
      </c>
      <c r="DD226" s="73">
        <v>1299</v>
      </c>
      <c r="DE226" s="73">
        <v>918</v>
      </c>
      <c r="DF226" s="73">
        <v>1139</v>
      </c>
      <c r="DG226" s="73">
        <v>-758</v>
      </c>
      <c r="DH226" s="73">
        <v>0</v>
      </c>
      <c r="DI226" s="73">
        <v>0</v>
      </c>
      <c r="DJ226" s="73">
        <v>0</v>
      </c>
      <c r="DK226" s="73">
        <v>0</v>
      </c>
      <c r="DL226" s="73">
        <v>0</v>
      </c>
      <c r="DM226" s="73">
        <v>0</v>
      </c>
      <c r="DN226" s="73">
        <v>0</v>
      </c>
      <c r="DO226" s="73">
        <v>0</v>
      </c>
      <c r="DP226" s="73">
        <v>0</v>
      </c>
      <c r="DQ226" s="73">
        <v>0</v>
      </c>
      <c r="DR226" s="73">
        <v>0</v>
      </c>
      <c r="DS226" s="73">
        <v>0</v>
      </c>
      <c r="DT226" s="73">
        <v>0</v>
      </c>
      <c r="DU226" s="73">
        <v>0</v>
      </c>
      <c r="DV226" s="73">
        <v>0</v>
      </c>
      <c r="DW226" s="73">
        <v>0</v>
      </c>
      <c r="DX226" s="73">
        <v>0</v>
      </c>
      <c r="DY226" s="73">
        <v>0</v>
      </c>
      <c r="DZ226" s="73">
        <v>0</v>
      </c>
      <c r="EA226" s="73">
        <v>0</v>
      </c>
      <c r="EB226" s="73">
        <v>0</v>
      </c>
      <c r="EC226" s="73">
        <v>0</v>
      </c>
      <c r="ED226" s="73">
        <v>0</v>
      </c>
      <c r="EE226" s="73">
        <v>0</v>
      </c>
      <c r="EF226" s="73">
        <v>0</v>
      </c>
      <c r="EG226" s="73">
        <v>0</v>
      </c>
      <c r="EH226" s="73">
        <v>0</v>
      </c>
      <c r="EI226" s="73">
        <v>0</v>
      </c>
      <c r="EJ226" s="73">
        <v>1299</v>
      </c>
      <c r="EK226" s="73">
        <v>918</v>
      </c>
      <c r="EL226" s="73">
        <v>1139</v>
      </c>
      <c r="EM226" s="73">
        <v>-758</v>
      </c>
      <c r="EN226" s="73">
        <v>1815</v>
      </c>
      <c r="EO226" s="73">
        <v>197</v>
      </c>
      <c r="EP226" s="73">
        <v>255</v>
      </c>
      <c r="EQ226" s="73">
        <v>197</v>
      </c>
      <c r="ER226" s="73">
        <v>297641</v>
      </c>
      <c r="ES226" s="73">
        <v>0</v>
      </c>
      <c r="ET226" s="73">
        <v>297641</v>
      </c>
      <c r="EU226" s="73">
        <v>16723</v>
      </c>
      <c r="EV226" s="73">
        <v>-920</v>
      </c>
      <c r="EW226" s="73">
        <v>0</v>
      </c>
      <c r="EX226" s="73">
        <v>0</v>
      </c>
      <c r="EY226" s="73">
        <v>0</v>
      </c>
      <c r="EZ226" s="73">
        <v>313444</v>
      </c>
      <c r="FA226" s="73">
        <v>31539</v>
      </c>
      <c r="FB226" s="73">
        <v>3836</v>
      </c>
      <c r="FC226" s="73">
        <v>0</v>
      </c>
      <c r="FD226" s="73">
        <v>0</v>
      </c>
      <c r="FE226" s="73">
        <v>-248</v>
      </c>
      <c r="FF226" s="73">
        <v>0</v>
      </c>
      <c r="FG226" s="73">
        <v>0</v>
      </c>
      <c r="FH226" s="73">
        <v>35127</v>
      </c>
      <c r="FI226" s="73">
        <v>278317</v>
      </c>
      <c r="FJ226" s="73">
        <v>266102</v>
      </c>
      <c r="FK226" s="73">
        <v>0</v>
      </c>
      <c r="FL226" s="73">
        <v>0</v>
      </c>
      <c r="FM226" s="73">
        <v>0</v>
      </c>
      <c r="FN226" s="73">
        <v>1005</v>
      </c>
      <c r="FO226" s="73">
        <v>574</v>
      </c>
      <c r="FP226" s="73">
        <v>431</v>
      </c>
      <c r="FQ226" s="73">
        <v>0</v>
      </c>
      <c r="FR226" s="73">
        <v>0</v>
      </c>
      <c r="FS226" s="73">
        <v>0</v>
      </c>
      <c r="FT226" s="73">
        <v>0</v>
      </c>
      <c r="FU226" s="73">
        <v>0</v>
      </c>
      <c r="FV226" s="73">
        <v>0</v>
      </c>
      <c r="FW226" s="73">
        <v>0</v>
      </c>
      <c r="FX226" s="73">
        <v>0</v>
      </c>
      <c r="FY226" s="73">
        <v>0</v>
      </c>
      <c r="FZ226" s="73">
        <v>0</v>
      </c>
      <c r="GA226" s="73">
        <v>0</v>
      </c>
      <c r="GB226" s="73">
        <v>0</v>
      </c>
      <c r="GC226" s="73">
        <v>1005</v>
      </c>
      <c r="GD226" s="73">
        <v>574</v>
      </c>
      <c r="GE226" s="73">
        <v>431</v>
      </c>
      <c r="GF226" s="73">
        <v>297</v>
      </c>
      <c r="GG226" s="73">
        <v>0</v>
      </c>
      <c r="GH226" s="73">
        <v>996</v>
      </c>
      <c r="GI226" s="73">
        <v>0</v>
      </c>
      <c r="GJ226" s="73">
        <v>0</v>
      </c>
      <c r="GK226" s="73">
        <v>117</v>
      </c>
      <c r="GL226" s="73">
        <v>1410</v>
      </c>
      <c r="GM226" s="73">
        <v>2020</v>
      </c>
      <c r="GN226" s="73">
        <v>0</v>
      </c>
      <c r="GO226" s="73">
        <v>108</v>
      </c>
      <c r="GP226" s="73">
        <v>12</v>
      </c>
      <c r="GQ226" s="73">
        <v>0</v>
      </c>
      <c r="GR226" s="73">
        <v>5147</v>
      </c>
      <c r="GS226" s="73">
        <v>0</v>
      </c>
      <c r="GT226" s="73">
        <v>0</v>
      </c>
      <c r="GU226" s="73">
        <v>115</v>
      </c>
      <c r="GV226" s="73">
        <v>0</v>
      </c>
      <c r="GW226" s="73">
        <v>550</v>
      </c>
      <c r="GX226" s="73">
        <v>7952</v>
      </c>
      <c r="GY226" s="73">
        <v>0</v>
      </c>
      <c r="GZ226" s="73">
        <v>0</v>
      </c>
      <c r="HA226" s="73">
        <v>649</v>
      </c>
      <c r="HB226" s="73">
        <v>0</v>
      </c>
      <c r="HC226" s="73">
        <v>649</v>
      </c>
      <c r="HD226" s="73">
        <v>0</v>
      </c>
      <c r="HE226" s="73">
        <v>0</v>
      </c>
      <c r="HF226" s="73">
        <v>0</v>
      </c>
      <c r="HG226" s="73">
        <v>8940</v>
      </c>
      <c r="HH226" s="73">
        <v>0</v>
      </c>
      <c r="HI226" s="73">
        <v>16</v>
      </c>
      <c r="HJ226" s="73">
        <v>0</v>
      </c>
      <c r="HK226" s="73">
        <v>0</v>
      </c>
      <c r="HL226" s="73">
        <v>-323</v>
      </c>
      <c r="HM226" s="73">
        <v>8633</v>
      </c>
      <c r="HN226" s="73">
        <v>2263</v>
      </c>
      <c r="HO226" s="73">
        <v>3836</v>
      </c>
      <c r="HP226" s="73">
        <v>0</v>
      </c>
      <c r="HQ226" s="73">
        <v>44</v>
      </c>
      <c r="HR226" s="73">
        <v>-13</v>
      </c>
      <c r="HS226" s="73">
        <v>-190</v>
      </c>
      <c r="HT226" s="73">
        <v>5769</v>
      </c>
      <c r="HU226" s="73">
        <v>0</v>
      </c>
      <c r="HV226" s="73">
        <v>0</v>
      </c>
      <c r="HW226" s="73">
        <v>0</v>
      </c>
      <c r="HX226" s="73">
        <v>0</v>
      </c>
    </row>
    <row r="227" spans="1:232" x14ac:dyDescent="0.2">
      <c r="A227" s="71" t="s">
        <v>639</v>
      </c>
      <c r="B227" s="71" t="s">
        <v>640</v>
      </c>
      <c r="C227" s="72" t="s">
        <v>200</v>
      </c>
      <c r="D227" s="72">
        <v>12</v>
      </c>
      <c r="E227" s="73">
        <v>17971</v>
      </c>
      <c r="F227" s="73">
        <v>-630</v>
      </c>
      <c r="G227" s="73">
        <v>-10358</v>
      </c>
      <c r="H227" s="73">
        <v>6983</v>
      </c>
      <c r="I227" s="73">
        <v>874</v>
      </c>
      <c r="J227" s="73">
        <v>0</v>
      </c>
      <c r="K227" s="73">
        <v>0</v>
      </c>
      <c r="L227" s="73">
        <v>0</v>
      </c>
      <c r="M227" s="73">
        <v>15</v>
      </c>
      <c r="N227" s="73">
        <v>-3909</v>
      </c>
      <c r="O227" s="73">
        <v>0</v>
      </c>
      <c r="P227" s="73">
        <v>0</v>
      </c>
      <c r="Q227" s="73">
        <v>0</v>
      </c>
      <c r="R227" s="73">
        <v>0</v>
      </c>
      <c r="S227" s="73">
        <v>3963</v>
      </c>
      <c r="T227" s="73">
        <v>0</v>
      </c>
      <c r="U227" s="73">
        <v>3963</v>
      </c>
      <c r="V227" s="73">
        <v>0</v>
      </c>
      <c r="W227" s="73">
        <v>-768</v>
      </c>
      <c r="X227" s="73">
        <v>0</v>
      </c>
      <c r="Y227" s="73">
        <v>0</v>
      </c>
      <c r="Z227" s="73">
        <v>3195</v>
      </c>
      <c r="AA227" s="73">
        <v>14427</v>
      </c>
      <c r="AB227" s="73">
        <v>1055</v>
      </c>
      <c r="AC227" s="73">
        <v>15482</v>
      </c>
      <c r="AD227" s="73">
        <v>0</v>
      </c>
      <c r="AE227" s="73">
        <v>303</v>
      </c>
      <c r="AF227" s="73">
        <v>0</v>
      </c>
      <c r="AG227" s="73">
        <v>0</v>
      </c>
      <c r="AH227" s="73">
        <v>15785</v>
      </c>
      <c r="AI227" s="73">
        <v>3592</v>
      </c>
      <c r="AJ227" s="73">
        <v>829</v>
      </c>
      <c r="AK227" s="73">
        <v>1241</v>
      </c>
      <c r="AL227" s="73">
        <v>1675</v>
      </c>
      <c r="AM227" s="73">
        <v>0</v>
      </c>
      <c r="AN227" s="73">
        <v>181</v>
      </c>
      <c r="AO227" s="73">
        <v>1832</v>
      </c>
      <c r="AP227" s="73">
        <v>0</v>
      </c>
      <c r="AQ227" s="73">
        <v>232</v>
      </c>
      <c r="AR227" s="73">
        <v>9582</v>
      </c>
      <c r="AS227" s="73">
        <v>6203</v>
      </c>
      <c r="AT227" s="73">
        <v>86</v>
      </c>
      <c r="AU227" s="73">
        <v>128005</v>
      </c>
      <c r="AV227" s="73">
        <v>0</v>
      </c>
      <c r="AW227" s="73">
        <v>409</v>
      </c>
      <c r="AX227" s="73">
        <v>0</v>
      </c>
      <c r="AY227" s="73">
        <v>0</v>
      </c>
      <c r="AZ227" s="73">
        <v>0</v>
      </c>
      <c r="BA227" s="73">
        <v>0</v>
      </c>
      <c r="BB227" s="73">
        <v>0</v>
      </c>
      <c r="BC227" s="73">
        <v>0</v>
      </c>
      <c r="BD227" s="73">
        <v>0</v>
      </c>
      <c r="BE227" s="73">
        <v>128414</v>
      </c>
      <c r="BF227" s="73">
        <v>108</v>
      </c>
      <c r="BG227" s="73">
        <v>0</v>
      </c>
      <c r="BH227" s="73">
        <v>8428</v>
      </c>
      <c r="BI227" s="73">
        <v>0</v>
      </c>
      <c r="BJ227" s="73">
        <v>633</v>
      </c>
      <c r="BK227" s="73">
        <v>9169</v>
      </c>
      <c r="BL227" s="73">
        <v>0</v>
      </c>
      <c r="BM227" s="73">
        <v>0</v>
      </c>
      <c r="BN227" s="73">
        <v>0</v>
      </c>
      <c r="BO227" s="73">
        <v>3016</v>
      </c>
      <c r="BP227" s="73">
        <v>3016</v>
      </c>
      <c r="BQ227" s="73">
        <v>6153</v>
      </c>
      <c r="BR227" s="73">
        <v>134567</v>
      </c>
      <c r="BS227" s="73">
        <v>76241</v>
      </c>
      <c r="BT227" s="73">
        <v>0</v>
      </c>
      <c r="BU227" s="73">
        <v>0</v>
      </c>
      <c r="BV227" s="73">
        <v>31014</v>
      </c>
      <c r="BW227" s="73">
        <v>0</v>
      </c>
      <c r="BX227" s="73">
        <v>0</v>
      </c>
      <c r="BY227" s="73">
        <v>915</v>
      </c>
      <c r="BZ227" s="73">
        <v>108170</v>
      </c>
      <c r="CA227" s="73">
        <v>3063</v>
      </c>
      <c r="CB227" s="73">
        <v>0</v>
      </c>
      <c r="CC227" s="73">
        <v>23334</v>
      </c>
      <c r="CD227" s="73">
        <v>23334</v>
      </c>
      <c r="CE227" s="73">
        <v>0</v>
      </c>
      <c r="CF227" s="73">
        <v>0</v>
      </c>
      <c r="CG227" s="73">
        <v>0</v>
      </c>
      <c r="CH227" s="73">
        <v>0</v>
      </c>
      <c r="CI227" s="73">
        <v>23334</v>
      </c>
      <c r="CJ227" s="73">
        <v>1108</v>
      </c>
      <c r="CK227" s="73">
        <v>630</v>
      </c>
      <c r="CL227" s="73">
        <v>4</v>
      </c>
      <c r="CM227" s="73">
        <v>474</v>
      </c>
      <c r="CN227" s="73">
        <v>0</v>
      </c>
      <c r="CO227" s="73">
        <v>0</v>
      </c>
      <c r="CP227" s="73">
        <v>0</v>
      </c>
      <c r="CQ227" s="73">
        <v>0</v>
      </c>
      <c r="CR227" s="73">
        <v>0</v>
      </c>
      <c r="CS227" s="73">
        <v>0</v>
      </c>
      <c r="CT227" s="73">
        <v>0</v>
      </c>
      <c r="CU227" s="73">
        <v>0</v>
      </c>
      <c r="CV227" s="73">
        <v>0</v>
      </c>
      <c r="CW227" s="73">
        <v>0</v>
      </c>
      <c r="CX227" s="73">
        <v>0</v>
      </c>
      <c r="CY227" s="73">
        <v>0</v>
      </c>
      <c r="CZ227" s="73">
        <v>682</v>
      </c>
      <c r="DA227" s="73">
        <v>0</v>
      </c>
      <c r="DB227" s="73">
        <v>587</v>
      </c>
      <c r="DC227" s="73">
        <v>95</v>
      </c>
      <c r="DD227" s="73">
        <v>1790</v>
      </c>
      <c r="DE227" s="73">
        <v>630</v>
      </c>
      <c r="DF227" s="73">
        <v>591</v>
      </c>
      <c r="DG227" s="73">
        <v>569</v>
      </c>
      <c r="DH227" s="73">
        <v>0</v>
      </c>
      <c r="DI227" s="73">
        <v>0</v>
      </c>
      <c r="DJ227" s="73">
        <v>0</v>
      </c>
      <c r="DK227" s="73">
        <v>0</v>
      </c>
      <c r="DL227" s="73">
        <v>0</v>
      </c>
      <c r="DM227" s="73">
        <v>0</v>
      </c>
      <c r="DN227" s="73">
        <v>0</v>
      </c>
      <c r="DO227" s="73">
        <v>0</v>
      </c>
      <c r="DP227" s="73">
        <v>0</v>
      </c>
      <c r="DQ227" s="73">
        <v>0</v>
      </c>
      <c r="DR227" s="73">
        <v>0</v>
      </c>
      <c r="DS227" s="73">
        <v>0</v>
      </c>
      <c r="DT227" s="73">
        <v>0</v>
      </c>
      <c r="DU227" s="73">
        <v>0</v>
      </c>
      <c r="DV227" s="73">
        <v>0</v>
      </c>
      <c r="DW227" s="73">
        <v>0</v>
      </c>
      <c r="DX227" s="73">
        <v>0</v>
      </c>
      <c r="DY227" s="73">
        <v>0</v>
      </c>
      <c r="DZ227" s="73">
        <v>0</v>
      </c>
      <c r="EA227" s="73">
        <v>0</v>
      </c>
      <c r="EB227" s="73">
        <v>396</v>
      </c>
      <c r="EC227" s="73">
        <v>0</v>
      </c>
      <c r="ED227" s="73">
        <v>185</v>
      </c>
      <c r="EE227" s="73">
        <v>211</v>
      </c>
      <c r="EF227" s="73">
        <v>396</v>
      </c>
      <c r="EG227" s="73">
        <v>0</v>
      </c>
      <c r="EH227" s="73">
        <v>185</v>
      </c>
      <c r="EI227" s="73">
        <v>211</v>
      </c>
      <c r="EJ227" s="73">
        <v>2186</v>
      </c>
      <c r="EK227" s="73">
        <v>630</v>
      </c>
      <c r="EL227" s="73">
        <v>776</v>
      </c>
      <c r="EM227" s="73">
        <v>780</v>
      </c>
      <c r="EN227" s="73">
        <v>464</v>
      </c>
      <c r="EO227" s="73">
        <v>39</v>
      </c>
      <c r="EP227" s="73">
        <v>384</v>
      </c>
      <c r="EQ227" s="73">
        <v>0</v>
      </c>
      <c r="ER227" s="73">
        <v>142734</v>
      </c>
      <c r="ES227" s="73">
        <v>0</v>
      </c>
      <c r="ET227" s="73">
        <v>142734</v>
      </c>
      <c r="EU227" s="73">
        <v>3747</v>
      </c>
      <c r="EV227" s="73">
        <v>-1776</v>
      </c>
      <c r="EW227" s="73">
        <v>0</v>
      </c>
      <c r="EX227" s="73">
        <v>0</v>
      </c>
      <c r="EY227" s="73">
        <v>-85</v>
      </c>
      <c r="EZ227" s="73">
        <v>144620</v>
      </c>
      <c r="FA227" s="73">
        <v>15101</v>
      </c>
      <c r="FB227" s="73">
        <v>1762</v>
      </c>
      <c r="FC227" s="73">
        <v>0</v>
      </c>
      <c r="FD227" s="73">
        <v>0</v>
      </c>
      <c r="FE227" s="73">
        <v>-248</v>
      </c>
      <c r="FF227" s="73">
        <v>0</v>
      </c>
      <c r="FG227" s="73">
        <v>0</v>
      </c>
      <c r="FH227" s="73">
        <v>16615</v>
      </c>
      <c r="FI227" s="73">
        <v>128005</v>
      </c>
      <c r="FJ227" s="73">
        <v>127633</v>
      </c>
      <c r="FK227" s="73">
        <v>2212</v>
      </c>
      <c r="FL227" s="73">
        <v>1338</v>
      </c>
      <c r="FM227" s="73">
        <v>874</v>
      </c>
      <c r="FN227" s="73">
        <v>801</v>
      </c>
      <c r="FO227" s="73">
        <v>801</v>
      </c>
      <c r="FP227" s="73">
        <v>0</v>
      </c>
      <c r="FQ227" s="73">
        <v>0</v>
      </c>
      <c r="FR227" s="73">
        <v>0</v>
      </c>
      <c r="FS227" s="73">
        <v>0</v>
      </c>
      <c r="FT227" s="73">
        <v>0</v>
      </c>
      <c r="FU227" s="73">
        <v>0</v>
      </c>
      <c r="FV227" s="73">
        <v>0</v>
      </c>
      <c r="FW227" s="73">
        <v>0</v>
      </c>
      <c r="FX227" s="73">
        <v>0</v>
      </c>
      <c r="FY227" s="73">
        <v>0</v>
      </c>
      <c r="FZ227" s="73">
        <v>0</v>
      </c>
      <c r="GA227" s="73">
        <v>0</v>
      </c>
      <c r="GB227" s="73">
        <v>0</v>
      </c>
      <c r="GC227" s="73">
        <v>3013</v>
      </c>
      <c r="GD227" s="73">
        <v>2139</v>
      </c>
      <c r="GE227" s="73">
        <v>874</v>
      </c>
      <c r="GF227" s="73">
        <v>0</v>
      </c>
      <c r="GG227" s="73">
        <v>0</v>
      </c>
      <c r="GH227" s="73">
        <v>0</v>
      </c>
      <c r="GI227" s="73">
        <v>0</v>
      </c>
      <c r="GJ227" s="73">
        <v>0</v>
      </c>
      <c r="GK227" s="73">
        <v>633</v>
      </c>
      <c r="GL227" s="73">
        <v>633</v>
      </c>
      <c r="GM227" s="73">
        <v>460</v>
      </c>
      <c r="GN227" s="73">
        <v>143</v>
      </c>
      <c r="GO227" s="73">
        <v>0</v>
      </c>
      <c r="GP227" s="73">
        <v>200</v>
      </c>
      <c r="GQ227" s="73">
        <v>0</v>
      </c>
      <c r="GR227" s="73">
        <v>2101</v>
      </c>
      <c r="GS227" s="73">
        <v>0</v>
      </c>
      <c r="GT227" s="73">
        <v>0</v>
      </c>
      <c r="GU227" s="73">
        <v>0</v>
      </c>
      <c r="GV227" s="73">
        <v>0</v>
      </c>
      <c r="GW227" s="73">
        <v>112</v>
      </c>
      <c r="GX227" s="73">
        <v>3016</v>
      </c>
      <c r="GY227" s="73">
        <v>725</v>
      </c>
      <c r="GZ227" s="73">
        <v>0</v>
      </c>
      <c r="HA227" s="73">
        <v>0</v>
      </c>
      <c r="HB227" s="73">
        <v>190</v>
      </c>
      <c r="HC227" s="73">
        <v>915</v>
      </c>
      <c r="HD227" s="73">
        <v>0</v>
      </c>
      <c r="HE227" s="73">
        <v>0</v>
      </c>
      <c r="HF227" s="73">
        <v>0</v>
      </c>
      <c r="HG227" s="73">
        <v>3892</v>
      </c>
      <c r="HH227" s="73">
        <v>0</v>
      </c>
      <c r="HI227" s="73">
        <v>17</v>
      </c>
      <c r="HJ227" s="73">
        <v>0</v>
      </c>
      <c r="HK227" s="73">
        <v>0</v>
      </c>
      <c r="HL227" s="73">
        <v>0</v>
      </c>
      <c r="HM227" s="73">
        <v>3909</v>
      </c>
      <c r="HN227" s="73">
        <v>1338</v>
      </c>
      <c r="HO227" s="73">
        <v>1990</v>
      </c>
      <c r="HP227" s="73">
        <v>0</v>
      </c>
      <c r="HQ227" s="73">
        <v>19</v>
      </c>
      <c r="HR227" s="73">
        <v>-12</v>
      </c>
      <c r="HS227" s="73">
        <v>45</v>
      </c>
      <c r="HT227" s="73">
        <v>2296</v>
      </c>
      <c r="HU227" s="73">
        <v>0</v>
      </c>
      <c r="HV227" s="73">
        <v>0</v>
      </c>
      <c r="HW227" s="73">
        <v>20</v>
      </c>
      <c r="HX227" s="73">
        <v>20</v>
      </c>
    </row>
    <row r="228" spans="1:232" x14ac:dyDescent="0.2">
      <c r="A228" s="71" t="s">
        <v>641</v>
      </c>
      <c r="B228" s="71" t="s">
        <v>642</v>
      </c>
      <c r="C228" s="72" t="s">
        <v>200</v>
      </c>
      <c r="D228" s="72">
        <v>12</v>
      </c>
      <c r="E228" s="73">
        <v>47638</v>
      </c>
      <c r="F228" s="73">
        <v>-2425</v>
      </c>
      <c r="G228" s="73">
        <v>-26732</v>
      </c>
      <c r="H228" s="73">
        <v>18481</v>
      </c>
      <c r="I228" s="73">
        <v>1232</v>
      </c>
      <c r="J228" s="73">
        <v>269</v>
      </c>
      <c r="K228" s="73">
        <v>0</v>
      </c>
      <c r="L228" s="73">
        <v>0</v>
      </c>
      <c r="M228" s="73">
        <v>293</v>
      </c>
      <c r="N228" s="73">
        <v>-9561</v>
      </c>
      <c r="O228" s="73">
        <v>0</v>
      </c>
      <c r="P228" s="73">
        <v>-313</v>
      </c>
      <c r="Q228" s="73">
        <v>0</v>
      </c>
      <c r="R228" s="73">
        <v>0</v>
      </c>
      <c r="S228" s="73">
        <v>10401</v>
      </c>
      <c r="T228" s="73">
        <v>0</v>
      </c>
      <c r="U228" s="73">
        <v>10401</v>
      </c>
      <c r="V228" s="73">
        <v>0</v>
      </c>
      <c r="W228" s="73">
        <v>-726</v>
      </c>
      <c r="X228" s="73">
        <v>-210</v>
      </c>
      <c r="Y228" s="73">
        <v>0</v>
      </c>
      <c r="Z228" s="73">
        <v>9465</v>
      </c>
      <c r="AA228" s="73">
        <v>42265</v>
      </c>
      <c r="AB228" s="73">
        <v>904</v>
      </c>
      <c r="AC228" s="73">
        <v>43169</v>
      </c>
      <c r="AD228" s="73">
        <v>780</v>
      </c>
      <c r="AE228" s="73">
        <v>0</v>
      </c>
      <c r="AF228" s="73">
        <v>0</v>
      </c>
      <c r="AG228" s="73">
        <v>35</v>
      </c>
      <c r="AH228" s="73">
        <v>43984</v>
      </c>
      <c r="AI228" s="73">
        <v>5926</v>
      </c>
      <c r="AJ228" s="73">
        <v>2610</v>
      </c>
      <c r="AK228" s="73">
        <v>9251</v>
      </c>
      <c r="AL228" s="73">
        <v>4021</v>
      </c>
      <c r="AM228" s="73">
        <v>0</v>
      </c>
      <c r="AN228" s="73">
        <v>208</v>
      </c>
      <c r="AO228" s="73">
        <v>4097</v>
      </c>
      <c r="AP228" s="73">
        <v>0</v>
      </c>
      <c r="AQ228" s="73">
        <v>6</v>
      </c>
      <c r="AR228" s="73">
        <v>26119</v>
      </c>
      <c r="AS228" s="73">
        <v>17865</v>
      </c>
      <c r="AT228" s="73">
        <v>341</v>
      </c>
      <c r="AU228" s="73">
        <v>352876</v>
      </c>
      <c r="AV228" s="73">
        <v>0</v>
      </c>
      <c r="AW228" s="73">
        <v>939</v>
      </c>
      <c r="AX228" s="73">
        <v>0</v>
      </c>
      <c r="AY228" s="73">
        <v>0</v>
      </c>
      <c r="AZ228" s="73">
        <v>0</v>
      </c>
      <c r="BA228" s="73">
        <v>0</v>
      </c>
      <c r="BB228" s="73">
        <v>0</v>
      </c>
      <c r="BC228" s="73">
        <v>1772</v>
      </c>
      <c r="BD228" s="73">
        <v>2382</v>
      </c>
      <c r="BE228" s="73">
        <v>357969</v>
      </c>
      <c r="BF228" s="73">
        <v>13235</v>
      </c>
      <c r="BG228" s="73">
        <v>1217</v>
      </c>
      <c r="BH228" s="73">
        <v>0</v>
      </c>
      <c r="BI228" s="73">
        <v>0</v>
      </c>
      <c r="BJ228" s="73">
        <v>8349</v>
      </c>
      <c r="BK228" s="73">
        <v>22801</v>
      </c>
      <c r="BL228" s="73">
        <v>6635</v>
      </c>
      <c r="BM228" s="73">
        <v>40</v>
      </c>
      <c r="BN228" s="73">
        <v>883</v>
      </c>
      <c r="BO228" s="73">
        <v>13791</v>
      </c>
      <c r="BP228" s="73">
        <v>21349</v>
      </c>
      <c r="BQ228" s="73">
        <v>1452</v>
      </c>
      <c r="BR228" s="73">
        <v>359421</v>
      </c>
      <c r="BS228" s="73">
        <v>0</v>
      </c>
      <c r="BT228" s="73">
        <v>190386</v>
      </c>
      <c r="BU228" s="73">
        <v>0</v>
      </c>
      <c r="BV228" s="73">
        <v>79325</v>
      </c>
      <c r="BW228" s="73">
        <v>0</v>
      </c>
      <c r="BX228" s="73">
        <v>12943</v>
      </c>
      <c r="BY228" s="73">
        <v>610</v>
      </c>
      <c r="BZ228" s="73">
        <v>283264</v>
      </c>
      <c r="CA228" s="73">
        <v>9027</v>
      </c>
      <c r="CB228" s="73">
        <v>0</v>
      </c>
      <c r="CC228" s="73">
        <v>67130</v>
      </c>
      <c r="CD228" s="73">
        <v>80003</v>
      </c>
      <c r="CE228" s="73">
        <v>0</v>
      </c>
      <c r="CF228" s="73">
        <v>0</v>
      </c>
      <c r="CG228" s="73">
        <v>-12873</v>
      </c>
      <c r="CH228" s="73">
        <v>0</v>
      </c>
      <c r="CI228" s="73">
        <v>67130</v>
      </c>
      <c r="CJ228" s="73">
        <v>3180</v>
      </c>
      <c r="CK228" s="73">
        <v>2425</v>
      </c>
      <c r="CL228" s="73">
        <v>0</v>
      </c>
      <c r="CM228" s="73">
        <v>755</v>
      </c>
      <c r="CN228" s="73">
        <v>0</v>
      </c>
      <c r="CO228" s="73">
        <v>0</v>
      </c>
      <c r="CP228" s="73">
        <v>4</v>
      </c>
      <c r="CQ228" s="73">
        <v>-4</v>
      </c>
      <c r="CR228" s="73">
        <v>0</v>
      </c>
      <c r="CS228" s="73">
        <v>0</v>
      </c>
      <c r="CT228" s="73">
        <v>131</v>
      </c>
      <c r="CU228" s="73">
        <v>-131</v>
      </c>
      <c r="CV228" s="73">
        <v>0</v>
      </c>
      <c r="CW228" s="73">
        <v>0</v>
      </c>
      <c r="CX228" s="73">
        <v>280</v>
      </c>
      <c r="CY228" s="73">
        <v>-280</v>
      </c>
      <c r="CZ228" s="73">
        <v>0</v>
      </c>
      <c r="DA228" s="73">
        <v>0</v>
      </c>
      <c r="DB228" s="73">
        <v>0</v>
      </c>
      <c r="DC228" s="73">
        <v>0</v>
      </c>
      <c r="DD228" s="73">
        <v>3180</v>
      </c>
      <c r="DE228" s="73">
        <v>2425</v>
      </c>
      <c r="DF228" s="73">
        <v>415</v>
      </c>
      <c r="DG228" s="73">
        <v>340</v>
      </c>
      <c r="DH228" s="73">
        <v>0</v>
      </c>
      <c r="DI228" s="73">
        <v>0</v>
      </c>
      <c r="DJ228" s="73">
        <v>0</v>
      </c>
      <c r="DK228" s="73">
        <v>0</v>
      </c>
      <c r="DL228" s="73">
        <v>0</v>
      </c>
      <c r="DM228" s="73">
        <v>0</v>
      </c>
      <c r="DN228" s="73">
        <v>0</v>
      </c>
      <c r="DO228" s="73">
        <v>0</v>
      </c>
      <c r="DP228" s="73">
        <v>0</v>
      </c>
      <c r="DQ228" s="73">
        <v>0</v>
      </c>
      <c r="DR228" s="73">
        <v>0</v>
      </c>
      <c r="DS228" s="73">
        <v>0</v>
      </c>
      <c r="DT228" s="73">
        <v>0</v>
      </c>
      <c r="DU228" s="73">
        <v>0</v>
      </c>
      <c r="DV228" s="73">
        <v>34</v>
      </c>
      <c r="DW228" s="73">
        <v>-34</v>
      </c>
      <c r="DX228" s="73">
        <v>0</v>
      </c>
      <c r="DY228" s="73">
        <v>0</v>
      </c>
      <c r="DZ228" s="73">
        <v>0</v>
      </c>
      <c r="EA228" s="73">
        <v>0</v>
      </c>
      <c r="EB228" s="73">
        <v>474</v>
      </c>
      <c r="EC228" s="73">
        <v>0</v>
      </c>
      <c r="ED228" s="73">
        <v>164</v>
      </c>
      <c r="EE228" s="73">
        <v>310</v>
      </c>
      <c r="EF228" s="73">
        <v>474</v>
      </c>
      <c r="EG228" s="73">
        <v>0</v>
      </c>
      <c r="EH228" s="73">
        <v>198</v>
      </c>
      <c r="EI228" s="73">
        <v>276</v>
      </c>
      <c r="EJ228" s="73">
        <v>3654</v>
      </c>
      <c r="EK228" s="73">
        <v>2425</v>
      </c>
      <c r="EL228" s="73">
        <v>613</v>
      </c>
      <c r="EM228" s="73">
        <v>616</v>
      </c>
      <c r="EN228" s="73">
        <v>1284</v>
      </c>
      <c r="EO228" s="73">
        <v>386</v>
      </c>
      <c r="EP228" s="73">
        <v>321</v>
      </c>
      <c r="EQ228" s="73">
        <v>386</v>
      </c>
      <c r="ER228" s="73">
        <v>339948</v>
      </c>
      <c r="ES228" s="73">
        <v>0</v>
      </c>
      <c r="ET228" s="73">
        <v>339948</v>
      </c>
      <c r="EU228" s="73">
        <v>43832</v>
      </c>
      <c r="EV228" s="73">
        <v>-688</v>
      </c>
      <c r="EW228" s="73">
        <v>0</v>
      </c>
      <c r="EX228" s="73">
        <v>-10</v>
      </c>
      <c r="EY228" s="73">
        <v>-215</v>
      </c>
      <c r="EZ228" s="73">
        <v>382867</v>
      </c>
      <c r="FA228" s="73">
        <v>26110</v>
      </c>
      <c r="FB228" s="73">
        <v>4002</v>
      </c>
      <c r="FC228" s="73">
        <v>0</v>
      </c>
      <c r="FD228" s="73">
        <v>0</v>
      </c>
      <c r="FE228" s="73">
        <v>0</v>
      </c>
      <c r="FF228" s="73">
        <v>0</v>
      </c>
      <c r="FG228" s="73">
        <v>-121</v>
      </c>
      <c r="FH228" s="73">
        <v>29991</v>
      </c>
      <c r="FI228" s="73">
        <v>352876</v>
      </c>
      <c r="FJ228" s="73">
        <v>313838</v>
      </c>
      <c r="FK228" s="73">
        <v>760</v>
      </c>
      <c r="FL228" s="73">
        <v>557</v>
      </c>
      <c r="FM228" s="73">
        <v>203</v>
      </c>
      <c r="FN228" s="73">
        <v>921</v>
      </c>
      <c r="FO228" s="73">
        <v>118</v>
      </c>
      <c r="FP228" s="73">
        <v>803</v>
      </c>
      <c r="FQ228" s="73">
        <v>0</v>
      </c>
      <c r="FR228" s="73">
        <v>0</v>
      </c>
      <c r="FS228" s="73">
        <v>0</v>
      </c>
      <c r="FT228" s="73">
        <v>0</v>
      </c>
      <c r="FU228" s="73">
        <v>0</v>
      </c>
      <c r="FV228" s="73">
        <v>0</v>
      </c>
      <c r="FW228" s="73">
        <v>250</v>
      </c>
      <c r="FX228" s="73">
        <v>41</v>
      </c>
      <c r="FY228" s="73">
        <v>209</v>
      </c>
      <c r="FZ228" s="73">
        <v>18</v>
      </c>
      <c r="GA228" s="73">
        <v>1</v>
      </c>
      <c r="GB228" s="73">
        <v>17</v>
      </c>
      <c r="GC228" s="73">
        <v>1949</v>
      </c>
      <c r="GD228" s="73">
        <v>717</v>
      </c>
      <c r="GE228" s="73">
        <v>1232</v>
      </c>
      <c r="GF228" s="73">
        <v>8349</v>
      </c>
      <c r="GG228" s="73">
        <v>0</v>
      </c>
      <c r="GH228" s="73">
        <v>0</v>
      </c>
      <c r="GI228" s="73">
        <v>0</v>
      </c>
      <c r="GJ228" s="73">
        <v>0</v>
      </c>
      <c r="GK228" s="73">
        <v>0</v>
      </c>
      <c r="GL228" s="73">
        <v>8349</v>
      </c>
      <c r="GM228" s="73">
        <v>58</v>
      </c>
      <c r="GN228" s="73">
        <v>646</v>
      </c>
      <c r="GO228" s="73">
        <v>7032</v>
      </c>
      <c r="GP228" s="73">
        <v>0</v>
      </c>
      <c r="GQ228" s="73">
        <v>0</v>
      </c>
      <c r="GR228" s="73">
        <v>2562</v>
      </c>
      <c r="GS228" s="73">
        <v>0</v>
      </c>
      <c r="GT228" s="73">
        <v>0</v>
      </c>
      <c r="GU228" s="73">
        <v>0</v>
      </c>
      <c r="GV228" s="73">
        <v>0</v>
      </c>
      <c r="GW228" s="73">
        <v>3493</v>
      </c>
      <c r="GX228" s="73">
        <v>13791</v>
      </c>
      <c r="GY228" s="73">
        <v>141</v>
      </c>
      <c r="GZ228" s="73">
        <v>0</v>
      </c>
      <c r="HA228" s="73">
        <v>0</v>
      </c>
      <c r="HB228" s="73">
        <v>469</v>
      </c>
      <c r="HC228" s="73">
        <v>610</v>
      </c>
      <c r="HD228" s="73">
        <v>0</v>
      </c>
      <c r="HE228" s="73">
        <v>0</v>
      </c>
      <c r="HF228" s="73">
        <v>0</v>
      </c>
      <c r="HG228" s="73">
        <v>10555</v>
      </c>
      <c r="HH228" s="73">
        <v>14</v>
      </c>
      <c r="HI228" s="73">
        <v>287</v>
      </c>
      <c r="HJ228" s="73">
        <v>0</v>
      </c>
      <c r="HK228" s="73">
        <v>0</v>
      </c>
      <c r="HL228" s="73">
        <v>-1295</v>
      </c>
      <c r="HM228" s="73">
        <v>9561</v>
      </c>
      <c r="HN228" s="73">
        <v>4136</v>
      </c>
      <c r="HO228" s="73">
        <v>4102</v>
      </c>
      <c r="HP228" s="73">
        <v>0</v>
      </c>
      <c r="HQ228" s="73">
        <v>57</v>
      </c>
      <c r="HR228" s="73">
        <v>-7</v>
      </c>
      <c r="HS228" s="73">
        <v>-6</v>
      </c>
      <c r="HT228" s="73">
        <v>7339</v>
      </c>
      <c r="HU228" s="73">
        <v>0</v>
      </c>
      <c r="HV228" s="73">
        <v>0</v>
      </c>
      <c r="HW228" s="73">
        <v>0</v>
      </c>
      <c r="HX228" s="73">
        <v>0</v>
      </c>
    </row>
    <row r="229" spans="1:232" x14ac:dyDescent="0.2">
      <c r="A229" s="74" t="s">
        <v>157</v>
      </c>
      <c r="B229" s="74" t="s">
        <v>156</v>
      </c>
      <c r="C229" s="75" t="s">
        <v>200</v>
      </c>
      <c r="D229" s="75">
        <v>12</v>
      </c>
      <c r="E229" s="76">
        <v>5839</v>
      </c>
      <c r="F229" s="76">
        <v>0</v>
      </c>
      <c r="G229" s="76">
        <v>-2864</v>
      </c>
      <c r="H229" s="76">
        <v>2975</v>
      </c>
      <c r="I229" s="76">
        <v>83</v>
      </c>
      <c r="J229" s="76">
        <v>0</v>
      </c>
      <c r="K229" s="76">
        <v>0</v>
      </c>
      <c r="L229" s="76">
        <v>0</v>
      </c>
      <c r="M229" s="76">
        <v>37</v>
      </c>
      <c r="N229" s="76">
        <v>-1597</v>
      </c>
      <c r="O229" s="76">
        <v>0</v>
      </c>
      <c r="P229" s="76">
        <v>0</v>
      </c>
      <c r="Q229" s="76">
        <v>0</v>
      </c>
      <c r="R229" s="76">
        <v>0</v>
      </c>
      <c r="S229" s="76">
        <v>1498</v>
      </c>
      <c r="T229" s="76">
        <v>0</v>
      </c>
      <c r="U229" s="76">
        <v>1498</v>
      </c>
      <c r="V229" s="76">
        <v>0</v>
      </c>
      <c r="W229" s="76">
        <v>-27</v>
      </c>
      <c r="X229" s="76">
        <v>0</v>
      </c>
      <c r="Y229" s="76">
        <v>0</v>
      </c>
      <c r="Z229" s="76">
        <v>1471</v>
      </c>
      <c r="AA229" s="76">
        <v>5241</v>
      </c>
      <c r="AB229" s="76">
        <v>192</v>
      </c>
      <c r="AC229" s="76">
        <v>5433</v>
      </c>
      <c r="AD229" s="76">
        <v>406</v>
      </c>
      <c r="AE229" s="76">
        <v>0</v>
      </c>
      <c r="AF229" s="76">
        <v>0</v>
      </c>
      <c r="AG229" s="76">
        <v>0</v>
      </c>
      <c r="AH229" s="76">
        <v>5839</v>
      </c>
      <c r="AI229" s="76">
        <v>643</v>
      </c>
      <c r="AJ229" s="76">
        <v>141</v>
      </c>
      <c r="AK229" s="76">
        <v>571</v>
      </c>
      <c r="AL229" s="76">
        <v>203</v>
      </c>
      <c r="AM229" s="76">
        <v>96</v>
      </c>
      <c r="AN229" s="76">
        <v>43</v>
      </c>
      <c r="AO229" s="76">
        <v>1167</v>
      </c>
      <c r="AP229" s="76">
        <v>0</v>
      </c>
      <c r="AQ229" s="76">
        <v>0</v>
      </c>
      <c r="AR229" s="76">
        <v>2864</v>
      </c>
      <c r="AS229" s="76">
        <v>2975</v>
      </c>
      <c r="AT229" s="76">
        <v>71</v>
      </c>
      <c r="AU229" s="76">
        <v>63635</v>
      </c>
      <c r="AV229" s="76">
        <v>0</v>
      </c>
      <c r="AW229" s="76">
        <v>466</v>
      </c>
      <c r="AX229" s="76">
        <v>0</v>
      </c>
      <c r="AY229" s="76">
        <v>0</v>
      </c>
      <c r="AZ229" s="76">
        <v>0</v>
      </c>
      <c r="BA229" s="76">
        <v>0</v>
      </c>
      <c r="BB229" s="76">
        <v>0</v>
      </c>
      <c r="BC229" s="76">
        <v>0</v>
      </c>
      <c r="BD229" s="76">
        <v>0</v>
      </c>
      <c r="BE229" s="76">
        <v>64101</v>
      </c>
      <c r="BF229" s="76">
        <v>0</v>
      </c>
      <c r="BG229" s="76">
        <v>3</v>
      </c>
      <c r="BH229" s="76">
        <v>5449</v>
      </c>
      <c r="BI229" s="76">
        <v>0</v>
      </c>
      <c r="BJ229" s="76">
        <v>458</v>
      </c>
      <c r="BK229" s="76">
        <v>5910</v>
      </c>
      <c r="BL229" s="76">
        <v>399</v>
      </c>
      <c r="BM229" s="76">
        <v>0</v>
      </c>
      <c r="BN229" s="76">
        <v>406</v>
      </c>
      <c r="BO229" s="76">
        <v>1048</v>
      </c>
      <c r="BP229" s="76">
        <v>1853</v>
      </c>
      <c r="BQ229" s="76">
        <v>4057</v>
      </c>
      <c r="BR229" s="76">
        <v>68158</v>
      </c>
      <c r="BS229" s="76">
        <v>27144</v>
      </c>
      <c r="BT229" s="76">
        <v>0</v>
      </c>
      <c r="BU229" s="76">
        <v>0</v>
      </c>
      <c r="BV229" s="76">
        <v>32390</v>
      </c>
      <c r="BW229" s="76">
        <v>0</v>
      </c>
      <c r="BX229" s="76">
        <v>0</v>
      </c>
      <c r="BY229" s="76">
        <v>193</v>
      </c>
      <c r="BZ229" s="76">
        <v>59727</v>
      </c>
      <c r="CA229" s="76">
        <v>976</v>
      </c>
      <c r="CB229" s="76">
        <v>121</v>
      </c>
      <c r="CC229" s="76">
        <v>7334</v>
      </c>
      <c r="CD229" s="76">
        <v>7334</v>
      </c>
      <c r="CE229" s="76">
        <v>0</v>
      </c>
      <c r="CF229" s="76">
        <v>0</v>
      </c>
      <c r="CG229" s="76">
        <v>0</v>
      </c>
      <c r="CH229" s="76">
        <v>0</v>
      </c>
      <c r="CI229" s="76">
        <v>7334</v>
      </c>
      <c r="CJ229" s="76">
        <v>0</v>
      </c>
      <c r="CK229" s="76">
        <v>0</v>
      </c>
      <c r="CL229" s="76">
        <v>0</v>
      </c>
      <c r="CM229" s="76">
        <v>0</v>
      </c>
      <c r="CN229" s="76">
        <v>0</v>
      </c>
      <c r="CO229" s="76">
        <v>0</v>
      </c>
      <c r="CP229" s="76">
        <v>0</v>
      </c>
      <c r="CQ229" s="76">
        <v>0</v>
      </c>
      <c r="CR229" s="76">
        <v>0</v>
      </c>
      <c r="CS229" s="76">
        <v>0</v>
      </c>
      <c r="CT229" s="76">
        <v>0</v>
      </c>
      <c r="CU229" s="76">
        <v>0</v>
      </c>
      <c r="CV229" s="76">
        <v>0</v>
      </c>
      <c r="CW229" s="76">
        <v>0</v>
      </c>
      <c r="CX229" s="76">
        <v>0</v>
      </c>
      <c r="CY229" s="76">
        <v>0</v>
      </c>
      <c r="CZ229" s="76">
        <v>0</v>
      </c>
      <c r="DA229" s="76">
        <v>0</v>
      </c>
      <c r="DB229" s="76">
        <v>0</v>
      </c>
      <c r="DC229" s="76">
        <v>0</v>
      </c>
      <c r="DD229" s="76">
        <v>0</v>
      </c>
      <c r="DE229" s="76">
        <v>0</v>
      </c>
      <c r="DF229" s="76">
        <v>0</v>
      </c>
      <c r="DG229" s="76">
        <v>0</v>
      </c>
      <c r="DH229" s="76">
        <v>0</v>
      </c>
      <c r="DI229" s="76">
        <v>0</v>
      </c>
      <c r="DJ229" s="76">
        <v>0</v>
      </c>
      <c r="DK229" s="76">
        <v>0</v>
      </c>
      <c r="DL229" s="76">
        <v>0</v>
      </c>
      <c r="DM229" s="76">
        <v>0</v>
      </c>
      <c r="DN229" s="76">
        <v>0</v>
      </c>
      <c r="DO229" s="76">
        <v>0</v>
      </c>
      <c r="DP229" s="76">
        <v>0</v>
      </c>
      <c r="DQ229" s="76">
        <v>0</v>
      </c>
      <c r="DR229" s="76">
        <v>0</v>
      </c>
      <c r="DS229" s="76">
        <v>0</v>
      </c>
      <c r="DT229" s="76">
        <v>0</v>
      </c>
      <c r="DU229" s="76">
        <v>0</v>
      </c>
      <c r="DV229" s="76">
        <v>0</v>
      </c>
      <c r="DW229" s="76">
        <v>0</v>
      </c>
      <c r="DX229" s="76">
        <v>0</v>
      </c>
      <c r="DY229" s="76">
        <v>0</v>
      </c>
      <c r="DZ229" s="76">
        <v>0</v>
      </c>
      <c r="EA229" s="76">
        <v>0</v>
      </c>
      <c r="EB229" s="76">
        <v>0</v>
      </c>
      <c r="EC229" s="76">
        <v>0</v>
      </c>
      <c r="ED229" s="76">
        <v>0</v>
      </c>
      <c r="EE229" s="76">
        <v>0</v>
      </c>
      <c r="EF229" s="76">
        <v>0</v>
      </c>
      <c r="EG229" s="76">
        <v>0</v>
      </c>
      <c r="EH229" s="76">
        <v>0</v>
      </c>
      <c r="EI229" s="76">
        <v>0</v>
      </c>
      <c r="EJ229" s="76">
        <v>0</v>
      </c>
      <c r="EK229" s="76">
        <v>0</v>
      </c>
      <c r="EL229" s="76">
        <v>0</v>
      </c>
      <c r="EM229" s="76">
        <v>0</v>
      </c>
      <c r="EN229" s="76">
        <v>340</v>
      </c>
      <c r="EO229" s="76">
        <v>109</v>
      </c>
      <c r="EP229" s="76">
        <v>74</v>
      </c>
      <c r="EQ229" s="76">
        <v>109</v>
      </c>
      <c r="ER229" s="76">
        <v>77217</v>
      </c>
      <c r="ES229" s="76">
        <v>0</v>
      </c>
      <c r="ET229" s="76">
        <v>77217</v>
      </c>
      <c r="EU229" s="76">
        <v>803</v>
      </c>
      <c r="EV229" s="76">
        <v>-471</v>
      </c>
      <c r="EW229" s="76">
        <v>0</v>
      </c>
      <c r="EX229" s="76">
        <v>0</v>
      </c>
      <c r="EY229" s="76">
        <v>0</v>
      </c>
      <c r="EZ229" s="76">
        <v>77549</v>
      </c>
      <c r="FA229" s="76">
        <v>12979</v>
      </c>
      <c r="FB229" s="76">
        <v>1167</v>
      </c>
      <c r="FC229" s="76">
        <v>0</v>
      </c>
      <c r="FD229" s="76">
        <v>0</v>
      </c>
      <c r="FE229" s="76">
        <v>-232</v>
      </c>
      <c r="FF229" s="76">
        <v>0</v>
      </c>
      <c r="FG229" s="76">
        <v>0</v>
      </c>
      <c r="FH229" s="76">
        <v>13914</v>
      </c>
      <c r="FI229" s="76">
        <v>63635</v>
      </c>
      <c r="FJ229" s="76">
        <v>64238</v>
      </c>
      <c r="FK229" s="76">
        <v>0</v>
      </c>
      <c r="FL229" s="76">
        <v>0</v>
      </c>
      <c r="FM229" s="76">
        <v>0</v>
      </c>
      <c r="FN229" s="76">
        <v>0</v>
      </c>
      <c r="FO229" s="76">
        <v>0</v>
      </c>
      <c r="FP229" s="76">
        <v>0</v>
      </c>
      <c r="FQ229" s="76">
        <v>0</v>
      </c>
      <c r="FR229" s="76">
        <v>0</v>
      </c>
      <c r="FS229" s="76">
        <v>0</v>
      </c>
      <c r="FT229" s="76">
        <v>268</v>
      </c>
      <c r="FU229" s="76">
        <v>185</v>
      </c>
      <c r="FV229" s="76">
        <v>83</v>
      </c>
      <c r="FW229" s="76">
        <v>0</v>
      </c>
      <c r="FX229" s="76">
        <v>0</v>
      </c>
      <c r="FY229" s="76">
        <v>0</v>
      </c>
      <c r="FZ229" s="76">
        <v>0</v>
      </c>
      <c r="GA229" s="76">
        <v>0</v>
      </c>
      <c r="GB229" s="76">
        <v>0</v>
      </c>
      <c r="GC229" s="76">
        <v>268</v>
      </c>
      <c r="GD229" s="76">
        <v>185</v>
      </c>
      <c r="GE229" s="76">
        <v>83</v>
      </c>
      <c r="GF229" s="76">
        <v>148</v>
      </c>
      <c r="GG229" s="76">
        <v>0</v>
      </c>
      <c r="GH229" s="76">
        <v>0</v>
      </c>
      <c r="GI229" s="76">
        <v>0</v>
      </c>
      <c r="GJ229" s="76">
        <v>0</v>
      </c>
      <c r="GK229" s="76">
        <v>310</v>
      </c>
      <c r="GL229" s="76">
        <v>458</v>
      </c>
      <c r="GM229" s="76">
        <v>0</v>
      </c>
      <c r="GN229" s="76">
        <v>175</v>
      </c>
      <c r="GO229" s="76">
        <v>116</v>
      </c>
      <c r="GP229" s="76">
        <v>0</v>
      </c>
      <c r="GQ229" s="76">
        <v>0</v>
      </c>
      <c r="GR229" s="76">
        <v>502</v>
      </c>
      <c r="GS229" s="76">
        <v>0</v>
      </c>
      <c r="GT229" s="76">
        <v>0</v>
      </c>
      <c r="GU229" s="76">
        <v>0</v>
      </c>
      <c r="GV229" s="76">
        <v>0</v>
      </c>
      <c r="GW229" s="76">
        <v>255</v>
      </c>
      <c r="GX229" s="76">
        <v>1048</v>
      </c>
      <c r="GY229" s="76">
        <v>109</v>
      </c>
      <c r="GZ229" s="76">
        <v>0</v>
      </c>
      <c r="HA229" s="76">
        <v>0</v>
      </c>
      <c r="HB229" s="76">
        <v>84</v>
      </c>
      <c r="HC229" s="76">
        <v>193</v>
      </c>
      <c r="HD229" s="76">
        <v>95</v>
      </c>
      <c r="HE229" s="76">
        <v>26</v>
      </c>
      <c r="HF229" s="76">
        <v>121</v>
      </c>
      <c r="HG229" s="76">
        <v>1558</v>
      </c>
      <c r="HH229" s="76">
        <v>18</v>
      </c>
      <c r="HI229" s="76">
        <v>21</v>
      </c>
      <c r="HJ229" s="76">
        <v>0</v>
      </c>
      <c r="HK229" s="76">
        <v>0</v>
      </c>
      <c r="HL229" s="76">
        <v>0</v>
      </c>
      <c r="HM229" s="76">
        <v>1597</v>
      </c>
      <c r="HN229" s="76">
        <v>803</v>
      </c>
      <c r="HO229" s="76">
        <v>1167</v>
      </c>
      <c r="HP229" s="76">
        <v>0</v>
      </c>
      <c r="HQ229" s="76">
        <v>12</v>
      </c>
      <c r="HR229" s="76">
        <v>-4</v>
      </c>
      <c r="HS229" s="76">
        <v>0</v>
      </c>
      <c r="HT229" s="76">
        <v>1094</v>
      </c>
      <c r="HU229" s="76">
        <v>0</v>
      </c>
      <c r="HV229" s="76">
        <v>0</v>
      </c>
      <c r="HW229" s="76">
        <v>0</v>
      </c>
      <c r="HX229" s="76">
        <v>0</v>
      </c>
    </row>
    <row r="230" spans="1:232" x14ac:dyDescent="0.2">
      <c r="A230" s="71" t="s">
        <v>645</v>
      </c>
      <c r="B230" s="71" t="s">
        <v>644</v>
      </c>
      <c r="C230" s="72" t="s">
        <v>200</v>
      </c>
      <c r="D230" s="72">
        <v>12</v>
      </c>
      <c r="E230" s="73">
        <v>31064</v>
      </c>
      <c r="F230" s="73">
        <v>-95</v>
      </c>
      <c r="G230" s="73">
        <v>-17163</v>
      </c>
      <c r="H230" s="73">
        <v>13806</v>
      </c>
      <c r="I230" s="73">
        <v>4886</v>
      </c>
      <c r="J230" s="73">
        <v>0</v>
      </c>
      <c r="K230" s="73">
        <v>0</v>
      </c>
      <c r="L230" s="73">
        <v>0</v>
      </c>
      <c r="M230" s="73">
        <v>709</v>
      </c>
      <c r="N230" s="73">
        <v>-9039</v>
      </c>
      <c r="O230" s="73">
        <v>0</v>
      </c>
      <c r="P230" s="73">
        <v>0</v>
      </c>
      <c r="Q230" s="73">
        <v>0</v>
      </c>
      <c r="R230" s="73">
        <v>0</v>
      </c>
      <c r="S230" s="73">
        <v>10362</v>
      </c>
      <c r="T230" s="73">
        <v>0</v>
      </c>
      <c r="U230" s="73">
        <v>10362</v>
      </c>
      <c r="V230" s="73">
        <v>0</v>
      </c>
      <c r="W230" s="73">
        <v>-5033</v>
      </c>
      <c r="X230" s="73">
        <v>0</v>
      </c>
      <c r="Y230" s="73">
        <v>0</v>
      </c>
      <c r="Z230" s="73">
        <v>5329</v>
      </c>
      <c r="AA230" s="73">
        <v>27953</v>
      </c>
      <c r="AB230" s="73">
        <v>1357</v>
      </c>
      <c r="AC230" s="73">
        <v>29310</v>
      </c>
      <c r="AD230" s="73">
        <v>358</v>
      </c>
      <c r="AE230" s="73">
        <v>0</v>
      </c>
      <c r="AF230" s="73">
        <v>0</v>
      </c>
      <c r="AG230" s="73">
        <v>0</v>
      </c>
      <c r="AH230" s="73">
        <v>29668</v>
      </c>
      <c r="AI230" s="73">
        <v>5559</v>
      </c>
      <c r="AJ230" s="73">
        <v>1357</v>
      </c>
      <c r="AK230" s="73">
        <v>5324</v>
      </c>
      <c r="AL230" s="73">
        <v>311</v>
      </c>
      <c r="AM230" s="73">
        <v>363</v>
      </c>
      <c r="AN230" s="73">
        <v>256</v>
      </c>
      <c r="AO230" s="73">
        <v>2686</v>
      </c>
      <c r="AP230" s="73">
        <v>0</v>
      </c>
      <c r="AQ230" s="73">
        <v>58</v>
      </c>
      <c r="AR230" s="73">
        <v>15914</v>
      </c>
      <c r="AS230" s="73">
        <v>13754</v>
      </c>
      <c r="AT230" s="73">
        <v>256</v>
      </c>
      <c r="AU230" s="73">
        <v>232682</v>
      </c>
      <c r="AV230" s="73">
        <v>0</v>
      </c>
      <c r="AW230" s="73">
        <v>2970</v>
      </c>
      <c r="AX230" s="73">
        <v>0</v>
      </c>
      <c r="AY230" s="73">
        <v>0</v>
      </c>
      <c r="AZ230" s="73">
        <v>0</v>
      </c>
      <c r="BA230" s="73">
        <v>0</v>
      </c>
      <c r="BB230" s="73">
        <v>0</v>
      </c>
      <c r="BC230" s="73">
        <v>0</v>
      </c>
      <c r="BD230" s="73">
        <v>0</v>
      </c>
      <c r="BE230" s="73">
        <v>235652</v>
      </c>
      <c r="BF230" s="73">
        <v>61</v>
      </c>
      <c r="BG230" s="73">
        <v>2287</v>
      </c>
      <c r="BH230" s="73">
        <v>10648</v>
      </c>
      <c r="BI230" s="73">
        <v>25000</v>
      </c>
      <c r="BJ230" s="73">
        <v>5796</v>
      </c>
      <c r="BK230" s="73">
        <v>43792</v>
      </c>
      <c r="BL230" s="73">
        <v>0</v>
      </c>
      <c r="BM230" s="73">
        <v>0</v>
      </c>
      <c r="BN230" s="73">
        <v>0</v>
      </c>
      <c r="BO230" s="73">
        <v>8128</v>
      </c>
      <c r="BP230" s="73">
        <v>8128</v>
      </c>
      <c r="BQ230" s="73">
        <v>35664</v>
      </c>
      <c r="BR230" s="73">
        <v>271316</v>
      </c>
      <c r="BS230" s="73">
        <v>165909</v>
      </c>
      <c r="BT230" s="73">
        <v>0</v>
      </c>
      <c r="BU230" s="73">
        <v>0</v>
      </c>
      <c r="BV230" s="73">
        <v>35988</v>
      </c>
      <c r="BW230" s="73">
        <v>0</v>
      </c>
      <c r="BX230" s="73">
        <v>0</v>
      </c>
      <c r="BY230" s="73">
        <v>1740</v>
      </c>
      <c r="BZ230" s="73">
        <v>203637</v>
      </c>
      <c r="CA230" s="73">
        <v>10186</v>
      </c>
      <c r="CB230" s="73">
        <v>974</v>
      </c>
      <c r="CC230" s="73">
        <v>56519</v>
      </c>
      <c r="CD230" s="73">
        <v>56519</v>
      </c>
      <c r="CE230" s="73">
        <v>0</v>
      </c>
      <c r="CF230" s="73">
        <v>0</v>
      </c>
      <c r="CG230" s="73">
        <v>0</v>
      </c>
      <c r="CH230" s="73">
        <v>0</v>
      </c>
      <c r="CI230" s="73">
        <v>56519</v>
      </c>
      <c r="CJ230" s="73">
        <v>95</v>
      </c>
      <c r="CK230" s="73">
        <v>95</v>
      </c>
      <c r="CL230" s="73">
        <v>0</v>
      </c>
      <c r="CM230" s="73">
        <v>0</v>
      </c>
      <c r="CN230" s="73">
        <v>186</v>
      </c>
      <c r="CO230" s="73">
        <v>0</v>
      </c>
      <c r="CP230" s="73">
        <v>186</v>
      </c>
      <c r="CQ230" s="73">
        <v>0</v>
      </c>
      <c r="CR230" s="73">
        <v>0</v>
      </c>
      <c r="CS230" s="73">
        <v>0</v>
      </c>
      <c r="CT230" s="73">
        <v>0</v>
      </c>
      <c r="CU230" s="73">
        <v>0</v>
      </c>
      <c r="CV230" s="73">
        <v>0</v>
      </c>
      <c r="CW230" s="73">
        <v>0</v>
      </c>
      <c r="CX230" s="73">
        <v>0</v>
      </c>
      <c r="CY230" s="73">
        <v>0</v>
      </c>
      <c r="CZ230" s="73">
        <v>583</v>
      </c>
      <c r="DA230" s="73">
        <v>0</v>
      </c>
      <c r="DB230" s="73">
        <v>598</v>
      </c>
      <c r="DC230" s="73">
        <v>-15</v>
      </c>
      <c r="DD230" s="73">
        <v>864</v>
      </c>
      <c r="DE230" s="73">
        <v>95</v>
      </c>
      <c r="DF230" s="73">
        <v>784</v>
      </c>
      <c r="DG230" s="73">
        <v>-15</v>
      </c>
      <c r="DH230" s="73">
        <v>0</v>
      </c>
      <c r="DI230" s="73">
        <v>0</v>
      </c>
      <c r="DJ230" s="73">
        <v>0</v>
      </c>
      <c r="DK230" s="73">
        <v>0</v>
      </c>
      <c r="DL230" s="73">
        <v>0</v>
      </c>
      <c r="DM230" s="73">
        <v>0</v>
      </c>
      <c r="DN230" s="73">
        <v>0</v>
      </c>
      <c r="DO230" s="73">
        <v>0</v>
      </c>
      <c r="DP230" s="73">
        <v>0</v>
      </c>
      <c r="DQ230" s="73">
        <v>0</v>
      </c>
      <c r="DR230" s="73">
        <v>0</v>
      </c>
      <c r="DS230" s="73">
        <v>0</v>
      </c>
      <c r="DT230" s="73">
        <v>0</v>
      </c>
      <c r="DU230" s="73">
        <v>0</v>
      </c>
      <c r="DV230" s="73">
        <v>0</v>
      </c>
      <c r="DW230" s="73">
        <v>0</v>
      </c>
      <c r="DX230" s="73">
        <v>0</v>
      </c>
      <c r="DY230" s="73">
        <v>0</v>
      </c>
      <c r="DZ230" s="73">
        <v>0</v>
      </c>
      <c r="EA230" s="73">
        <v>0</v>
      </c>
      <c r="EB230" s="73">
        <v>532</v>
      </c>
      <c r="EC230" s="73">
        <v>0</v>
      </c>
      <c r="ED230" s="73">
        <v>465</v>
      </c>
      <c r="EE230" s="73">
        <v>67</v>
      </c>
      <c r="EF230" s="73">
        <v>532</v>
      </c>
      <c r="EG230" s="73">
        <v>0</v>
      </c>
      <c r="EH230" s="73">
        <v>465</v>
      </c>
      <c r="EI230" s="73">
        <v>67</v>
      </c>
      <c r="EJ230" s="73">
        <v>1396</v>
      </c>
      <c r="EK230" s="73">
        <v>95</v>
      </c>
      <c r="EL230" s="73">
        <v>1249</v>
      </c>
      <c r="EM230" s="73">
        <v>52</v>
      </c>
      <c r="EN230" s="73">
        <v>797</v>
      </c>
      <c r="EO230" s="73">
        <v>370</v>
      </c>
      <c r="EP230" s="73">
        <v>554</v>
      </c>
      <c r="EQ230" s="73">
        <v>370</v>
      </c>
      <c r="ER230" s="73">
        <v>222654</v>
      </c>
      <c r="ES230" s="73">
        <v>0</v>
      </c>
      <c r="ET230" s="73">
        <v>222654</v>
      </c>
      <c r="EU230" s="73">
        <v>26215</v>
      </c>
      <c r="EV230" s="73">
        <v>-371</v>
      </c>
      <c r="EW230" s="73">
        <v>0</v>
      </c>
      <c r="EX230" s="73">
        <v>0</v>
      </c>
      <c r="EY230" s="73">
        <v>0</v>
      </c>
      <c r="EZ230" s="73">
        <v>248498</v>
      </c>
      <c r="FA230" s="73">
        <v>13457</v>
      </c>
      <c r="FB230" s="73">
        <v>2359</v>
      </c>
      <c r="FC230" s="73">
        <v>0</v>
      </c>
      <c r="FD230" s="73">
        <v>0</v>
      </c>
      <c r="FE230" s="73">
        <v>0</v>
      </c>
      <c r="FF230" s="73">
        <v>0</v>
      </c>
      <c r="FG230" s="73">
        <v>0</v>
      </c>
      <c r="FH230" s="73">
        <v>15816</v>
      </c>
      <c r="FI230" s="73">
        <v>232682</v>
      </c>
      <c r="FJ230" s="73">
        <v>209197</v>
      </c>
      <c r="FK230" s="73">
        <v>300</v>
      </c>
      <c r="FL230" s="73">
        <v>0</v>
      </c>
      <c r="FM230" s="73">
        <v>300</v>
      </c>
      <c r="FN230" s="73">
        <v>802</v>
      </c>
      <c r="FO230" s="73">
        <v>696</v>
      </c>
      <c r="FP230" s="73">
        <v>106</v>
      </c>
      <c r="FQ230" s="73">
        <v>0</v>
      </c>
      <c r="FR230" s="73">
        <v>0</v>
      </c>
      <c r="FS230" s="73">
        <v>0</v>
      </c>
      <c r="FT230" s="73">
        <v>4536</v>
      </c>
      <c r="FU230" s="73">
        <v>70</v>
      </c>
      <c r="FV230" s="73">
        <v>4466</v>
      </c>
      <c r="FW230" s="73">
        <v>0</v>
      </c>
      <c r="FX230" s="73">
        <v>0</v>
      </c>
      <c r="FY230" s="73">
        <v>0</v>
      </c>
      <c r="FZ230" s="73">
        <v>14</v>
      </c>
      <c r="GA230" s="73">
        <v>0</v>
      </c>
      <c r="GB230" s="73">
        <v>14</v>
      </c>
      <c r="GC230" s="73">
        <v>5652</v>
      </c>
      <c r="GD230" s="73">
        <v>766</v>
      </c>
      <c r="GE230" s="73">
        <v>4886</v>
      </c>
      <c r="GF230" s="73">
        <v>5648</v>
      </c>
      <c r="GG230" s="73">
        <v>0</v>
      </c>
      <c r="GH230" s="73">
        <v>0</v>
      </c>
      <c r="GI230" s="73">
        <v>0</v>
      </c>
      <c r="GJ230" s="73">
        <v>0</v>
      </c>
      <c r="GK230" s="73">
        <v>148</v>
      </c>
      <c r="GL230" s="73">
        <v>5796</v>
      </c>
      <c r="GM230" s="73">
        <v>180</v>
      </c>
      <c r="GN230" s="73">
        <v>454</v>
      </c>
      <c r="GO230" s="73">
        <v>1476</v>
      </c>
      <c r="GP230" s="73">
        <v>0</v>
      </c>
      <c r="GQ230" s="73">
        <v>0</v>
      </c>
      <c r="GR230" s="73">
        <v>4120</v>
      </c>
      <c r="GS230" s="73">
        <v>0</v>
      </c>
      <c r="GT230" s="73">
        <v>0</v>
      </c>
      <c r="GU230" s="73">
        <v>0</v>
      </c>
      <c r="GV230" s="73">
        <v>0</v>
      </c>
      <c r="GW230" s="73">
        <v>1898</v>
      </c>
      <c r="GX230" s="73">
        <v>8128</v>
      </c>
      <c r="GY230" s="73">
        <v>149</v>
      </c>
      <c r="GZ230" s="73">
        <v>0</v>
      </c>
      <c r="HA230" s="73">
        <v>0</v>
      </c>
      <c r="HB230" s="73">
        <v>1591</v>
      </c>
      <c r="HC230" s="73">
        <v>1740</v>
      </c>
      <c r="HD230" s="73">
        <v>0</v>
      </c>
      <c r="HE230" s="73">
        <v>974</v>
      </c>
      <c r="HF230" s="73">
        <v>974</v>
      </c>
      <c r="HG230" s="73">
        <v>8850</v>
      </c>
      <c r="HH230" s="73">
        <v>16</v>
      </c>
      <c r="HI230" s="73">
        <v>173</v>
      </c>
      <c r="HJ230" s="73">
        <v>0</v>
      </c>
      <c r="HK230" s="73">
        <v>0</v>
      </c>
      <c r="HL230" s="73">
        <v>0</v>
      </c>
      <c r="HM230" s="73">
        <v>9039</v>
      </c>
      <c r="HN230" s="73">
        <v>1967</v>
      </c>
      <c r="HO230" s="73">
        <v>2808</v>
      </c>
      <c r="HP230" s="73">
        <v>0</v>
      </c>
      <c r="HQ230" s="73">
        <v>325</v>
      </c>
      <c r="HR230" s="73">
        <v>-47</v>
      </c>
      <c r="HS230" s="73">
        <v>0</v>
      </c>
      <c r="HT230" s="73">
        <v>6009</v>
      </c>
      <c r="HU230" s="73">
        <v>0</v>
      </c>
      <c r="HV230" s="73">
        <v>0</v>
      </c>
      <c r="HW230" s="73">
        <v>0</v>
      </c>
      <c r="HX230" s="73">
        <v>0</v>
      </c>
    </row>
    <row r="231" spans="1:232" x14ac:dyDescent="0.2">
      <c r="A231" s="74" t="s">
        <v>159</v>
      </c>
      <c r="B231" s="74" t="s">
        <v>158</v>
      </c>
      <c r="C231" s="75" t="s">
        <v>200</v>
      </c>
      <c r="D231" s="75">
        <v>12</v>
      </c>
      <c r="E231" s="76">
        <v>47549</v>
      </c>
      <c r="F231" s="76">
        <v>0</v>
      </c>
      <c r="G231" s="76">
        <v>-39046</v>
      </c>
      <c r="H231" s="76">
        <v>8503</v>
      </c>
      <c r="I231" s="76">
        <v>1551</v>
      </c>
      <c r="J231" s="76">
        <v>0</v>
      </c>
      <c r="K231" s="76">
        <v>0</v>
      </c>
      <c r="L231" s="76">
        <v>0</v>
      </c>
      <c r="M231" s="76">
        <v>10</v>
      </c>
      <c r="N231" s="76">
        <v>-1725</v>
      </c>
      <c r="O231" s="76">
        <v>0</v>
      </c>
      <c r="P231" s="76">
        <v>0</v>
      </c>
      <c r="Q231" s="76">
        <v>0</v>
      </c>
      <c r="R231" s="76">
        <v>0</v>
      </c>
      <c r="S231" s="76">
        <v>8339</v>
      </c>
      <c r="T231" s="76">
        <v>0</v>
      </c>
      <c r="U231" s="76">
        <v>8339</v>
      </c>
      <c r="V231" s="76">
        <v>0</v>
      </c>
      <c r="W231" s="76">
        <v>-2391</v>
      </c>
      <c r="X231" s="76">
        <v>0</v>
      </c>
      <c r="Y231" s="76">
        <v>0</v>
      </c>
      <c r="Z231" s="76">
        <v>5948</v>
      </c>
      <c r="AA231" s="76">
        <v>32483</v>
      </c>
      <c r="AB231" s="76">
        <v>1828</v>
      </c>
      <c r="AC231" s="76">
        <v>34311</v>
      </c>
      <c r="AD231" s="76">
        <v>9</v>
      </c>
      <c r="AE231" s="76">
        <v>0</v>
      </c>
      <c r="AF231" s="76">
        <v>0</v>
      </c>
      <c r="AG231" s="76">
        <v>7437</v>
      </c>
      <c r="AH231" s="76">
        <v>41757</v>
      </c>
      <c r="AI231" s="76">
        <v>9310</v>
      </c>
      <c r="AJ231" s="76">
        <v>1891</v>
      </c>
      <c r="AK231" s="76">
        <v>7210</v>
      </c>
      <c r="AL231" s="76">
        <v>3188</v>
      </c>
      <c r="AM231" s="76">
        <v>4057</v>
      </c>
      <c r="AN231" s="76">
        <v>216</v>
      </c>
      <c r="AO231" s="76">
        <v>1241</v>
      </c>
      <c r="AP231" s="76">
        <v>0</v>
      </c>
      <c r="AQ231" s="76">
        <v>6270</v>
      </c>
      <c r="AR231" s="76">
        <v>33383</v>
      </c>
      <c r="AS231" s="76">
        <v>8374</v>
      </c>
      <c r="AT231" s="76">
        <v>294</v>
      </c>
      <c r="AU231" s="76">
        <v>79527</v>
      </c>
      <c r="AV231" s="76">
        <v>0</v>
      </c>
      <c r="AW231" s="76">
        <v>277</v>
      </c>
      <c r="AX231" s="76">
        <v>0</v>
      </c>
      <c r="AY231" s="76">
        <v>0</v>
      </c>
      <c r="AZ231" s="76">
        <v>0</v>
      </c>
      <c r="BA231" s="76">
        <v>0</v>
      </c>
      <c r="BB231" s="76">
        <v>0</v>
      </c>
      <c r="BC231" s="76">
        <v>0</v>
      </c>
      <c r="BD231" s="76">
        <v>0</v>
      </c>
      <c r="BE231" s="76">
        <v>79804</v>
      </c>
      <c r="BF231" s="76">
        <v>0</v>
      </c>
      <c r="BG231" s="76">
        <v>3648</v>
      </c>
      <c r="BH231" s="76">
        <v>2778</v>
      </c>
      <c r="BI231" s="76">
        <v>0</v>
      </c>
      <c r="BJ231" s="76">
        <v>125850</v>
      </c>
      <c r="BK231" s="76">
        <v>132276</v>
      </c>
      <c r="BL231" s="76">
        <v>0</v>
      </c>
      <c r="BM231" s="76">
        <v>0</v>
      </c>
      <c r="BN231" s="76">
        <v>5</v>
      </c>
      <c r="BO231" s="76">
        <v>6928</v>
      </c>
      <c r="BP231" s="76">
        <v>6933</v>
      </c>
      <c r="BQ231" s="76">
        <v>125343</v>
      </c>
      <c r="BR231" s="76">
        <v>205147</v>
      </c>
      <c r="BS231" s="76">
        <v>28920</v>
      </c>
      <c r="BT231" s="76">
        <v>0</v>
      </c>
      <c r="BU231" s="76">
        <v>0</v>
      </c>
      <c r="BV231" s="76">
        <v>309</v>
      </c>
      <c r="BW231" s="76">
        <v>0</v>
      </c>
      <c r="BX231" s="76">
        <v>0</v>
      </c>
      <c r="BY231" s="76">
        <v>1177</v>
      </c>
      <c r="BZ231" s="76">
        <v>30406</v>
      </c>
      <c r="CA231" s="76">
        <v>5606</v>
      </c>
      <c r="CB231" s="76">
        <v>125537</v>
      </c>
      <c r="CC231" s="76">
        <v>43598</v>
      </c>
      <c r="CD231" s="76">
        <v>43598</v>
      </c>
      <c r="CE231" s="76">
        <v>0</v>
      </c>
      <c r="CF231" s="76">
        <v>0</v>
      </c>
      <c r="CG231" s="76">
        <v>0</v>
      </c>
      <c r="CH231" s="76">
        <v>0</v>
      </c>
      <c r="CI231" s="76">
        <v>43598</v>
      </c>
      <c r="CJ231" s="76">
        <v>0</v>
      </c>
      <c r="CK231" s="76">
        <v>0</v>
      </c>
      <c r="CL231" s="76">
        <v>0</v>
      </c>
      <c r="CM231" s="76">
        <v>0</v>
      </c>
      <c r="CN231" s="76">
        <v>0</v>
      </c>
      <c r="CO231" s="76">
        <v>0</v>
      </c>
      <c r="CP231" s="76">
        <v>0</v>
      </c>
      <c r="CQ231" s="76">
        <v>0</v>
      </c>
      <c r="CR231" s="76">
        <v>0</v>
      </c>
      <c r="CS231" s="76">
        <v>0</v>
      </c>
      <c r="CT231" s="76">
        <v>120</v>
      </c>
      <c r="CU231" s="76">
        <v>-120</v>
      </c>
      <c r="CV231" s="76">
        <v>0</v>
      </c>
      <c r="CW231" s="76">
        <v>0</v>
      </c>
      <c r="CX231" s="76">
        <v>0</v>
      </c>
      <c r="CY231" s="76">
        <v>0</v>
      </c>
      <c r="CZ231" s="76">
        <v>4270</v>
      </c>
      <c r="DA231" s="76">
        <v>0</v>
      </c>
      <c r="DB231" s="76">
        <v>3723</v>
      </c>
      <c r="DC231" s="76">
        <v>547</v>
      </c>
      <c r="DD231" s="76">
        <v>4270</v>
      </c>
      <c r="DE231" s="76">
        <v>0</v>
      </c>
      <c r="DF231" s="76">
        <v>3843</v>
      </c>
      <c r="DG231" s="76">
        <v>427</v>
      </c>
      <c r="DH231" s="76">
        <v>0</v>
      </c>
      <c r="DI231" s="76">
        <v>0</v>
      </c>
      <c r="DJ231" s="76">
        <v>0</v>
      </c>
      <c r="DK231" s="76">
        <v>0</v>
      </c>
      <c r="DL231" s="76">
        <v>0</v>
      </c>
      <c r="DM231" s="76">
        <v>0</v>
      </c>
      <c r="DN231" s="76">
        <v>0</v>
      </c>
      <c r="DO231" s="76">
        <v>0</v>
      </c>
      <c r="DP231" s="76">
        <v>0</v>
      </c>
      <c r="DQ231" s="76">
        <v>0</v>
      </c>
      <c r="DR231" s="76">
        <v>0</v>
      </c>
      <c r="DS231" s="76">
        <v>0</v>
      </c>
      <c r="DT231" s="76">
        <v>0</v>
      </c>
      <c r="DU231" s="76">
        <v>0</v>
      </c>
      <c r="DV231" s="76">
        <v>0</v>
      </c>
      <c r="DW231" s="76">
        <v>0</v>
      </c>
      <c r="DX231" s="76">
        <v>0</v>
      </c>
      <c r="DY231" s="76">
        <v>0</v>
      </c>
      <c r="DZ231" s="76">
        <v>0</v>
      </c>
      <c r="EA231" s="76">
        <v>0</v>
      </c>
      <c r="EB231" s="76">
        <v>1522</v>
      </c>
      <c r="EC231" s="76">
        <v>0</v>
      </c>
      <c r="ED231" s="76">
        <v>1820</v>
      </c>
      <c r="EE231" s="76">
        <v>-298</v>
      </c>
      <c r="EF231" s="76">
        <v>1522</v>
      </c>
      <c r="EG231" s="76">
        <v>0</v>
      </c>
      <c r="EH231" s="76">
        <v>1820</v>
      </c>
      <c r="EI231" s="76">
        <v>-298</v>
      </c>
      <c r="EJ231" s="76">
        <v>5792</v>
      </c>
      <c r="EK231" s="76">
        <v>0</v>
      </c>
      <c r="EL231" s="76">
        <v>5663</v>
      </c>
      <c r="EM231" s="76">
        <v>129</v>
      </c>
      <c r="EN231" s="76">
        <v>910</v>
      </c>
      <c r="EO231" s="76">
        <v>450</v>
      </c>
      <c r="EP231" s="76">
        <v>135</v>
      </c>
      <c r="EQ231" s="76">
        <v>428</v>
      </c>
      <c r="ER231" s="76">
        <v>69039</v>
      </c>
      <c r="ES231" s="76">
        <v>0</v>
      </c>
      <c r="ET231" s="76">
        <v>69039</v>
      </c>
      <c r="EU231" s="76">
        <v>13134</v>
      </c>
      <c r="EV231" s="76">
        <v>-684</v>
      </c>
      <c r="EW231" s="76">
        <v>0</v>
      </c>
      <c r="EX231" s="76">
        <v>0</v>
      </c>
      <c r="EY231" s="76">
        <v>0</v>
      </c>
      <c r="EZ231" s="76">
        <v>81489</v>
      </c>
      <c r="FA231" s="76">
        <v>734</v>
      </c>
      <c r="FB231" s="76">
        <v>1241</v>
      </c>
      <c r="FC231" s="76">
        <v>0</v>
      </c>
      <c r="FD231" s="76">
        <v>0</v>
      </c>
      <c r="FE231" s="76">
        <v>-13</v>
      </c>
      <c r="FF231" s="76">
        <v>0</v>
      </c>
      <c r="FG231" s="76">
        <v>0</v>
      </c>
      <c r="FH231" s="76">
        <v>1962</v>
      </c>
      <c r="FI231" s="76">
        <v>79527</v>
      </c>
      <c r="FJ231" s="76">
        <v>68305</v>
      </c>
      <c r="FK231" s="76">
        <v>0</v>
      </c>
      <c r="FL231" s="76">
        <v>0</v>
      </c>
      <c r="FM231" s="76">
        <v>0</v>
      </c>
      <c r="FN231" s="76">
        <v>2831</v>
      </c>
      <c r="FO231" s="76">
        <v>1280</v>
      </c>
      <c r="FP231" s="76">
        <v>1551</v>
      </c>
      <c r="FQ231" s="76">
        <v>0</v>
      </c>
      <c r="FR231" s="76">
        <v>0</v>
      </c>
      <c r="FS231" s="76">
        <v>0</v>
      </c>
      <c r="FT231" s="76">
        <v>0</v>
      </c>
      <c r="FU231" s="76">
        <v>0</v>
      </c>
      <c r="FV231" s="76">
        <v>0</v>
      </c>
      <c r="FW231" s="76">
        <v>0</v>
      </c>
      <c r="FX231" s="76">
        <v>0</v>
      </c>
      <c r="FY231" s="76">
        <v>0</v>
      </c>
      <c r="FZ231" s="76">
        <v>3</v>
      </c>
      <c r="GA231" s="76">
        <v>3</v>
      </c>
      <c r="GB231" s="76">
        <v>0</v>
      </c>
      <c r="GC231" s="76">
        <v>2834</v>
      </c>
      <c r="GD231" s="76">
        <v>1283</v>
      </c>
      <c r="GE231" s="76">
        <v>1551</v>
      </c>
      <c r="GF231" s="76">
        <v>0</v>
      </c>
      <c r="GG231" s="76">
        <v>0</v>
      </c>
      <c r="GH231" s="76">
        <v>313</v>
      </c>
      <c r="GI231" s="76">
        <v>125537</v>
      </c>
      <c r="GJ231" s="76">
        <v>0</v>
      </c>
      <c r="GK231" s="76">
        <v>0</v>
      </c>
      <c r="GL231" s="76">
        <v>125850</v>
      </c>
      <c r="GM231" s="76">
        <v>2903</v>
      </c>
      <c r="GN231" s="76">
        <v>1331</v>
      </c>
      <c r="GO231" s="76">
        <v>54</v>
      </c>
      <c r="GP231" s="76">
        <v>0</v>
      </c>
      <c r="GQ231" s="76">
        <v>0</v>
      </c>
      <c r="GR231" s="76">
        <v>1514</v>
      </c>
      <c r="GS231" s="76">
        <v>0</v>
      </c>
      <c r="GT231" s="76">
        <v>0</v>
      </c>
      <c r="GU231" s="76">
        <v>0</v>
      </c>
      <c r="GV231" s="76">
        <v>0</v>
      </c>
      <c r="GW231" s="76">
        <v>1131</v>
      </c>
      <c r="GX231" s="76">
        <v>6933</v>
      </c>
      <c r="GY231" s="76">
        <v>0</v>
      </c>
      <c r="GZ231" s="76">
        <v>1177</v>
      </c>
      <c r="HA231" s="76">
        <v>0</v>
      </c>
      <c r="HB231" s="76">
        <v>0</v>
      </c>
      <c r="HC231" s="76">
        <v>1177</v>
      </c>
      <c r="HD231" s="76">
        <v>125537</v>
      </c>
      <c r="HE231" s="76">
        <v>0</v>
      </c>
      <c r="HF231" s="76">
        <v>125537</v>
      </c>
      <c r="HG231" s="76">
        <v>1457</v>
      </c>
      <c r="HH231" s="76">
        <v>157</v>
      </c>
      <c r="HI231" s="76">
        <v>111</v>
      </c>
      <c r="HJ231" s="76">
        <v>0</v>
      </c>
      <c r="HK231" s="76">
        <v>0</v>
      </c>
      <c r="HL231" s="76">
        <v>0</v>
      </c>
      <c r="HM231" s="76">
        <v>1725</v>
      </c>
      <c r="HN231" s="76">
        <v>11422</v>
      </c>
      <c r="HO231" s="76">
        <v>1341</v>
      </c>
      <c r="HP231" s="76">
        <v>0</v>
      </c>
      <c r="HQ231" s="76">
        <v>0</v>
      </c>
      <c r="HR231" s="76">
        <v>-83</v>
      </c>
      <c r="HS231" s="76">
        <v>-10</v>
      </c>
      <c r="HT231" s="76">
        <v>8353</v>
      </c>
      <c r="HU231" s="76">
        <v>0</v>
      </c>
      <c r="HV231" s="76">
        <v>0</v>
      </c>
      <c r="HW231" s="76">
        <v>28</v>
      </c>
      <c r="HX231" s="76">
        <v>535</v>
      </c>
    </row>
    <row r="232" spans="1:232" x14ac:dyDescent="0.2">
      <c r="A232" s="71" t="s">
        <v>646</v>
      </c>
      <c r="B232" s="71" t="s">
        <v>647</v>
      </c>
      <c r="C232" s="72" t="s">
        <v>200</v>
      </c>
      <c r="D232" s="72">
        <v>12</v>
      </c>
      <c r="E232" s="73">
        <v>40325</v>
      </c>
      <c r="F232" s="73">
        <v>0</v>
      </c>
      <c r="G232" s="73">
        <v>-35703</v>
      </c>
      <c r="H232" s="73">
        <v>4622</v>
      </c>
      <c r="I232" s="73">
        <v>333</v>
      </c>
      <c r="J232" s="73">
        <v>0</v>
      </c>
      <c r="K232" s="73">
        <v>0</v>
      </c>
      <c r="L232" s="73">
        <v>0</v>
      </c>
      <c r="M232" s="73">
        <v>57</v>
      </c>
      <c r="N232" s="73">
        <v>-1286</v>
      </c>
      <c r="O232" s="73">
        <v>0</v>
      </c>
      <c r="P232" s="73">
        <v>0</v>
      </c>
      <c r="Q232" s="73">
        <v>0</v>
      </c>
      <c r="R232" s="73">
        <v>0</v>
      </c>
      <c r="S232" s="73">
        <v>3726</v>
      </c>
      <c r="T232" s="73">
        <v>0</v>
      </c>
      <c r="U232" s="73">
        <v>3726</v>
      </c>
      <c r="V232" s="73">
        <v>0</v>
      </c>
      <c r="W232" s="73">
        <v>0</v>
      </c>
      <c r="X232" s="73">
        <v>0</v>
      </c>
      <c r="Y232" s="73">
        <v>0</v>
      </c>
      <c r="Z232" s="73">
        <v>3726</v>
      </c>
      <c r="AA232" s="73">
        <v>14469</v>
      </c>
      <c r="AB232" s="73">
        <v>11113</v>
      </c>
      <c r="AC232" s="73">
        <v>25582</v>
      </c>
      <c r="AD232" s="73">
        <v>2540</v>
      </c>
      <c r="AE232" s="73">
        <v>0</v>
      </c>
      <c r="AF232" s="73">
        <v>86</v>
      </c>
      <c r="AG232" s="73">
        <v>164</v>
      </c>
      <c r="AH232" s="73">
        <v>28372</v>
      </c>
      <c r="AI232" s="73">
        <v>4289</v>
      </c>
      <c r="AJ232" s="73">
        <v>10150</v>
      </c>
      <c r="AK232" s="73">
        <v>2460</v>
      </c>
      <c r="AL232" s="73">
        <v>434</v>
      </c>
      <c r="AM232" s="73">
        <v>1039</v>
      </c>
      <c r="AN232" s="73">
        <v>131</v>
      </c>
      <c r="AO232" s="73">
        <v>3615</v>
      </c>
      <c r="AP232" s="73">
        <v>0</v>
      </c>
      <c r="AQ232" s="73">
        <v>114</v>
      </c>
      <c r="AR232" s="73">
        <v>22232</v>
      </c>
      <c r="AS232" s="73">
        <v>6140</v>
      </c>
      <c r="AT232" s="73">
        <v>1420</v>
      </c>
      <c r="AU232" s="73">
        <v>145554</v>
      </c>
      <c r="AV232" s="73">
        <v>0</v>
      </c>
      <c r="AW232" s="73">
        <v>1052</v>
      </c>
      <c r="AX232" s="73">
        <v>0</v>
      </c>
      <c r="AY232" s="73">
        <v>0</v>
      </c>
      <c r="AZ232" s="73">
        <v>0</v>
      </c>
      <c r="BA232" s="73">
        <v>0</v>
      </c>
      <c r="BB232" s="73">
        <v>0</v>
      </c>
      <c r="BC232" s="73">
        <v>0</v>
      </c>
      <c r="BD232" s="73">
        <v>0</v>
      </c>
      <c r="BE232" s="73">
        <v>146606</v>
      </c>
      <c r="BF232" s="73">
        <v>0</v>
      </c>
      <c r="BG232" s="73">
        <v>0</v>
      </c>
      <c r="BH232" s="73">
        <v>17706</v>
      </c>
      <c r="BI232" s="73">
        <v>0</v>
      </c>
      <c r="BJ232" s="73">
        <v>1979</v>
      </c>
      <c r="BK232" s="73">
        <v>19685</v>
      </c>
      <c r="BL232" s="73">
        <v>2012</v>
      </c>
      <c r="BM232" s="73">
        <v>0</v>
      </c>
      <c r="BN232" s="73">
        <v>2567</v>
      </c>
      <c r="BO232" s="73">
        <v>3573</v>
      </c>
      <c r="BP232" s="73">
        <v>8152</v>
      </c>
      <c r="BQ232" s="73">
        <v>11533</v>
      </c>
      <c r="BR232" s="73">
        <v>158139</v>
      </c>
      <c r="BS232" s="73">
        <v>25923</v>
      </c>
      <c r="BT232" s="73">
        <v>0</v>
      </c>
      <c r="BU232" s="73">
        <v>0</v>
      </c>
      <c r="BV232" s="73">
        <v>87379</v>
      </c>
      <c r="BW232" s="73">
        <v>0</v>
      </c>
      <c r="BX232" s="73">
        <v>0</v>
      </c>
      <c r="BY232" s="73">
        <v>977</v>
      </c>
      <c r="BZ232" s="73">
        <v>114279</v>
      </c>
      <c r="CA232" s="73">
        <v>2141</v>
      </c>
      <c r="CB232" s="73">
        <v>0</v>
      </c>
      <c r="CC232" s="73">
        <v>41719</v>
      </c>
      <c r="CD232" s="73">
        <v>35272</v>
      </c>
      <c r="CE232" s="73">
        <v>0</v>
      </c>
      <c r="CF232" s="73">
        <v>6447</v>
      </c>
      <c r="CG232" s="73">
        <v>0</v>
      </c>
      <c r="CH232" s="73">
        <v>0</v>
      </c>
      <c r="CI232" s="73">
        <v>41719</v>
      </c>
      <c r="CJ232" s="73">
        <v>0</v>
      </c>
      <c r="CK232" s="73">
        <v>0</v>
      </c>
      <c r="CL232" s="73">
        <v>0</v>
      </c>
      <c r="CM232" s="73">
        <v>0</v>
      </c>
      <c r="CN232" s="73">
        <v>7585</v>
      </c>
      <c r="CO232" s="73">
        <v>0</v>
      </c>
      <c r="CP232" s="73">
        <v>10803</v>
      </c>
      <c r="CQ232" s="73">
        <v>-3218</v>
      </c>
      <c r="CR232" s="73">
        <v>0</v>
      </c>
      <c r="CS232" s="73">
        <v>0</v>
      </c>
      <c r="CT232" s="73">
        <v>0</v>
      </c>
      <c r="CU232" s="73">
        <v>0</v>
      </c>
      <c r="CV232" s="73">
        <v>0</v>
      </c>
      <c r="CW232" s="73">
        <v>0</v>
      </c>
      <c r="CX232" s="73">
        <v>0</v>
      </c>
      <c r="CY232" s="73">
        <v>0</v>
      </c>
      <c r="CZ232" s="73">
        <v>3381</v>
      </c>
      <c r="DA232" s="73">
        <v>0</v>
      </c>
      <c r="DB232" s="73">
        <v>1492</v>
      </c>
      <c r="DC232" s="73">
        <v>1889</v>
      </c>
      <c r="DD232" s="73">
        <v>10966</v>
      </c>
      <c r="DE232" s="73">
        <v>0</v>
      </c>
      <c r="DF232" s="73">
        <v>12295</v>
      </c>
      <c r="DG232" s="73">
        <v>-1329</v>
      </c>
      <c r="DH232" s="73">
        <v>0</v>
      </c>
      <c r="DI232" s="73">
        <v>0</v>
      </c>
      <c r="DJ232" s="73">
        <v>0</v>
      </c>
      <c r="DK232" s="73">
        <v>0</v>
      </c>
      <c r="DL232" s="73">
        <v>0</v>
      </c>
      <c r="DM232" s="73">
        <v>0</v>
      </c>
      <c r="DN232" s="73">
        <v>0</v>
      </c>
      <c r="DO232" s="73">
        <v>0</v>
      </c>
      <c r="DP232" s="73">
        <v>0</v>
      </c>
      <c r="DQ232" s="73">
        <v>0</v>
      </c>
      <c r="DR232" s="73">
        <v>0</v>
      </c>
      <c r="DS232" s="73">
        <v>0</v>
      </c>
      <c r="DT232" s="73">
        <v>0</v>
      </c>
      <c r="DU232" s="73">
        <v>0</v>
      </c>
      <c r="DV232" s="73">
        <v>0</v>
      </c>
      <c r="DW232" s="73">
        <v>0</v>
      </c>
      <c r="DX232" s="73">
        <v>0</v>
      </c>
      <c r="DY232" s="73">
        <v>0</v>
      </c>
      <c r="DZ232" s="73">
        <v>0</v>
      </c>
      <c r="EA232" s="73">
        <v>0</v>
      </c>
      <c r="EB232" s="73">
        <v>987</v>
      </c>
      <c r="EC232" s="73">
        <v>0</v>
      </c>
      <c r="ED232" s="73">
        <v>1176</v>
      </c>
      <c r="EE232" s="73">
        <v>-189</v>
      </c>
      <c r="EF232" s="73">
        <v>987</v>
      </c>
      <c r="EG232" s="73">
        <v>0</v>
      </c>
      <c r="EH232" s="73">
        <v>1176</v>
      </c>
      <c r="EI232" s="73">
        <v>-189</v>
      </c>
      <c r="EJ232" s="73">
        <v>11953</v>
      </c>
      <c r="EK232" s="73">
        <v>0</v>
      </c>
      <c r="EL232" s="73">
        <v>13471</v>
      </c>
      <c r="EM232" s="73">
        <v>-1518</v>
      </c>
      <c r="EN232" s="73">
        <v>460</v>
      </c>
      <c r="EO232" s="73">
        <v>114</v>
      </c>
      <c r="EP232" s="73">
        <v>252</v>
      </c>
      <c r="EQ232" s="73">
        <v>114</v>
      </c>
      <c r="ER232" s="73">
        <v>188238</v>
      </c>
      <c r="ES232" s="73">
        <v>0</v>
      </c>
      <c r="ET232" s="73">
        <v>188238</v>
      </c>
      <c r="EU232" s="73">
        <v>3769</v>
      </c>
      <c r="EV232" s="73">
        <v>-1310</v>
      </c>
      <c r="EW232" s="73">
        <v>0</v>
      </c>
      <c r="EX232" s="73">
        <v>0</v>
      </c>
      <c r="EY232" s="73">
        <v>-62</v>
      </c>
      <c r="EZ232" s="73">
        <v>190635</v>
      </c>
      <c r="FA232" s="73">
        <v>42228</v>
      </c>
      <c r="FB232" s="73">
        <v>3614</v>
      </c>
      <c r="FC232" s="73">
        <v>0</v>
      </c>
      <c r="FD232" s="73">
        <v>0</v>
      </c>
      <c r="FE232" s="73">
        <v>-761</v>
      </c>
      <c r="FF232" s="73">
        <v>0</v>
      </c>
      <c r="FG232" s="73">
        <v>0</v>
      </c>
      <c r="FH232" s="73">
        <v>45081</v>
      </c>
      <c r="FI232" s="73">
        <v>145554</v>
      </c>
      <c r="FJ232" s="73">
        <v>146010</v>
      </c>
      <c r="FK232" s="73">
        <v>0</v>
      </c>
      <c r="FL232" s="73">
        <v>0</v>
      </c>
      <c r="FM232" s="73">
        <v>0</v>
      </c>
      <c r="FN232" s="73">
        <v>0</v>
      </c>
      <c r="FO232" s="73">
        <v>0</v>
      </c>
      <c r="FP232" s="73">
        <v>0</v>
      </c>
      <c r="FQ232" s="73">
        <v>0</v>
      </c>
      <c r="FR232" s="73">
        <v>0</v>
      </c>
      <c r="FS232" s="73">
        <v>0</v>
      </c>
      <c r="FT232" s="73">
        <v>882</v>
      </c>
      <c r="FU232" s="73">
        <v>549</v>
      </c>
      <c r="FV232" s="73">
        <v>333</v>
      </c>
      <c r="FW232" s="73">
        <v>0</v>
      </c>
      <c r="FX232" s="73">
        <v>0</v>
      </c>
      <c r="FY232" s="73">
        <v>0</v>
      </c>
      <c r="FZ232" s="73">
        <v>0</v>
      </c>
      <c r="GA232" s="73">
        <v>0</v>
      </c>
      <c r="GB232" s="73">
        <v>0</v>
      </c>
      <c r="GC232" s="73">
        <v>882</v>
      </c>
      <c r="GD232" s="73">
        <v>549</v>
      </c>
      <c r="GE232" s="73">
        <v>333</v>
      </c>
      <c r="GF232" s="73">
        <v>1292</v>
      </c>
      <c r="GG232" s="73">
        <v>18</v>
      </c>
      <c r="GH232" s="73">
        <v>0</v>
      </c>
      <c r="GI232" s="73">
        <v>0</v>
      </c>
      <c r="GJ232" s="73">
        <v>0</v>
      </c>
      <c r="GK232" s="73">
        <v>669</v>
      </c>
      <c r="GL232" s="73">
        <v>1979</v>
      </c>
      <c r="GM232" s="73">
        <v>1295</v>
      </c>
      <c r="GN232" s="73">
        <v>313</v>
      </c>
      <c r="GO232" s="73">
        <v>17</v>
      </c>
      <c r="GP232" s="73">
        <v>0</v>
      </c>
      <c r="GQ232" s="73">
        <v>0</v>
      </c>
      <c r="GR232" s="73">
        <v>1632</v>
      </c>
      <c r="GS232" s="73">
        <v>0</v>
      </c>
      <c r="GT232" s="73">
        <v>0</v>
      </c>
      <c r="GU232" s="73">
        <v>312</v>
      </c>
      <c r="GV232" s="73">
        <v>0</v>
      </c>
      <c r="GW232" s="73">
        <v>4</v>
      </c>
      <c r="GX232" s="73">
        <v>3573</v>
      </c>
      <c r="GY232" s="73">
        <v>977</v>
      </c>
      <c r="GZ232" s="73">
        <v>0</v>
      </c>
      <c r="HA232" s="73">
        <v>0</v>
      </c>
      <c r="HB232" s="73">
        <v>0</v>
      </c>
      <c r="HC232" s="73">
        <v>977</v>
      </c>
      <c r="HD232" s="73">
        <v>0</v>
      </c>
      <c r="HE232" s="73">
        <v>0</v>
      </c>
      <c r="HF232" s="73">
        <v>0</v>
      </c>
      <c r="HG232" s="73">
        <v>1236</v>
      </c>
      <c r="HH232" s="73">
        <v>0</v>
      </c>
      <c r="HI232" s="73">
        <v>51</v>
      </c>
      <c r="HJ232" s="73">
        <v>0</v>
      </c>
      <c r="HK232" s="73">
        <v>0</v>
      </c>
      <c r="HL232" s="73">
        <v>0</v>
      </c>
      <c r="HM232" s="73">
        <v>1287</v>
      </c>
      <c r="HN232" s="73">
        <v>1476</v>
      </c>
      <c r="HO232" s="73">
        <v>3985</v>
      </c>
      <c r="HP232" s="73">
        <v>0</v>
      </c>
      <c r="HQ232" s="73">
        <v>54</v>
      </c>
      <c r="HR232" s="73">
        <v>-4</v>
      </c>
      <c r="HS232" s="73">
        <v>-66</v>
      </c>
      <c r="HT232" s="73">
        <v>1694</v>
      </c>
      <c r="HU232" s="73">
        <v>0</v>
      </c>
      <c r="HV232" s="73">
        <v>0</v>
      </c>
      <c r="HW232" s="73">
        <v>0</v>
      </c>
      <c r="HX232" s="73">
        <v>0</v>
      </c>
    </row>
    <row r="233" spans="1:232" x14ac:dyDescent="0.2">
      <c r="A233" s="74" t="s">
        <v>648</v>
      </c>
      <c r="B233" s="74" t="s">
        <v>649</v>
      </c>
      <c r="C233" s="75" t="s">
        <v>200</v>
      </c>
      <c r="D233" s="75">
        <v>12</v>
      </c>
      <c r="E233" s="76">
        <v>36437</v>
      </c>
      <c r="F233" s="76">
        <v>-12100</v>
      </c>
      <c r="G233" s="76">
        <v>-12164</v>
      </c>
      <c r="H233" s="76">
        <v>12173</v>
      </c>
      <c r="I233" s="76">
        <v>383</v>
      </c>
      <c r="J233" s="76">
        <v>3887</v>
      </c>
      <c r="K233" s="76">
        <v>0</v>
      </c>
      <c r="L233" s="76">
        <v>0</v>
      </c>
      <c r="M233" s="76">
        <v>370</v>
      </c>
      <c r="N233" s="76">
        <v>-16915</v>
      </c>
      <c r="O233" s="76">
        <v>0</v>
      </c>
      <c r="P233" s="76">
        <v>0</v>
      </c>
      <c r="Q233" s="76">
        <v>0</v>
      </c>
      <c r="R233" s="76">
        <v>0</v>
      </c>
      <c r="S233" s="76">
        <v>-102</v>
      </c>
      <c r="T233" s="76">
        <v>0</v>
      </c>
      <c r="U233" s="76">
        <v>-102</v>
      </c>
      <c r="V233" s="76">
        <v>0</v>
      </c>
      <c r="W233" s="76">
        <v>0</v>
      </c>
      <c r="X233" s="76">
        <v>0</v>
      </c>
      <c r="Y233" s="76">
        <v>0</v>
      </c>
      <c r="Z233" s="76">
        <v>-102</v>
      </c>
      <c r="AA233" s="76">
        <v>17134</v>
      </c>
      <c r="AB233" s="76">
        <v>3782</v>
      </c>
      <c r="AC233" s="76">
        <v>20916</v>
      </c>
      <c r="AD233" s="76">
        <v>0</v>
      </c>
      <c r="AE233" s="76">
        <v>0</v>
      </c>
      <c r="AF233" s="76">
        <v>0</v>
      </c>
      <c r="AG233" s="76">
        <v>0</v>
      </c>
      <c r="AH233" s="76">
        <v>20916</v>
      </c>
      <c r="AI233" s="76">
        <v>2760</v>
      </c>
      <c r="AJ233" s="76">
        <v>3054</v>
      </c>
      <c r="AK233" s="76">
        <v>1331</v>
      </c>
      <c r="AL233" s="76">
        <v>426</v>
      </c>
      <c r="AM233" s="76">
        <v>0</v>
      </c>
      <c r="AN233" s="76">
        <v>555</v>
      </c>
      <c r="AO233" s="76">
        <v>2923</v>
      </c>
      <c r="AP233" s="76">
        <v>0</v>
      </c>
      <c r="AQ233" s="76">
        <v>5</v>
      </c>
      <c r="AR233" s="76">
        <v>11054</v>
      </c>
      <c r="AS233" s="76">
        <v>9862</v>
      </c>
      <c r="AT233" s="76">
        <v>541</v>
      </c>
      <c r="AU233" s="76">
        <v>478728</v>
      </c>
      <c r="AV233" s="76">
        <v>0</v>
      </c>
      <c r="AW233" s="76">
        <v>355</v>
      </c>
      <c r="AX233" s="76">
        <v>0</v>
      </c>
      <c r="AY233" s="76">
        <v>0</v>
      </c>
      <c r="AZ233" s="76">
        <v>0</v>
      </c>
      <c r="BA233" s="76">
        <v>0</v>
      </c>
      <c r="BB233" s="76">
        <v>0</v>
      </c>
      <c r="BC233" s="76">
        <v>0</v>
      </c>
      <c r="BD233" s="76">
        <v>0</v>
      </c>
      <c r="BE233" s="76">
        <v>479083</v>
      </c>
      <c r="BF233" s="76">
        <v>2101</v>
      </c>
      <c r="BG233" s="76">
        <v>1265</v>
      </c>
      <c r="BH233" s="76">
        <v>977</v>
      </c>
      <c r="BI233" s="76">
        <v>0</v>
      </c>
      <c r="BJ233" s="76">
        <v>6641</v>
      </c>
      <c r="BK233" s="76">
        <v>10984</v>
      </c>
      <c r="BL233" s="76">
        <v>793</v>
      </c>
      <c r="BM233" s="76">
        <v>0</v>
      </c>
      <c r="BN233" s="76">
        <v>0</v>
      </c>
      <c r="BO233" s="76">
        <v>12845</v>
      </c>
      <c r="BP233" s="76">
        <v>13638</v>
      </c>
      <c r="BQ233" s="76">
        <v>-2654</v>
      </c>
      <c r="BR233" s="76">
        <v>476429</v>
      </c>
      <c r="BS233" s="76">
        <v>0</v>
      </c>
      <c r="BT233" s="76">
        <v>373070</v>
      </c>
      <c r="BU233" s="76">
        <v>0</v>
      </c>
      <c r="BV233" s="76">
        <v>99321</v>
      </c>
      <c r="BW233" s="76">
        <v>0</v>
      </c>
      <c r="BX233" s="76">
        <v>0</v>
      </c>
      <c r="BY233" s="76">
        <v>180</v>
      </c>
      <c r="BZ233" s="76">
        <v>472571</v>
      </c>
      <c r="CA233" s="76">
        <v>0</v>
      </c>
      <c r="CB233" s="76">
        <v>0</v>
      </c>
      <c r="CC233" s="76">
        <v>3858</v>
      </c>
      <c r="CD233" s="76">
        <v>3858</v>
      </c>
      <c r="CE233" s="76">
        <v>0</v>
      </c>
      <c r="CF233" s="76">
        <v>0</v>
      </c>
      <c r="CG233" s="76">
        <v>0</v>
      </c>
      <c r="CH233" s="76">
        <v>0</v>
      </c>
      <c r="CI233" s="76">
        <v>3858</v>
      </c>
      <c r="CJ233" s="76">
        <v>13598</v>
      </c>
      <c r="CK233" s="76">
        <v>10994</v>
      </c>
      <c r="CL233" s="76">
        <v>0</v>
      </c>
      <c r="CM233" s="76">
        <v>2604</v>
      </c>
      <c r="CN233" s="76">
        <v>615</v>
      </c>
      <c r="CO233" s="76">
        <v>0</v>
      </c>
      <c r="CP233" s="76">
        <v>615</v>
      </c>
      <c r="CQ233" s="76">
        <v>0</v>
      </c>
      <c r="CR233" s="76">
        <v>3</v>
      </c>
      <c r="CS233" s="76">
        <v>0</v>
      </c>
      <c r="CT233" s="76">
        <v>422</v>
      </c>
      <c r="CU233" s="76">
        <v>-419</v>
      </c>
      <c r="CV233" s="76">
        <v>0</v>
      </c>
      <c r="CW233" s="76">
        <v>0</v>
      </c>
      <c r="CX233" s="76">
        <v>0</v>
      </c>
      <c r="CY233" s="76">
        <v>0</v>
      </c>
      <c r="CZ233" s="76">
        <v>85</v>
      </c>
      <c r="DA233" s="76">
        <v>0</v>
      </c>
      <c r="DB233" s="76">
        <v>73</v>
      </c>
      <c r="DC233" s="76">
        <v>12</v>
      </c>
      <c r="DD233" s="76">
        <v>14301</v>
      </c>
      <c r="DE233" s="76">
        <v>10994</v>
      </c>
      <c r="DF233" s="76">
        <v>1110</v>
      </c>
      <c r="DG233" s="76">
        <v>2197</v>
      </c>
      <c r="DH233" s="76">
        <v>1220</v>
      </c>
      <c r="DI233" s="76">
        <v>1106</v>
      </c>
      <c r="DJ233" s="76">
        <v>0</v>
      </c>
      <c r="DK233" s="76">
        <v>114</v>
      </c>
      <c r="DL233" s="76">
        <v>0</v>
      </c>
      <c r="DM233" s="76">
        <v>0</v>
      </c>
      <c r="DN233" s="76">
        <v>0</v>
      </c>
      <c r="DO233" s="76">
        <v>0</v>
      </c>
      <c r="DP233" s="76">
        <v>0</v>
      </c>
      <c r="DQ233" s="76">
        <v>0</v>
      </c>
      <c r="DR233" s="76">
        <v>0</v>
      </c>
      <c r="DS233" s="76">
        <v>0</v>
      </c>
      <c r="DT233" s="76">
        <v>0</v>
      </c>
      <c r="DU233" s="76">
        <v>0</v>
      </c>
      <c r="DV233" s="76">
        <v>0</v>
      </c>
      <c r="DW233" s="76">
        <v>0</v>
      </c>
      <c r="DX233" s="76">
        <v>0</v>
      </c>
      <c r="DY233" s="76">
        <v>0</v>
      </c>
      <c r="DZ233" s="76">
        <v>0</v>
      </c>
      <c r="EA233" s="76">
        <v>0</v>
      </c>
      <c r="EB233" s="76">
        <v>0</v>
      </c>
      <c r="EC233" s="76">
        <v>0</v>
      </c>
      <c r="ED233" s="76">
        <v>0</v>
      </c>
      <c r="EE233" s="76">
        <v>0</v>
      </c>
      <c r="EF233" s="76">
        <v>1220</v>
      </c>
      <c r="EG233" s="76">
        <v>1106</v>
      </c>
      <c r="EH233" s="76">
        <v>0</v>
      </c>
      <c r="EI233" s="76">
        <v>114</v>
      </c>
      <c r="EJ233" s="76">
        <v>15521</v>
      </c>
      <c r="EK233" s="76">
        <v>12100</v>
      </c>
      <c r="EL233" s="76">
        <v>1110</v>
      </c>
      <c r="EM233" s="76">
        <v>2311</v>
      </c>
      <c r="EN233" s="76">
        <v>1295</v>
      </c>
      <c r="EO233" s="76">
        <v>220</v>
      </c>
      <c r="EP233" s="76">
        <v>320</v>
      </c>
      <c r="EQ233" s="76">
        <v>220</v>
      </c>
      <c r="ER233" s="76">
        <v>436278</v>
      </c>
      <c r="ES233" s="76">
        <v>0</v>
      </c>
      <c r="ET233" s="76">
        <v>436278</v>
      </c>
      <c r="EU233" s="76">
        <v>46264</v>
      </c>
      <c r="EV233" s="76">
        <v>-2114</v>
      </c>
      <c r="EW233" s="76">
        <v>0</v>
      </c>
      <c r="EX233" s="76">
        <v>0</v>
      </c>
      <c r="EY233" s="76">
        <v>4440</v>
      </c>
      <c r="EZ233" s="76">
        <v>484868</v>
      </c>
      <c r="FA233" s="76">
        <v>3528</v>
      </c>
      <c r="FB233" s="76">
        <v>2734</v>
      </c>
      <c r="FC233" s="76">
        <v>0</v>
      </c>
      <c r="FD233" s="76">
        <v>0</v>
      </c>
      <c r="FE233" s="76">
        <v>-122</v>
      </c>
      <c r="FF233" s="76">
        <v>0</v>
      </c>
      <c r="FG233" s="76">
        <v>0</v>
      </c>
      <c r="FH233" s="76">
        <v>6140</v>
      </c>
      <c r="FI233" s="76">
        <v>478728</v>
      </c>
      <c r="FJ233" s="76">
        <v>432750</v>
      </c>
      <c r="FK233" s="76">
        <v>869</v>
      </c>
      <c r="FL233" s="76">
        <v>502</v>
      </c>
      <c r="FM233" s="76">
        <v>367</v>
      </c>
      <c r="FN233" s="76">
        <v>0</v>
      </c>
      <c r="FO233" s="76">
        <v>0</v>
      </c>
      <c r="FP233" s="76">
        <v>0</v>
      </c>
      <c r="FQ233" s="76">
        <v>0</v>
      </c>
      <c r="FR233" s="76">
        <v>0</v>
      </c>
      <c r="FS233" s="76">
        <v>0</v>
      </c>
      <c r="FT233" s="76">
        <v>0</v>
      </c>
      <c r="FU233" s="76">
        <v>0</v>
      </c>
      <c r="FV233" s="76">
        <v>0</v>
      </c>
      <c r="FW233" s="76">
        <v>0</v>
      </c>
      <c r="FX233" s="76">
        <v>0</v>
      </c>
      <c r="FY233" s="76">
        <v>0</v>
      </c>
      <c r="FZ233" s="76">
        <v>300</v>
      </c>
      <c r="GA233" s="76">
        <v>284</v>
      </c>
      <c r="GB233" s="76">
        <v>16</v>
      </c>
      <c r="GC233" s="76">
        <v>1169</v>
      </c>
      <c r="GD233" s="76">
        <v>786</v>
      </c>
      <c r="GE233" s="76">
        <v>383</v>
      </c>
      <c r="GF233" s="76">
        <v>6641</v>
      </c>
      <c r="GG233" s="76">
        <v>0</v>
      </c>
      <c r="GH233" s="76">
        <v>0</v>
      </c>
      <c r="GI233" s="76">
        <v>0</v>
      </c>
      <c r="GJ233" s="76">
        <v>0</v>
      </c>
      <c r="GK233" s="76">
        <v>0</v>
      </c>
      <c r="GL233" s="76">
        <v>6641</v>
      </c>
      <c r="GM233" s="76">
        <v>788</v>
      </c>
      <c r="GN233" s="76">
        <v>0</v>
      </c>
      <c r="GO233" s="76">
        <v>7194</v>
      </c>
      <c r="GP233" s="76">
        <v>11</v>
      </c>
      <c r="GQ233" s="76">
        <v>0</v>
      </c>
      <c r="GR233" s="76">
        <v>4606</v>
      </c>
      <c r="GS233" s="76">
        <v>0</v>
      </c>
      <c r="GT233" s="76">
        <v>0</v>
      </c>
      <c r="GU233" s="76">
        <v>0</v>
      </c>
      <c r="GV233" s="76">
        <v>0</v>
      </c>
      <c r="GW233" s="76">
        <v>246</v>
      </c>
      <c r="GX233" s="76">
        <v>12845</v>
      </c>
      <c r="GY233" s="76">
        <v>180</v>
      </c>
      <c r="GZ233" s="76">
        <v>0</v>
      </c>
      <c r="HA233" s="76">
        <v>0</v>
      </c>
      <c r="HB233" s="76">
        <v>0</v>
      </c>
      <c r="HC233" s="76">
        <v>180</v>
      </c>
      <c r="HD233" s="76">
        <v>0</v>
      </c>
      <c r="HE233" s="76">
        <v>0</v>
      </c>
      <c r="HF233" s="76">
        <v>0</v>
      </c>
      <c r="HG233" s="76">
        <v>17856</v>
      </c>
      <c r="HH233" s="76">
        <v>15</v>
      </c>
      <c r="HI233" s="76">
        <v>0</v>
      </c>
      <c r="HJ233" s="76">
        <v>0</v>
      </c>
      <c r="HK233" s="76">
        <v>0</v>
      </c>
      <c r="HL233" s="76">
        <v>-956</v>
      </c>
      <c r="HM233" s="76">
        <v>16915</v>
      </c>
      <c r="HN233" s="76">
        <v>2392</v>
      </c>
      <c r="HO233" s="76">
        <v>2776</v>
      </c>
      <c r="HP233" s="76">
        <v>0</v>
      </c>
      <c r="HQ233" s="76">
        <v>0</v>
      </c>
      <c r="HR233" s="76">
        <v>0</v>
      </c>
      <c r="HS233" s="76">
        <v>0</v>
      </c>
      <c r="HT233" s="76">
        <v>0</v>
      </c>
      <c r="HU233" s="76">
        <v>0</v>
      </c>
      <c r="HV233" s="76">
        <v>0</v>
      </c>
      <c r="HW233" s="76">
        <v>0</v>
      </c>
      <c r="HX233" s="76">
        <v>0</v>
      </c>
    </row>
    <row r="234" spans="1:232" x14ac:dyDescent="0.2">
      <c r="A234" s="74" t="s">
        <v>650</v>
      </c>
      <c r="B234" s="74" t="s">
        <v>651</v>
      </c>
      <c r="C234" s="75" t="s">
        <v>200</v>
      </c>
      <c r="D234" s="75">
        <v>12</v>
      </c>
      <c r="E234" s="76">
        <v>435700</v>
      </c>
      <c r="F234" s="76">
        <v>-5400</v>
      </c>
      <c r="G234" s="76">
        <v>-291200</v>
      </c>
      <c r="H234" s="76">
        <v>139100</v>
      </c>
      <c r="I234" s="76">
        <v>2200</v>
      </c>
      <c r="J234" s="76">
        <v>6500</v>
      </c>
      <c r="K234" s="76">
        <v>67200</v>
      </c>
      <c r="L234" s="76">
        <v>0</v>
      </c>
      <c r="M234" s="76">
        <v>6800</v>
      </c>
      <c r="N234" s="76">
        <v>-99100</v>
      </c>
      <c r="O234" s="76">
        <v>0</v>
      </c>
      <c r="P234" s="76">
        <v>0</v>
      </c>
      <c r="Q234" s="76">
        <v>0</v>
      </c>
      <c r="R234" s="76">
        <v>0</v>
      </c>
      <c r="S234" s="76">
        <v>122700</v>
      </c>
      <c r="T234" s="76">
        <v>0</v>
      </c>
      <c r="U234" s="76">
        <v>122700</v>
      </c>
      <c r="V234" s="76">
        <v>0</v>
      </c>
      <c r="W234" s="76">
        <v>-66800</v>
      </c>
      <c r="X234" s="76">
        <v>-4100</v>
      </c>
      <c r="Y234" s="76">
        <v>0</v>
      </c>
      <c r="Z234" s="76">
        <v>51800</v>
      </c>
      <c r="AA234" s="76">
        <v>301800</v>
      </c>
      <c r="AB234" s="76">
        <v>38700</v>
      </c>
      <c r="AC234" s="76">
        <v>340500</v>
      </c>
      <c r="AD234" s="76">
        <v>0</v>
      </c>
      <c r="AE234" s="76">
        <v>0</v>
      </c>
      <c r="AF234" s="76">
        <v>0</v>
      </c>
      <c r="AG234" s="76">
        <v>0</v>
      </c>
      <c r="AH234" s="76">
        <v>340500</v>
      </c>
      <c r="AI234" s="76">
        <v>49800</v>
      </c>
      <c r="AJ234" s="76">
        <v>37900</v>
      </c>
      <c r="AK234" s="76">
        <v>64700</v>
      </c>
      <c r="AL234" s="76">
        <v>26700</v>
      </c>
      <c r="AM234" s="76">
        <v>0</v>
      </c>
      <c r="AN234" s="76">
        <v>2900</v>
      </c>
      <c r="AO234" s="76">
        <v>22300</v>
      </c>
      <c r="AP234" s="76">
        <v>0</v>
      </c>
      <c r="AQ234" s="76">
        <v>5000</v>
      </c>
      <c r="AR234" s="76">
        <v>209300</v>
      </c>
      <c r="AS234" s="76">
        <v>131200</v>
      </c>
      <c r="AT234" s="76">
        <v>4700</v>
      </c>
      <c r="AU234" s="76">
        <v>3736000</v>
      </c>
      <c r="AV234" s="76">
        <v>0</v>
      </c>
      <c r="AW234" s="76">
        <v>63000</v>
      </c>
      <c r="AX234" s="76">
        <v>72200</v>
      </c>
      <c r="AY234" s="76">
        <v>3500</v>
      </c>
      <c r="AZ234" s="76">
        <v>163800</v>
      </c>
      <c r="BA234" s="76">
        <v>0</v>
      </c>
      <c r="BB234" s="76">
        <v>0</v>
      </c>
      <c r="BC234" s="76">
        <v>62100</v>
      </c>
      <c r="BD234" s="76">
        <v>66500</v>
      </c>
      <c r="BE234" s="76">
        <v>4167100</v>
      </c>
      <c r="BF234" s="76">
        <v>17500</v>
      </c>
      <c r="BG234" s="76">
        <v>42900</v>
      </c>
      <c r="BH234" s="76">
        <v>8600</v>
      </c>
      <c r="BI234" s="76">
        <v>0</v>
      </c>
      <c r="BJ234" s="76">
        <v>59500</v>
      </c>
      <c r="BK234" s="76">
        <v>128500</v>
      </c>
      <c r="BL234" s="76">
        <v>64000</v>
      </c>
      <c r="BM234" s="76">
        <v>0</v>
      </c>
      <c r="BN234" s="76">
        <v>0</v>
      </c>
      <c r="BO234" s="76">
        <v>119000</v>
      </c>
      <c r="BP234" s="76">
        <v>183000</v>
      </c>
      <c r="BQ234" s="76">
        <v>-54500</v>
      </c>
      <c r="BR234" s="76">
        <v>4112600</v>
      </c>
      <c r="BS234" s="76">
        <v>930300</v>
      </c>
      <c r="BT234" s="76">
        <v>644900</v>
      </c>
      <c r="BU234" s="76">
        <v>25000</v>
      </c>
      <c r="BV234" s="76">
        <v>1422100</v>
      </c>
      <c r="BW234" s="76">
        <v>3500</v>
      </c>
      <c r="BX234" s="76">
        <v>0</v>
      </c>
      <c r="BY234" s="76">
        <v>5000</v>
      </c>
      <c r="BZ234" s="76">
        <v>3030800</v>
      </c>
      <c r="CA234" s="76">
        <v>124100</v>
      </c>
      <c r="CB234" s="76">
        <v>3200</v>
      </c>
      <c r="CC234" s="76">
        <v>954500</v>
      </c>
      <c r="CD234" s="76">
        <v>949900</v>
      </c>
      <c r="CE234" s="76">
        <v>2300</v>
      </c>
      <c r="CF234" s="76">
        <v>200</v>
      </c>
      <c r="CG234" s="76">
        <v>2100</v>
      </c>
      <c r="CH234" s="76">
        <v>0</v>
      </c>
      <c r="CI234" s="76">
        <v>954500</v>
      </c>
      <c r="CJ234" s="76">
        <v>2900</v>
      </c>
      <c r="CK234" s="76">
        <v>1800</v>
      </c>
      <c r="CL234" s="76">
        <v>0</v>
      </c>
      <c r="CM234" s="76">
        <v>1100</v>
      </c>
      <c r="CN234" s="76">
        <v>13800</v>
      </c>
      <c r="CO234" s="76">
        <v>0</v>
      </c>
      <c r="CP234" s="76">
        <v>13800</v>
      </c>
      <c r="CQ234" s="76">
        <v>0</v>
      </c>
      <c r="CR234" s="76">
        <v>100</v>
      </c>
      <c r="CS234" s="76">
        <v>0</v>
      </c>
      <c r="CT234" s="76">
        <v>5700</v>
      </c>
      <c r="CU234" s="76">
        <v>-5600</v>
      </c>
      <c r="CV234" s="76">
        <v>0</v>
      </c>
      <c r="CW234" s="76">
        <v>0</v>
      </c>
      <c r="CX234" s="76">
        <v>0</v>
      </c>
      <c r="CY234" s="76">
        <v>0</v>
      </c>
      <c r="CZ234" s="76">
        <v>15300</v>
      </c>
      <c r="DA234" s="76">
        <v>0</v>
      </c>
      <c r="DB234" s="76">
        <v>13500</v>
      </c>
      <c r="DC234" s="76">
        <v>1800</v>
      </c>
      <c r="DD234" s="76">
        <v>32100</v>
      </c>
      <c r="DE234" s="76">
        <v>1800</v>
      </c>
      <c r="DF234" s="76">
        <v>33000</v>
      </c>
      <c r="DG234" s="76">
        <v>-2700</v>
      </c>
      <c r="DH234" s="76">
        <v>6200</v>
      </c>
      <c r="DI234" s="76">
        <v>3600</v>
      </c>
      <c r="DJ234" s="76">
        <v>0</v>
      </c>
      <c r="DK234" s="76">
        <v>2600</v>
      </c>
      <c r="DL234" s="76">
        <v>28300</v>
      </c>
      <c r="DM234" s="76">
        <v>0</v>
      </c>
      <c r="DN234" s="76">
        <v>20300</v>
      </c>
      <c r="DO234" s="76">
        <v>8000</v>
      </c>
      <c r="DP234" s="76">
        <v>0</v>
      </c>
      <c r="DQ234" s="76">
        <v>0</v>
      </c>
      <c r="DR234" s="76">
        <v>0</v>
      </c>
      <c r="DS234" s="76">
        <v>0</v>
      </c>
      <c r="DT234" s="76">
        <v>0</v>
      </c>
      <c r="DU234" s="76">
        <v>0</v>
      </c>
      <c r="DV234" s="76">
        <v>0</v>
      </c>
      <c r="DW234" s="76">
        <v>0</v>
      </c>
      <c r="DX234" s="76">
        <v>0</v>
      </c>
      <c r="DY234" s="76">
        <v>0</v>
      </c>
      <c r="DZ234" s="76">
        <v>0</v>
      </c>
      <c r="EA234" s="76">
        <v>0</v>
      </c>
      <c r="EB234" s="76">
        <v>28600</v>
      </c>
      <c r="EC234" s="76">
        <v>0</v>
      </c>
      <c r="ED234" s="76">
        <v>28600</v>
      </c>
      <c r="EE234" s="76">
        <v>0</v>
      </c>
      <c r="EF234" s="76">
        <v>63100</v>
      </c>
      <c r="EG234" s="76">
        <v>3600</v>
      </c>
      <c r="EH234" s="76">
        <v>48900</v>
      </c>
      <c r="EI234" s="76">
        <v>10600</v>
      </c>
      <c r="EJ234" s="76">
        <v>95200</v>
      </c>
      <c r="EK234" s="76">
        <v>5400</v>
      </c>
      <c r="EL234" s="76">
        <v>81900</v>
      </c>
      <c r="EM234" s="76">
        <v>7900</v>
      </c>
      <c r="EN234" s="76">
        <v>18175</v>
      </c>
      <c r="EO234" s="76">
        <v>4374</v>
      </c>
      <c r="EP234" s="76">
        <v>6036</v>
      </c>
      <c r="EQ234" s="76">
        <v>4374</v>
      </c>
      <c r="ER234" s="76">
        <v>3652400</v>
      </c>
      <c r="ES234" s="76">
        <v>0</v>
      </c>
      <c r="ET234" s="76">
        <v>3652400</v>
      </c>
      <c r="EU234" s="76">
        <v>76600</v>
      </c>
      <c r="EV234" s="76">
        <v>-12800</v>
      </c>
      <c r="EW234" s="76">
        <v>237900</v>
      </c>
      <c r="EX234" s="76">
        <v>0</v>
      </c>
      <c r="EY234" s="76">
        <v>-14200</v>
      </c>
      <c r="EZ234" s="76">
        <v>3939900</v>
      </c>
      <c r="FA234" s="76">
        <v>185000</v>
      </c>
      <c r="FB234" s="76">
        <v>23900</v>
      </c>
      <c r="FC234" s="76">
        <v>0</v>
      </c>
      <c r="FD234" s="76">
        <v>0</v>
      </c>
      <c r="FE234" s="76">
        <v>-5000</v>
      </c>
      <c r="FF234" s="76">
        <v>0</v>
      </c>
      <c r="FG234" s="76">
        <v>0</v>
      </c>
      <c r="FH234" s="76">
        <v>203900</v>
      </c>
      <c r="FI234" s="76">
        <v>3736000</v>
      </c>
      <c r="FJ234" s="76">
        <v>3467400</v>
      </c>
      <c r="FK234" s="76">
        <v>3000</v>
      </c>
      <c r="FL234" s="76">
        <v>1300</v>
      </c>
      <c r="FM234" s="76">
        <v>1700</v>
      </c>
      <c r="FN234" s="76">
        <v>4600</v>
      </c>
      <c r="FO234" s="76">
        <v>5000</v>
      </c>
      <c r="FP234" s="76">
        <v>-400</v>
      </c>
      <c r="FQ234" s="76">
        <v>2000</v>
      </c>
      <c r="FR234" s="76">
        <v>2000</v>
      </c>
      <c r="FS234" s="76">
        <v>0</v>
      </c>
      <c r="FT234" s="76">
        <v>2900</v>
      </c>
      <c r="FU234" s="76">
        <v>2500</v>
      </c>
      <c r="FV234" s="76">
        <v>400</v>
      </c>
      <c r="FW234" s="76">
        <v>0</v>
      </c>
      <c r="FX234" s="76">
        <v>0</v>
      </c>
      <c r="FY234" s="76">
        <v>0</v>
      </c>
      <c r="FZ234" s="76">
        <v>7800</v>
      </c>
      <c r="GA234" s="76">
        <v>7300</v>
      </c>
      <c r="GB234" s="76">
        <v>500</v>
      </c>
      <c r="GC234" s="76">
        <v>20300</v>
      </c>
      <c r="GD234" s="76">
        <v>18100</v>
      </c>
      <c r="GE234" s="76">
        <v>2200</v>
      </c>
      <c r="GF234" s="76">
        <v>58200</v>
      </c>
      <c r="GG234" s="76">
        <v>0</v>
      </c>
      <c r="GH234" s="76">
        <v>0</v>
      </c>
      <c r="GI234" s="76">
        <v>0</v>
      </c>
      <c r="GJ234" s="76">
        <v>0</v>
      </c>
      <c r="GK234" s="76">
        <v>1300</v>
      </c>
      <c r="GL234" s="76">
        <v>59500</v>
      </c>
      <c r="GM234" s="76">
        <v>6200</v>
      </c>
      <c r="GN234" s="76">
        <v>14100</v>
      </c>
      <c r="GO234" s="76">
        <v>9800</v>
      </c>
      <c r="GP234" s="76">
        <v>500</v>
      </c>
      <c r="GQ234" s="76">
        <v>2100</v>
      </c>
      <c r="GR234" s="76">
        <v>63400</v>
      </c>
      <c r="GS234" s="76">
        <v>100</v>
      </c>
      <c r="GT234" s="76">
        <v>0</v>
      </c>
      <c r="GU234" s="76">
        <v>0</v>
      </c>
      <c r="GV234" s="76">
        <v>0</v>
      </c>
      <c r="GW234" s="76">
        <v>22800</v>
      </c>
      <c r="GX234" s="76">
        <v>119000</v>
      </c>
      <c r="GY234" s="76">
        <v>3900</v>
      </c>
      <c r="GZ234" s="76">
        <v>1100</v>
      </c>
      <c r="HA234" s="76">
        <v>0</v>
      </c>
      <c r="HB234" s="76">
        <v>0</v>
      </c>
      <c r="HC234" s="76">
        <v>5000</v>
      </c>
      <c r="HD234" s="76">
        <v>0</v>
      </c>
      <c r="HE234" s="76">
        <v>3200</v>
      </c>
      <c r="HF234" s="76">
        <v>3200</v>
      </c>
      <c r="HG234" s="76">
        <v>97200</v>
      </c>
      <c r="HH234" s="76">
        <v>100</v>
      </c>
      <c r="HI234" s="76">
        <v>1800</v>
      </c>
      <c r="HJ234" s="76">
        <v>0</v>
      </c>
      <c r="HK234" s="76">
        <v>1200</v>
      </c>
      <c r="HL234" s="76">
        <v>-1200</v>
      </c>
      <c r="HM234" s="76">
        <v>99100</v>
      </c>
      <c r="HN234" s="76">
        <v>52700</v>
      </c>
      <c r="HO234" s="76">
        <v>37000</v>
      </c>
      <c r="HP234" s="76">
        <v>0</v>
      </c>
      <c r="HQ234" s="76">
        <v>327</v>
      </c>
      <c r="HR234" s="76">
        <v>-725</v>
      </c>
      <c r="HS234" s="76">
        <v>4461</v>
      </c>
      <c r="HT234" s="76">
        <v>72517</v>
      </c>
      <c r="HU234" s="76">
        <v>0</v>
      </c>
      <c r="HV234" s="76">
        <v>-10</v>
      </c>
      <c r="HW234" s="76">
        <v>-7810</v>
      </c>
      <c r="HX234" s="76">
        <v>2920</v>
      </c>
    </row>
    <row r="235" spans="1:232" x14ac:dyDescent="0.2">
      <c r="A235" s="74" t="s">
        <v>655</v>
      </c>
      <c r="B235" s="74" t="s">
        <v>654</v>
      </c>
      <c r="C235" s="75" t="s">
        <v>200</v>
      </c>
      <c r="D235" s="75">
        <v>12</v>
      </c>
      <c r="E235" s="76">
        <v>45230</v>
      </c>
      <c r="F235" s="76">
        <v>-3822</v>
      </c>
      <c r="G235" s="76">
        <v>-23440</v>
      </c>
      <c r="H235" s="76">
        <v>17968</v>
      </c>
      <c r="I235" s="76">
        <v>941</v>
      </c>
      <c r="J235" s="76">
        <v>0</v>
      </c>
      <c r="K235" s="76">
        <v>0</v>
      </c>
      <c r="L235" s="76">
        <v>0</v>
      </c>
      <c r="M235" s="76">
        <v>87</v>
      </c>
      <c r="N235" s="76">
        <v>-11704</v>
      </c>
      <c r="O235" s="76">
        <v>0</v>
      </c>
      <c r="P235" s="76">
        <v>0</v>
      </c>
      <c r="Q235" s="76">
        <v>0</v>
      </c>
      <c r="R235" s="76">
        <v>0</v>
      </c>
      <c r="S235" s="76">
        <v>7292</v>
      </c>
      <c r="T235" s="76">
        <v>0</v>
      </c>
      <c r="U235" s="76">
        <v>7292</v>
      </c>
      <c r="V235" s="76">
        <v>536</v>
      </c>
      <c r="W235" s="76">
        <v>24</v>
      </c>
      <c r="X235" s="76">
        <v>0</v>
      </c>
      <c r="Y235" s="76">
        <v>0</v>
      </c>
      <c r="Z235" s="76">
        <v>7852</v>
      </c>
      <c r="AA235" s="76">
        <v>33043</v>
      </c>
      <c r="AB235" s="76">
        <v>4895</v>
      </c>
      <c r="AC235" s="76">
        <v>37938</v>
      </c>
      <c r="AD235" s="76">
        <v>576</v>
      </c>
      <c r="AE235" s="76">
        <v>0</v>
      </c>
      <c r="AF235" s="76">
        <v>0</v>
      </c>
      <c r="AG235" s="76">
        <v>0</v>
      </c>
      <c r="AH235" s="76">
        <v>38514</v>
      </c>
      <c r="AI235" s="76">
        <v>3606</v>
      </c>
      <c r="AJ235" s="76">
        <v>5484</v>
      </c>
      <c r="AK235" s="76">
        <v>3563</v>
      </c>
      <c r="AL235" s="76">
        <v>1987</v>
      </c>
      <c r="AM235" s="76">
        <v>1259</v>
      </c>
      <c r="AN235" s="76">
        <v>125</v>
      </c>
      <c r="AO235" s="76">
        <v>5603</v>
      </c>
      <c r="AP235" s="76">
        <v>0</v>
      </c>
      <c r="AQ235" s="76">
        <v>1594</v>
      </c>
      <c r="AR235" s="76">
        <v>23221</v>
      </c>
      <c r="AS235" s="76">
        <v>15293</v>
      </c>
      <c r="AT235" s="76">
        <v>548</v>
      </c>
      <c r="AU235" s="76">
        <v>289726</v>
      </c>
      <c r="AV235" s="76">
        <v>0</v>
      </c>
      <c r="AW235" s="76">
        <v>1759</v>
      </c>
      <c r="AX235" s="76">
        <v>358</v>
      </c>
      <c r="AY235" s="76">
        <v>0</v>
      </c>
      <c r="AZ235" s="76">
        <v>23874</v>
      </c>
      <c r="BA235" s="76">
        <v>0</v>
      </c>
      <c r="BB235" s="76">
        <v>0</v>
      </c>
      <c r="BC235" s="76">
        <v>0</v>
      </c>
      <c r="BD235" s="76">
        <v>50</v>
      </c>
      <c r="BE235" s="76">
        <v>315767</v>
      </c>
      <c r="BF235" s="76">
        <v>8100</v>
      </c>
      <c r="BG235" s="76">
        <v>2311</v>
      </c>
      <c r="BH235" s="76">
        <v>13187</v>
      </c>
      <c r="BI235" s="76">
        <v>0</v>
      </c>
      <c r="BJ235" s="76">
        <v>185</v>
      </c>
      <c r="BK235" s="76">
        <v>23783</v>
      </c>
      <c r="BL235" s="76">
        <v>0</v>
      </c>
      <c r="BM235" s="76">
        <v>0</v>
      </c>
      <c r="BN235" s="76">
        <v>602</v>
      </c>
      <c r="BO235" s="76">
        <v>11635</v>
      </c>
      <c r="BP235" s="76">
        <v>12237</v>
      </c>
      <c r="BQ235" s="76">
        <v>11546</v>
      </c>
      <c r="BR235" s="76">
        <v>327313</v>
      </c>
      <c r="BS235" s="76">
        <v>220540</v>
      </c>
      <c r="BT235" s="76">
        <v>38</v>
      </c>
      <c r="BU235" s="76">
        <v>0</v>
      </c>
      <c r="BV235" s="76">
        <v>59230</v>
      </c>
      <c r="BW235" s="76">
        <v>0</v>
      </c>
      <c r="BX235" s="76">
        <v>0</v>
      </c>
      <c r="BY235" s="76">
        <v>0</v>
      </c>
      <c r="BZ235" s="76">
        <v>279808</v>
      </c>
      <c r="CA235" s="76">
        <v>3410</v>
      </c>
      <c r="CB235" s="76">
        <v>30</v>
      </c>
      <c r="CC235" s="76">
        <v>44065</v>
      </c>
      <c r="CD235" s="76">
        <v>44065</v>
      </c>
      <c r="CE235" s="76">
        <v>0</v>
      </c>
      <c r="CF235" s="76">
        <v>0</v>
      </c>
      <c r="CG235" s="76">
        <v>0</v>
      </c>
      <c r="CH235" s="76">
        <v>0</v>
      </c>
      <c r="CI235" s="76">
        <v>44065</v>
      </c>
      <c r="CJ235" s="76">
        <v>5321</v>
      </c>
      <c r="CK235" s="76">
        <v>3822</v>
      </c>
      <c r="CL235" s="76">
        <v>0</v>
      </c>
      <c r="CM235" s="76">
        <v>1499</v>
      </c>
      <c r="CN235" s="76">
        <v>0</v>
      </c>
      <c r="CO235" s="76">
        <v>0</v>
      </c>
      <c r="CP235" s="76">
        <v>0</v>
      </c>
      <c r="CQ235" s="76">
        <v>0</v>
      </c>
      <c r="CR235" s="76">
        <v>0</v>
      </c>
      <c r="CS235" s="76">
        <v>0</v>
      </c>
      <c r="CT235" s="76">
        <v>0</v>
      </c>
      <c r="CU235" s="76">
        <v>0</v>
      </c>
      <c r="CV235" s="76">
        <v>0</v>
      </c>
      <c r="CW235" s="76">
        <v>0</v>
      </c>
      <c r="CX235" s="76">
        <v>0</v>
      </c>
      <c r="CY235" s="76">
        <v>0</v>
      </c>
      <c r="CZ235" s="76">
        <v>86</v>
      </c>
      <c r="DA235" s="76">
        <v>0</v>
      </c>
      <c r="DB235" s="76">
        <v>0</v>
      </c>
      <c r="DC235" s="76">
        <v>86</v>
      </c>
      <c r="DD235" s="76">
        <v>5407</v>
      </c>
      <c r="DE235" s="76">
        <v>3822</v>
      </c>
      <c r="DF235" s="76">
        <v>0</v>
      </c>
      <c r="DG235" s="76">
        <v>1585</v>
      </c>
      <c r="DH235" s="76">
        <v>0</v>
      </c>
      <c r="DI235" s="76">
        <v>0</v>
      </c>
      <c r="DJ235" s="76">
        <v>0</v>
      </c>
      <c r="DK235" s="76">
        <v>0</v>
      </c>
      <c r="DL235" s="76">
        <v>0</v>
      </c>
      <c r="DM235" s="76">
        <v>0</v>
      </c>
      <c r="DN235" s="76">
        <v>0</v>
      </c>
      <c r="DO235" s="76">
        <v>0</v>
      </c>
      <c r="DP235" s="76">
        <v>0</v>
      </c>
      <c r="DQ235" s="76">
        <v>0</v>
      </c>
      <c r="DR235" s="76">
        <v>0</v>
      </c>
      <c r="DS235" s="76">
        <v>0</v>
      </c>
      <c r="DT235" s="76">
        <v>733</v>
      </c>
      <c r="DU235" s="76">
        <v>0</v>
      </c>
      <c r="DV235" s="76">
        <v>189</v>
      </c>
      <c r="DW235" s="76">
        <v>544</v>
      </c>
      <c r="DX235" s="76">
        <v>0</v>
      </c>
      <c r="DY235" s="76">
        <v>0</v>
      </c>
      <c r="DZ235" s="76">
        <v>0</v>
      </c>
      <c r="EA235" s="76">
        <v>0</v>
      </c>
      <c r="EB235" s="76">
        <v>576</v>
      </c>
      <c r="EC235" s="76">
        <v>0</v>
      </c>
      <c r="ED235" s="76">
        <v>30</v>
      </c>
      <c r="EE235" s="76">
        <v>546</v>
      </c>
      <c r="EF235" s="76">
        <v>1309</v>
      </c>
      <c r="EG235" s="76">
        <v>0</v>
      </c>
      <c r="EH235" s="76">
        <v>219</v>
      </c>
      <c r="EI235" s="76">
        <v>1090</v>
      </c>
      <c r="EJ235" s="76">
        <v>6716</v>
      </c>
      <c r="EK235" s="76">
        <v>3822</v>
      </c>
      <c r="EL235" s="76">
        <v>219</v>
      </c>
      <c r="EM235" s="76">
        <v>2675</v>
      </c>
      <c r="EN235" s="76">
        <v>858</v>
      </c>
      <c r="EO235" s="76">
        <v>173</v>
      </c>
      <c r="EP235" s="76">
        <v>72</v>
      </c>
      <c r="EQ235" s="76">
        <v>173</v>
      </c>
      <c r="ER235" s="76">
        <v>315648</v>
      </c>
      <c r="ES235" s="76">
        <v>0</v>
      </c>
      <c r="ET235" s="76">
        <v>315648</v>
      </c>
      <c r="EU235" s="76">
        <v>15375</v>
      </c>
      <c r="EV235" s="76">
        <v>-730</v>
      </c>
      <c r="EW235" s="76">
        <v>0</v>
      </c>
      <c r="EX235" s="76">
        <v>0</v>
      </c>
      <c r="EY235" s="76">
        <v>-776</v>
      </c>
      <c r="EZ235" s="76">
        <v>329517</v>
      </c>
      <c r="FA235" s="76">
        <v>35238</v>
      </c>
      <c r="FB235" s="76">
        <v>5143</v>
      </c>
      <c r="FC235" s="76">
        <v>0</v>
      </c>
      <c r="FD235" s="76">
        <v>0</v>
      </c>
      <c r="FE235" s="76">
        <v>-590</v>
      </c>
      <c r="FF235" s="76">
        <v>0</v>
      </c>
      <c r="FG235" s="76">
        <v>0</v>
      </c>
      <c r="FH235" s="76">
        <v>39791</v>
      </c>
      <c r="FI235" s="76">
        <v>289726</v>
      </c>
      <c r="FJ235" s="76">
        <v>280410</v>
      </c>
      <c r="FK235" s="76">
        <v>447</v>
      </c>
      <c r="FL235" s="76">
        <v>261</v>
      </c>
      <c r="FM235" s="76">
        <v>186</v>
      </c>
      <c r="FN235" s="76">
        <v>1934</v>
      </c>
      <c r="FO235" s="76">
        <v>1817</v>
      </c>
      <c r="FP235" s="76">
        <v>117</v>
      </c>
      <c r="FQ235" s="76">
        <v>0</v>
      </c>
      <c r="FR235" s="76">
        <v>0</v>
      </c>
      <c r="FS235" s="76">
        <v>0</v>
      </c>
      <c r="FT235" s="76">
        <v>342</v>
      </c>
      <c r="FU235" s="76">
        <v>100</v>
      </c>
      <c r="FV235" s="76">
        <v>242</v>
      </c>
      <c r="FW235" s="76">
        <v>0</v>
      </c>
      <c r="FX235" s="76">
        <v>0</v>
      </c>
      <c r="FY235" s="76">
        <v>0</v>
      </c>
      <c r="FZ235" s="76">
        <v>1193</v>
      </c>
      <c r="GA235" s="76">
        <v>797</v>
      </c>
      <c r="GB235" s="76">
        <v>396</v>
      </c>
      <c r="GC235" s="76">
        <v>3916</v>
      </c>
      <c r="GD235" s="76">
        <v>2975</v>
      </c>
      <c r="GE235" s="76">
        <v>941</v>
      </c>
      <c r="GF235" s="76">
        <v>0</v>
      </c>
      <c r="GG235" s="76">
        <v>0</v>
      </c>
      <c r="GH235" s="76">
        <v>0</v>
      </c>
      <c r="GI235" s="76">
        <v>0</v>
      </c>
      <c r="GJ235" s="76">
        <v>0</v>
      </c>
      <c r="GK235" s="76">
        <v>185</v>
      </c>
      <c r="GL235" s="76">
        <v>185</v>
      </c>
      <c r="GM235" s="76">
        <v>292</v>
      </c>
      <c r="GN235" s="76">
        <v>315</v>
      </c>
      <c r="GO235" s="76">
        <v>0</v>
      </c>
      <c r="GP235" s="76">
        <v>870</v>
      </c>
      <c r="GQ235" s="76">
        <v>0</v>
      </c>
      <c r="GR235" s="76">
        <v>1712</v>
      </c>
      <c r="GS235" s="76">
        <v>0</v>
      </c>
      <c r="GT235" s="76">
        <v>0</v>
      </c>
      <c r="GU235" s="76">
        <v>0</v>
      </c>
      <c r="GV235" s="76">
        <v>0</v>
      </c>
      <c r="GW235" s="76">
        <v>8446</v>
      </c>
      <c r="GX235" s="76">
        <v>11635</v>
      </c>
      <c r="GY235" s="76">
        <v>0</v>
      </c>
      <c r="GZ235" s="76">
        <v>0</v>
      </c>
      <c r="HA235" s="76">
        <v>0</v>
      </c>
      <c r="HB235" s="76">
        <v>0</v>
      </c>
      <c r="HC235" s="76">
        <v>0</v>
      </c>
      <c r="HD235" s="76">
        <v>0</v>
      </c>
      <c r="HE235" s="76">
        <v>30</v>
      </c>
      <c r="HF235" s="76">
        <v>30</v>
      </c>
      <c r="HG235" s="76">
        <v>12094</v>
      </c>
      <c r="HH235" s="76">
        <v>121</v>
      </c>
      <c r="HI235" s="76">
        <v>111</v>
      </c>
      <c r="HJ235" s="76">
        <v>0</v>
      </c>
      <c r="HK235" s="76">
        <v>114</v>
      </c>
      <c r="HL235" s="76">
        <v>-736</v>
      </c>
      <c r="HM235" s="76">
        <v>11704</v>
      </c>
      <c r="HN235" s="76">
        <v>4815</v>
      </c>
      <c r="HO235" s="76">
        <v>5603</v>
      </c>
      <c r="HP235" s="76">
        <v>0</v>
      </c>
      <c r="HQ235" s="76">
        <v>86</v>
      </c>
      <c r="HR235" s="76">
        <v>-17</v>
      </c>
      <c r="HS235" s="76">
        <v>0</v>
      </c>
      <c r="HT235" s="76">
        <v>5975</v>
      </c>
      <c r="HU235" s="76">
        <v>81</v>
      </c>
      <c r="HV235" s="76">
        <v>0</v>
      </c>
      <c r="HW235" s="76">
        <v>7</v>
      </c>
      <c r="HX235" s="76">
        <v>558</v>
      </c>
    </row>
    <row r="236" spans="1:232" x14ac:dyDescent="0.2">
      <c r="A236" s="71" t="s">
        <v>658</v>
      </c>
      <c r="B236" s="71" t="s">
        <v>657</v>
      </c>
      <c r="C236" s="72" t="s">
        <v>200</v>
      </c>
      <c r="D236" s="72">
        <v>12</v>
      </c>
      <c r="E236" s="73">
        <v>35272</v>
      </c>
      <c r="F236" s="73">
        <v>-1292</v>
      </c>
      <c r="G236" s="73">
        <v>-21428</v>
      </c>
      <c r="H236" s="73">
        <v>12552</v>
      </c>
      <c r="I236" s="73">
        <v>518</v>
      </c>
      <c r="J236" s="73">
        <v>0</v>
      </c>
      <c r="K236" s="73">
        <v>0</v>
      </c>
      <c r="L236" s="73">
        <v>0</v>
      </c>
      <c r="M236" s="73">
        <v>91</v>
      </c>
      <c r="N236" s="73">
        <v>-3154</v>
      </c>
      <c r="O236" s="73">
        <v>267</v>
      </c>
      <c r="P236" s="73">
        <v>0</v>
      </c>
      <c r="Q236" s="73">
        <v>0</v>
      </c>
      <c r="R236" s="73">
        <v>0</v>
      </c>
      <c r="S236" s="73">
        <v>10274</v>
      </c>
      <c r="T236" s="73">
        <v>0</v>
      </c>
      <c r="U236" s="73">
        <v>10274</v>
      </c>
      <c r="V236" s="73">
        <v>0</v>
      </c>
      <c r="W236" s="73">
        <v>-1873</v>
      </c>
      <c r="X236" s="73">
        <v>0</v>
      </c>
      <c r="Y236" s="73">
        <v>0</v>
      </c>
      <c r="Z236" s="73">
        <v>8401</v>
      </c>
      <c r="AA236" s="73">
        <v>31137</v>
      </c>
      <c r="AB236" s="73">
        <v>925</v>
      </c>
      <c r="AC236" s="73">
        <v>32062</v>
      </c>
      <c r="AD236" s="73">
        <v>273</v>
      </c>
      <c r="AE236" s="73">
        <v>0</v>
      </c>
      <c r="AF236" s="73">
        <v>0</v>
      </c>
      <c r="AG236" s="73">
        <v>0</v>
      </c>
      <c r="AH236" s="73">
        <v>32335</v>
      </c>
      <c r="AI236" s="73">
        <v>4211</v>
      </c>
      <c r="AJ236" s="73">
        <v>2007</v>
      </c>
      <c r="AK236" s="73">
        <v>4188</v>
      </c>
      <c r="AL236" s="73">
        <v>1966</v>
      </c>
      <c r="AM236" s="73">
        <v>2363</v>
      </c>
      <c r="AN236" s="73">
        <v>131</v>
      </c>
      <c r="AO236" s="73">
        <v>5431</v>
      </c>
      <c r="AP236" s="73">
        <v>0</v>
      </c>
      <c r="AQ236" s="73">
        <v>0</v>
      </c>
      <c r="AR236" s="73">
        <v>20297</v>
      </c>
      <c r="AS236" s="73">
        <v>12038</v>
      </c>
      <c r="AT236" s="73">
        <v>289</v>
      </c>
      <c r="AU236" s="73">
        <v>354945</v>
      </c>
      <c r="AV236" s="73">
        <v>0</v>
      </c>
      <c r="AW236" s="73">
        <v>2524</v>
      </c>
      <c r="AX236" s="73">
        <v>0</v>
      </c>
      <c r="AY236" s="73">
        <v>0</v>
      </c>
      <c r="AZ236" s="73">
        <v>1297</v>
      </c>
      <c r="BA236" s="73">
        <v>0</v>
      </c>
      <c r="BB236" s="73">
        <v>0</v>
      </c>
      <c r="BC236" s="73">
        <v>0</v>
      </c>
      <c r="BD236" s="73">
        <v>1350</v>
      </c>
      <c r="BE236" s="73">
        <v>360116</v>
      </c>
      <c r="BF236" s="73">
        <v>953</v>
      </c>
      <c r="BG236" s="73">
        <v>1886</v>
      </c>
      <c r="BH236" s="73">
        <v>30196</v>
      </c>
      <c r="BI236" s="73">
        <v>0</v>
      </c>
      <c r="BJ236" s="73">
        <v>562</v>
      </c>
      <c r="BK236" s="73">
        <v>33597</v>
      </c>
      <c r="BL236" s="73">
        <v>0</v>
      </c>
      <c r="BM236" s="73">
        <v>0</v>
      </c>
      <c r="BN236" s="73">
        <v>0</v>
      </c>
      <c r="BO236" s="73">
        <v>6671</v>
      </c>
      <c r="BP236" s="73">
        <v>6671</v>
      </c>
      <c r="BQ236" s="73">
        <v>26926</v>
      </c>
      <c r="BR236" s="73">
        <v>387042</v>
      </c>
      <c r="BS236" s="73">
        <v>132471</v>
      </c>
      <c r="BT236" s="73">
        <v>0</v>
      </c>
      <c r="BU236" s="73">
        <v>0</v>
      </c>
      <c r="BV236" s="73">
        <v>24553</v>
      </c>
      <c r="BW236" s="73">
        <v>0</v>
      </c>
      <c r="BX236" s="73">
        <v>0</v>
      </c>
      <c r="BY236" s="73">
        <v>1103</v>
      </c>
      <c r="BZ236" s="73">
        <v>158127</v>
      </c>
      <c r="CA236" s="73">
        <v>7453</v>
      </c>
      <c r="CB236" s="73">
        <v>0</v>
      </c>
      <c r="CC236" s="73">
        <v>221462</v>
      </c>
      <c r="CD236" s="73">
        <v>79651</v>
      </c>
      <c r="CE236" s="73">
        <v>141811</v>
      </c>
      <c r="CF236" s="73">
        <v>0</v>
      </c>
      <c r="CG236" s="73">
        <v>0</v>
      </c>
      <c r="CH236" s="73">
        <v>0</v>
      </c>
      <c r="CI236" s="73">
        <v>221462</v>
      </c>
      <c r="CJ236" s="73">
        <v>1608</v>
      </c>
      <c r="CK236" s="73">
        <v>1292</v>
      </c>
      <c r="CL236" s="73">
        <v>0</v>
      </c>
      <c r="CM236" s="73">
        <v>316</v>
      </c>
      <c r="CN236" s="73">
        <v>155</v>
      </c>
      <c r="CO236" s="73">
        <v>0</v>
      </c>
      <c r="CP236" s="73">
        <v>90</v>
      </c>
      <c r="CQ236" s="73">
        <v>65</v>
      </c>
      <c r="CR236" s="73">
        <v>0</v>
      </c>
      <c r="CS236" s="73">
        <v>0</v>
      </c>
      <c r="CT236" s="73">
        <v>463</v>
      </c>
      <c r="CU236" s="73">
        <v>-463</v>
      </c>
      <c r="CV236" s="73">
        <v>0</v>
      </c>
      <c r="CW236" s="73">
        <v>0</v>
      </c>
      <c r="CX236" s="73">
        <v>0</v>
      </c>
      <c r="CY236" s="73">
        <v>0</v>
      </c>
      <c r="CZ236" s="73">
        <v>0</v>
      </c>
      <c r="DA236" s="73">
        <v>0</v>
      </c>
      <c r="DB236" s="73">
        <v>0</v>
      </c>
      <c r="DC236" s="73">
        <v>0</v>
      </c>
      <c r="DD236" s="73">
        <v>1763</v>
      </c>
      <c r="DE236" s="73">
        <v>1292</v>
      </c>
      <c r="DF236" s="73">
        <v>553</v>
      </c>
      <c r="DG236" s="73">
        <v>-82</v>
      </c>
      <c r="DH236" s="73">
        <v>0</v>
      </c>
      <c r="DI236" s="73">
        <v>0</v>
      </c>
      <c r="DJ236" s="73">
        <v>0</v>
      </c>
      <c r="DK236" s="73">
        <v>0</v>
      </c>
      <c r="DL236" s="73">
        <v>0</v>
      </c>
      <c r="DM236" s="73">
        <v>0</v>
      </c>
      <c r="DN236" s="73">
        <v>0</v>
      </c>
      <c r="DO236" s="73">
        <v>0</v>
      </c>
      <c r="DP236" s="73">
        <v>0</v>
      </c>
      <c r="DQ236" s="73">
        <v>0</v>
      </c>
      <c r="DR236" s="73">
        <v>0</v>
      </c>
      <c r="DS236" s="73">
        <v>0</v>
      </c>
      <c r="DT236" s="73">
        <v>40</v>
      </c>
      <c r="DU236" s="73">
        <v>0</v>
      </c>
      <c r="DV236" s="73">
        <v>15</v>
      </c>
      <c r="DW236" s="73">
        <v>25</v>
      </c>
      <c r="DX236" s="73">
        <v>0</v>
      </c>
      <c r="DY236" s="73">
        <v>0</v>
      </c>
      <c r="DZ236" s="73">
        <v>0</v>
      </c>
      <c r="EA236" s="73">
        <v>0</v>
      </c>
      <c r="EB236" s="73">
        <v>1134</v>
      </c>
      <c r="EC236" s="73">
        <v>0</v>
      </c>
      <c r="ED236" s="73">
        <v>563</v>
      </c>
      <c r="EE236" s="73">
        <v>571</v>
      </c>
      <c r="EF236" s="73">
        <v>1174</v>
      </c>
      <c r="EG236" s="73">
        <v>0</v>
      </c>
      <c r="EH236" s="73">
        <v>578</v>
      </c>
      <c r="EI236" s="73">
        <v>596</v>
      </c>
      <c r="EJ236" s="73">
        <v>2937</v>
      </c>
      <c r="EK236" s="73">
        <v>1292</v>
      </c>
      <c r="EL236" s="73">
        <v>1131</v>
      </c>
      <c r="EM236" s="73">
        <v>514</v>
      </c>
      <c r="EN236" s="73">
        <v>846</v>
      </c>
      <c r="EO236" s="73">
        <v>361</v>
      </c>
      <c r="EP236" s="73">
        <v>33</v>
      </c>
      <c r="EQ236" s="73">
        <v>361</v>
      </c>
      <c r="ER236" s="73">
        <v>352461</v>
      </c>
      <c r="ES236" s="73">
        <v>0</v>
      </c>
      <c r="ET236" s="73">
        <v>352461</v>
      </c>
      <c r="EU236" s="73">
        <v>23847</v>
      </c>
      <c r="EV236" s="73">
        <v>-1204</v>
      </c>
      <c r="EW236" s="73">
        <v>0</v>
      </c>
      <c r="EX236" s="73">
        <v>0</v>
      </c>
      <c r="EY236" s="73">
        <v>0</v>
      </c>
      <c r="EZ236" s="73">
        <v>375104</v>
      </c>
      <c r="FA236" s="73">
        <v>14879</v>
      </c>
      <c r="FB236" s="73">
        <v>5367</v>
      </c>
      <c r="FC236" s="73">
        <v>0</v>
      </c>
      <c r="FD236" s="73">
        <v>0</v>
      </c>
      <c r="FE236" s="73">
        <v>-86</v>
      </c>
      <c r="FF236" s="73">
        <v>0</v>
      </c>
      <c r="FG236" s="73">
        <v>-1</v>
      </c>
      <c r="FH236" s="73">
        <v>20159</v>
      </c>
      <c r="FI236" s="73">
        <v>354945</v>
      </c>
      <c r="FJ236" s="73">
        <v>337582</v>
      </c>
      <c r="FK236" s="73">
        <v>133</v>
      </c>
      <c r="FL236" s="73">
        <v>58</v>
      </c>
      <c r="FM236" s="73">
        <v>75</v>
      </c>
      <c r="FN236" s="73">
        <v>493</v>
      </c>
      <c r="FO236" s="73">
        <v>392</v>
      </c>
      <c r="FP236" s="73">
        <v>101</v>
      </c>
      <c r="FQ236" s="73">
        <v>10</v>
      </c>
      <c r="FR236" s="73">
        <v>102</v>
      </c>
      <c r="FS236" s="73">
        <v>-92</v>
      </c>
      <c r="FT236" s="73">
        <v>913</v>
      </c>
      <c r="FU236" s="73">
        <v>479</v>
      </c>
      <c r="FV236" s="73">
        <v>434</v>
      </c>
      <c r="FW236" s="73">
        <v>0</v>
      </c>
      <c r="FX236" s="73">
        <v>0</v>
      </c>
      <c r="FY236" s="73">
        <v>0</v>
      </c>
      <c r="FZ236" s="73">
        <v>0</v>
      </c>
      <c r="GA236" s="73">
        <v>0</v>
      </c>
      <c r="GB236" s="73">
        <v>0</v>
      </c>
      <c r="GC236" s="73">
        <v>1549</v>
      </c>
      <c r="GD236" s="73">
        <v>1031</v>
      </c>
      <c r="GE236" s="73">
        <v>518</v>
      </c>
      <c r="GF236" s="73">
        <v>21</v>
      </c>
      <c r="GG236" s="73">
        <v>0</v>
      </c>
      <c r="GH236" s="73">
        <v>0</v>
      </c>
      <c r="GI236" s="73">
        <v>0</v>
      </c>
      <c r="GJ236" s="73">
        <v>0</v>
      </c>
      <c r="GK236" s="73">
        <v>541</v>
      </c>
      <c r="GL236" s="73">
        <v>562</v>
      </c>
      <c r="GM236" s="73">
        <v>297</v>
      </c>
      <c r="GN236" s="73">
        <v>415</v>
      </c>
      <c r="GO236" s="73">
        <v>323</v>
      </c>
      <c r="GP236" s="73">
        <v>0</v>
      </c>
      <c r="GQ236" s="73">
        <v>0</v>
      </c>
      <c r="GR236" s="73">
        <v>5030</v>
      </c>
      <c r="GS236" s="73">
        <v>0</v>
      </c>
      <c r="GT236" s="73">
        <v>0</v>
      </c>
      <c r="GU236" s="73">
        <v>0</v>
      </c>
      <c r="GV236" s="73">
        <v>0</v>
      </c>
      <c r="GW236" s="73">
        <v>606</v>
      </c>
      <c r="GX236" s="73">
        <v>6671</v>
      </c>
      <c r="GY236" s="73">
        <v>109</v>
      </c>
      <c r="GZ236" s="73">
        <v>510</v>
      </c>
      <c r="HA236" s="73">
        <v>0</v>
      </c>
      <c r="HB236" s="73">
        <v>484</v>
      </c>
      <c r="HC236" s="73">
        <v>1103</v>
      </c>
      <c r="HD236" s="73">
        <v>0</v>
      </c>
      <c r="HE236" s="73">
        <v>0</v>
      </c>
      <c r="HF236" s="73">
        <v>0</v>
      </c>
      <c r="HG236" s="73">
        <v>3082</v>
      </c>
      <c r="HH236" s="73">
        <v>-38</v>
      </c>
      <c r="HI236" s="73">
        <v>192</v>
      </c>
      <c r="HJ236" s="73">
        <v>0</v>
      </c>
      <c r="HK236" s="73">
        <v>0</v>
      </c>
      <c r="HL236" s="73">
        <v>-82</v>
      </c>
      <c r="HM236" s="73">
        <v>3154</v>
      </c>
      <c r="HN236" s="73">
        <v>2212</v>
      </c>
      <c r="HO236" s="73">
        <v>5718</v>
      </c>
      <c r="HP236" s="73">
        <v>0</v>
      </c>
      <c r="HQ236" s="73">
        <v>141</v>
      </c>
      <c r="HR236" s="73">
        <v>-17</v>
      </c>
      <c r="HS236" s="73">
        <v>-20</v>
      </c>
      <c r="HT236" s="73">
        <v>6066</v>
      </c>
      <c r="HU236" s="73">
        <v>0</v>
      </c>
      <c r="HV236" s="73">
        <v>0</v>
      </c>
      <c r="HW236" s="73">
        <v>1</v>
      </c>
      <c r="HX236" s="73">
        <v>94</v>
      </c>
    </row>
    <row r="237" spans="1:232" x14ac:dyDescent="0.2">
      <c r="A237" s="71" t="s">
        <v>661</v>
      </c>
      <c r="B237" s="71" t="s">
        <v>660</v>
      </c>
      <c r="C237" s="72" t="s">
        <v>200</v>
      </c>
      <c r="D237" s="72">
        <v>12</v>
      </c>
      <c r="E237" s="73">
        <v>77207</v>
      </c>
      <c r="F237" s="73">
        <v>-9369</v>
      </c>
      <c r="G237" s="73">
        <v>-32536</v>
      </c>
      <c r="H237" s="73">
        <v>35302</v>
      </c>
      <c r="I237" s="73">
        <v>4411</v>
      </c>
      <c r="J237" s="73">
        <v>0</v>
      </c>
      <c r="K237" s="73">
        <v>0</v>
      </c>
      <c r="L237" s="73">
        <v>0</v>
      </c>
      <c r="M237" s="73">
        <v>993</v>
      </c>
      <c r="N237" s="73">
        <v>-7974</v>
      </c>
      <c r="O237" s="73">
        <v>136</v>
      </c>
      <c r="P237" s="73">
        <v>0</v>
      </c>
      <c r="Q237" s="73">
        <v>0</v>
      </c>
      <c r="R237" s="73">
        <v>0</v>
      </c>
      <c r="S237" s="73">
        <v>32868</v>
      </c>
      <c r="T237" s="73">
        <v>0</v>
      </c>
      <c r="U237" s="73">
        <v>32868</v>
      </c>
      <c r="V237" s="73">
        <v>0</v>
      </c>
      <c r="W237" s="73">
        <v>170</v>
      </c>
      <c r="X237" s="73">
        <v>0</v>
      </c>
      <c r="Y237" s="73">
        <v>0</v>
      </c>
      <c r="Z237" s="73">
        <v>33038</v>
      </c>
      <c r="AA237" s="73">
        <v>55164</v>
      </c>
      <c r="AB237" s="73">
        <v>1685</v>
      </c>
      <c r="AC237" s="73">
        <v>56849</v>
      </c>
      <c r="AD237" s="73">
        <v>1594</v>
      </c>
      <c r="AE237" s="73">
        <v>0</v>
      </c>
      <c r="AF237" s="73">
        <v>0</v>
      </c>
      <c r="AG237" s="73">
        <v>2</v>
      </c>
      <c r="AH237" s="73">
        <v>58445</v>
      </c>
      <c r="AI237" s="73">
        <v>6466</v>
      </c>
      <c r="AJ237" s="73">
        <v>2051</v>
      </c>
      <c r="AK237" s="73">
        <v>5097</v>
      </c>
      <c r="AL237" s="73">
        <v>2145</v>
      </c>
      <c r="AM237" s="73">
        <v>3521</v>
      </c>
      <c r="AN237" s="73">
        <v>135</v>
      </c>
      <c r="AO237" s="73">
        <v>10312</v>
      </c>
      <c r="AP237" s="73">
        <v>0</v>
      </c>
      <c r="AQ237" s="73">
        <v>487</v>
      </c>
      <c r="AR237" s="73">
        <v>30214</v>
      </c>
      <c r="AS237" s="73">
        <v>28231</v>
      </c>
      <c r="AT237" s="73">
        <v>314</v>
      </c>
      <c r="AU237" s="73">
        <v>604942</v>
      </c>
      <c r="AV237" s="73">
        <v>0</v>
      </c>
      <c r="AW237" s="73">
        <v>3546</v>
      </c>
      <c r="AX237" s="73">
        <v>0</v>
      </c>
      <c r="AY237" s="73">
        <v>2709</v>
      </c>
      <c r="AZ237" s="73">
        <v>31651</v>
      </c>
      <c r="BA237" s="73">
        <v>0</v>
      </c>
      <c r="BB237" s="73">
        <v>0</v>
      </c>
      <c r="BC237" s="73">
        <v>0</v>
      </c>
      <c r="BD237" s="73">
        <v>0</v>
      </c>
      <c r="BE237" s="73">
        <v>642848</v>
      </c>
      <c r="BF237" s="73">
        <v>15785</v>
      </c>
      <c r="BG237" s="73">
        <v>19473</v>
      </c>
      <c r="BH237" s="73">
        <v>68105</v>
      </c>
      <c r="BI237" s="73">
        <v>0</v>
      </c>
      <c r="BJ237" s="73">
        <v>0</v>
      </c>
      <c r="BK237" s="73">
        <v>103363</v>
      </c>
      <c r="BL237" s="73">
        <v>532</v>
      </c>
      <c r="BM237" s="73">
        <v>0</v>
      </c>
      <c r="BN237" s="73">
        <v>1741</v>
      </c>
      <c r="BO237" s="73">
        <v>16180</v>
      </c>
      <c r="BP237" s="73">
        <v>18453</v>
      </c>
      <c r="BQ237" s="73">
        <v>84910</v>
      </c>
      <c r="BR237" s="73">
        <v>727758</v>
      </c>
      <c r="BS237" s="73">
        <v>347438</v>
      </c>
      <c r="BT237" s="73">
        <v>0</v>
      </c>
      <c r="BU237" s="73">
        <v>0</v>
      </c>
      <c r="BV237" s="73">
        <v>157529</v>
      </c>
      <c r="BW237" s="73">
        <v>1387</v>
      </c>
      <c r="BX237" s="73">
        <v>0</v>
      </c>
      <c r="BY237" s="73">
        <v>2349</v>
      </c>
      <c r="BZ237" s="73">
        <v>508703</v>
      </c>
      <c r="CA237" s="73">
        <v>7580</v>
      </c>
      <c r="CB237" s="73">
        <v>0</v>
      </c>
      <c r="CC237" s="73">
        <v>211475</v>
      </c>
      <c r="CD237" s="73">
        <v>211475</v>
      </c>
      <c r="CE237" s="73">
        <v>0</v>
      </c>
      <c r="CF237" s="73">
        <v>0</v>
      </c>
      <c r="CG237" s="73">
        <v>0</v>
      </c>
      <c r="CH237" s="73">
        <v>0</v>
      </c>
      <c r="CI237" s="73">
        <v>211475</v>
      </c>
      <c r="CJ237" s="73">
        <v>16294</v>
      </c>
      <c r="CK237" s="73">
        <v>9369</v>
      </c>
      <c r="CL237" s="73">
        <v>0</v>
      </c>
      <c r="CM237" s="73">
        <v>6925</v>
      </c>
      <c r="CN237" s="73">
        <v>0</v>
      </c>
      <c r="CO237" s="73">
        <v>0</v>
      </c>
      <c r="CP237" s="73">
        <v>255</v>
      </c>
      <c r="CQ237" s="73">
        <v>-255</v>
      </c>
      <c r="CR237" s="73">
        <v>0</v>
      </c>
      <c r="CS237" s="73">
        <v>0</v>
      </c>
      <c r="CT237" s="73">
        <v>1045</v>
      </c>
      <c r="CU237" s="73">
        <v>-1045</v>
      </c>
      <c r="CV237" s="73">
        <v>0</v>
      </c>
      <c r="CW237" s="73">
        <v>0</v>
      </c>
      <c r="CX237" s="73">
        <v>0</v>
      </c>
      <c r="CY237" s="73">
        <v>0</v>
      </c>
      <c r="CZ237" s="73">
        <v>0</v>
      </c>
      <c r="DA237" s="73">
        <v>0</v>
      </c>
      <c r="DB237" s="73">
        <v>0</v>
      </c>
      <c r="DC237" s="73">
        <v>0</v>
      </c>
      <c r="DD237" s="73">
        <v>16294</v>
      </c>
      <c r="DE237" s="73">
        <v>9369</v>
      </c>
      <c r="DF237" s="73">
        <v>1300</v>
      </c>
      <c r="DG237" s="73">
        <v>5625</v>
      </c>
      <c r="DH237" s="73">
        <v>0</v>
      </c>
      <c r="DI237" s="73">
        <v>0</v>
      </c>
      <c r="DJ237" s="73">
        <v>0</v>
      </c>
      <c r="DK237" s="73">
        <v>0</v>
      </c>
      <c r="DL237" s="73">
        <v>0</v>
      </c>
      <c r="DM237" s="73">
        <v>0</v>
      </c>
      <c r="DN237" s="73">
        <v>0</v>
      </c>
      <c r="DO237" s="73">
        <v>0</v>
      </c>
      <c r="DP237" s="73">
        <v>0</v>
      </c>
      <c r="DQ237" s="73">
        <v>0</v>
      </c>
      <c r="DR237" s="73">
        <v>0</v>
      </c>
      <c r="DS237" s="73">
        <v>0</v>
      </c>
      <c r="DT237" s="73">
        <v>1389</v>
      </c>
      <c r="DU237" s="73">
        <v>0</v>
      </c>
      <c r="DV237" s="73">
        <v>196</v>
      </c>
      <c r="DW237" s="73">
        <v>1193</v>
      </c>
      <c r="DX237" s="73">
        <v>0</v>
      </c>
      <c r="DY237" s="73">
        <v>0</v>
      </c>
      <c r="DZ237" s="73">
        <v>0</v>
      </c>
      <c r="EA237" s="73">
        <v>0</v>
      </c>
      <c r="EB237" s="73">
        <v>1079</v>
      </c>
      <c r="EC237" s="73">
        <v>0</v>
      </c>
      <c r="ED237" s="73">
        <v>826</v>
      </c>
      <c r="EE237" s="73">
        <v>253</v>
      </c>
      <c r="EF237" s="73">
        <v>2468</v>
      </c>
      <c r="EG237" s="73">
        <v>0</v>
      </c>
      <c r="EH237" s="73">
        <v>1022</v>
      </c>
      <c r="EI237" s="73">
        <v>1446</v>
      </c>
      <c r="EJ237" s="73">
        <v>18762</v>
      </c>
      <c r="EK237" s="73">
        <v>9369</v>
      </c>
      <c r="EL237" s="73">
        <v>2322</v>
      </c>
      <c r="EM237" s="73">
        <v>7071</v>
      </c>
      <c r="EN237" s="73">
        <v>1655</v>
      </c>
      <c r="EO237" s="73">
        <v>444</v>
      </c>
      <c r="EP237" s="73">
        <v>203</v>
      </c>
      <c r="EQ237" s="73">
        <v>444</v>
      </c>
      <c r="ER237" s="73">
        <v>635071</v>
      </c>
      <c r="ES237" s="73">
        <v>0</v>
      </c>
      <c r="ET237" s="73">
        <v>635071</v>
      </c>
      <c r="EU237" s="73">
        <v>58675</v>
      </c>
      <c r="EV237" s="73">
        <v>-5946</v>
      </c>
      <c r="EW237" s="73">
        <v>0</v>
      </c>
      <c r="EX237" s="73">
        <v>0</v>
      </c>
      <c r="EY237" s="73">
        <v>0</v>
      </c>
      <c r="EZ237" s="73">
        <v>687800</v>
      </c>
      <c r="FA237" s="73">
        <v>74641</v>
      </c>
      <c r="FB237" s="73">
        <v>10389</v>
      </c>
      <c r="FC237" s="73">
        <v>-10</v>
      </c>
      <c r="FD237" s="73">
        <v>0</v>
      </c>
      <c r="FE237" s="73">
        <v>-2162</v>
      </c>
      <c r="FF237" s="73">
        <v>0</v>
      </c>
      <c r="FG237" s="73">
        <v>0</v>
      </c>
      <c r="FH237" s="73">
        <v>82858</v>
      </c>
      <c r="FI237" s="73">
        <v>604942</v>
      </c>
      <c r="FJ237" s="73">
        <v>560430</v>
      </c>
      <c r="FK237" s="73">
        <v>4542</v>
      </c>
      <c r="FL237" s="73">
        <v>2829</v>
      </c>
      <c r="FM237" s="73">
        <v>1713</v>
      </c>
      <c r="FN237" s="73">
        <v>2051</v>
      </c>
      <c r="FO237" s="73">
        <v>646</v>
      </c>
      <c r="FP237" s="73">
        <v>1405</v>
      </c>
      <c r="FQ237" s="73">
        <v>0</v>
      </c>
      <c r="FR237" s="73">
        <v>0</v>
      </c>
      <c r="FS237" s="73">
        <v>0</v>
      </c>
      <c r="FT237" s="73">
        <v>807</v>
      </c>
      <c r="FU237" s="73">
        <v>-427</v>
      </c>
      <c r="FV237" s="73">
        <v>1234</v>
      </c>
      <c r="FW237" s="73">
        <v>0</v>
      </c>
      <c r="FX237" s="73">
        <v>0</v>
      </c>
      <c r="FY237" s="73">
        <v>0</v>
      </c>
      <c r="FZ237" s="73">
        <v>278</v>
      </c>
      <c r="GA237" s="73">
        <v>219</v>
      </c>
      <c r="GB237" s="73">
        <v>59</v>
      </c>
      <c r="GC237" s="73">
        <v>7678</v>
      </c>
      <c r="GD237" s="73">
        <v>3267</v>
      </c>
      <c r="GE237" s="73">
        <v>4411</v>
      </c>
      <c r="GF237" s="73">
        <v>0</v>
      </c>
      <c r="GG237" s="73">
        <v>0</v>
      </c>
      <c r="GH237" s="73">
        <v>0</v>
      </c>
      <c r="GI237" s="73">
        <v>0</v>
      </c>
      <c r="GJ237" s="73">
        <v>0</v>
      </c>
      <c r="GK237" s="73">
        <v>0</v>
      </c>
      <c r="GL237" s="73">
        <v>0</v>
      </c>
      <c r="GM237" s="73">
        <v>1344</v>
      </c>
      <c r="GN237" s="73">
        <v>1303</v>
      </c>
      <c r="GO237" s="73">
        <v>0</v>
      </c>
      <c r="GP237" s="73">
        <v>971</v>
      </c>
      <c r="GQ237" s="73">
        <v>347</v>
      </c>
      <c r="GR237" s="73">
        <v>6710</v>
      </c>
      <c r="GS237" s="73">
        <v>0</v>
      </c>
      <c r="GT237" s="73">
        <v>0</v>
      </c>
      <c r="GU237" s="73">
        <v>631</v>
      </c>
      <c r="GV237" s="73">
        <v>0</v>
      </c>
      <c r="GW237" s="73">
        <v>4874</v>
      </c>
      <c r="GX237" s="73">
        <v>16180</v>
      </c>
      <c r="GY237" s="73">
        <v>0</v>
      </c>
      <c r="GZ237" s="73">
        <v>0</v>
      </c>
      <c r="HA237" s="73">
        <v>0</v>
      </c>
      <c r="HB237" s="73">
        <v>2349</v>
      </c>
      <c r="HC237" s="73">
        <v>2349</v>
      </c>
      <c r="HD237" s="73">
        <v>0</v>
      </c>
      <c r="HE237" s="73">
        <v>0</v>
      </c>
      <c r="HF237" s="73">
        <v>0</v>
      </c>
      <c r="HG237" s="73">
        <v>8024</v>
      </c>
      <c r="HH237" s="73">
        <v>266</v>
      </c>
      <c r="HI237" s="73">
        <v>510</v>
      </c>
      <c r="HJ237" s="73">
        <v>15</v>
      </c>
      <c r="HK237" s="73">
        <v>461</v>
      </c>
      <c r="HL237" s="73">
        <v>-1302</v>
      </c>
      <c r="HM237" s="73">
        <v>7974</v>
      </c>
      <c r="HN237" s="73">
        <v>6572</v>
      </c>
      <c r="HO237" s="73">
        <v>10786</v>
      </c>
      <c r="HP237" s="73">
        <v>-10</v>
      </c>
      <c r="HQ237" s="73">
        <v>331</v>
      </c>
      <c r="HR237" s="73">
        <v>-14</v>
      </c>
      <c r="HS237" s="73">
        <v>-30</v>
      </c>
      <c r="HT237" s="73">
        <v>9415</v>
      </c>
      <c r="HU237" s="73">
        <v>0</v>
      </c>
      <c r="HV237" s="73">
        <v>0</v>
      </c>
      <c r="HW237" s="73">
        <v>0</v>
      </c>
      <c r="HX237" s="73">
        <v>137</v>
      </c>
    </row>
    <row r="238" spans="1:232" x14ac:dyDescent="0.2">
      <c r="A238" s="74" t="s">
        <v>662</v>
      </c>
      <c r="B238" s="74" t="s">
        <v>663</v>
      </c>
      <c r="C238" s="75" t="s">
        <v>200</v>
      </c>
      <c r="D238" s="75">
        <v>12</v>
      </c>
      <c r="E238" s="76">
        <v>10392</v>
      </c>
      <c r="F238" s="76">
        <v>-96</v>
      </c>
      <c r="G238" s="76">
        <v>-6489</v>
      </c>
      <c r="H238" s="76">
        <v>3807</v>
      </c>
      <c r="I238" s="76">
        <v>299</v>
      </c>
      <c r="J238" s="76">
        <v>0</v>
      </c>
      <c r="K238" s="76">
        <v>0</v>
      </c>
      <c r="L238" s="76">
        <v>0</v>
      </c>
      <c r="M238" s="76">
        <v>22</v>
      </c>
      <c r="N238" s="76">
        <v>-1621</v>
      </c>
      <c r="O238" s="76">
        <v>0</v>
      </c>
      <c r="P238" s="76">
        <v>0</v>
      </c>
      <c r="Q238" s="76">
        <v>0</v>
      </c>
      <c r="R238" s="76">
        <v>0</v>
      </c>
      <c r="S238" s="76">
        <v>2507</v>
      </c>
      <c r="T238" s="76">
        <v>0</v>
      </c>
      <c r="U238" s="76">
        <v>2507</v>
      </c>
      <c r="V238" s="76">
        <v>0</v>
      </c>
      <c r="W238" s="76">
        <v>-131</v>
      </c>
      <c r="X238" s="76">
        <v>0</v>
      </c>
      <c r="Y238" s="76">
        <v>0</v>
      </c>
      <c r="Z238" s="76">
        <v>2376</v>
      </c>
      <c r="AA238" s="76">
        <v>9342</v>
      </c>
      <c r="AB238" s="76">
        <v>732</v>
      </c>
      <c r="AC238" s="76">
        <v>10074</v>
      </c>
      <c r="AD238" s="76">
        <v>14</v>
      </c>
      <c r="AE238" s="76">
        <v>0</v>
      </c>
      <c r="AF238" s="76">
        <v>0</v>
      </c>
      <c r="AG238" s="76">
        <v>0</v>
      </c>
      <c r="AH238" s="76">
        <v>10088</v>
      </c>
      <c r="AI238" s="76">
        <v>1677</v>
      </c>
      <c r="AJ238" s="76">
        <v>1107</v>
      </c>
      <c r="AK238" s="76">
        <v>1770</v>
      </c>
      <c r="AL238" s="76">
        <v>139</v>
      </c>
      <c r="AM238" s="76">
        <v>736</v>
      </c>
      <c r="AN238" s="76">
        <v>31</v>
      </c>
      <c r="AO238" s="76">
        <v>1005</v>
      </c>
      <c r="AP238" s="76">
        <v>0</v>
      </c>
      <c r="AQ238" s="76">
        <v>0</v>
      </c>
      <c r="AR238" s="76">
        <v>6465</v>
      </c>
      <c r="AS238" s="76">
        <v>3623</v>
      </c>
      <c r="AT238" s="76">
        <v>184</v>
      </c>
      <c r="AU238" s="76">
        <v>42057</v>
      </c>
      <c r="AV238" s="76">
        <v>0</v>
      </c>
      <c r="AW238" s="76">
        <v>150</v>
      </c>
      <c r="AX238" s="76">
        <v>0</v>
      </c>
      <c r="AY238" s="76">
        <v>0</v>
      </c>
      <c r="AZ238" s="76">
        <v>0</v>
      </c>
      <c r="BA238" s="76">
        <v>0</v>
      </c>
      <c r="BB238" s="76">
        <v>0</v>
      </c>
      <c r="BC238" s="76">
        <v>0</v>
      </c>
      <c r="BD238" s="76">
        <v>0</v>
      </c>
      <c r="BE238" s="76">
        <v>42207</v>
      </c>
      <c r="BF238" s="76">
        <v>57</v>
      </c>
      <c r="BG238" s="76">
        <v>152</v>
      </c>
      <c r="BH238" s="76">
        <v>7030</v>
      </c>
      <c r="BI238" s="76">
        <v>0</v>
      </c>
      <c r="BJ238" s="76">
        <v>141</v>
      </c>
      <c r="BK238" s="76">
        <v>7380</v>
      </c>
      <c r="BL238" s="76">
        <v>0</v>
      </c>
      <c r="BM238" s="76">
        <v>0</v>
      </c>
      <c r="BN238" s="76">
        <v>20</v>
      </c>
      <c r="BO238" s="76">
        <v>3037</v>
      </c>
      <c r="BP238" s="76">
        <v>3057</v>
      </c>
      <c r="BQ238" s="76">
        <v>4323</v>
      </c>
      <c r="BR238" s="76">
        <v>46530</v>
      </c>
      <c r="BS238" s="76">
        <v>39694</v>
      </c>
      <c r="BT238" s="76">
        <v>0</v>
      </c>
      <c r="BU238" s="76">
        <v>0</v>
      </c>
      <c r="BV238" s="76">
        <v>1982</v>
      </c>
      <c r="BW238" s="76">
        <v>0</v>
      </c>
      <c r="BX238" s="76">
        <v>0</v>
      </c>
      <c r="BY238" s="76">
        <v>228</v>
      </c>
      <c r="BZ238" s="76">
        <v>41904</v>
      </c>
      <c r="CA238" s="76">
        <v>1033</v>
      </c>
      <c r="CB238" s="76">
        <v>0</v>
      </c>
      <c r="CC238" s="76">
        <v>3593</v>
      </c>
      <c r="CD238" s="76">
        <v>3593</v>
      </c>
      <c r="CE238" s="76">
        <v>0</v>
      </c>
      <c r="CF238" s="76">
        <v>0</v>
      </c>
      <c r="CG238" s="76">
        <v>0</v>
      </c>
      <c r="CH238" s="76">
        <v>0</v>
      </c>
      <c r="CI238" s="76">
        <v>3593</v>
      </c>
      <c r="CJ238" s="76">
        <v>140</v>
      </c>
      <c r="CK238" s="76">
        <v>96</v>
      </c>
      <c r="CL238" s="76">
        <v>0</v>
      </c>
      <c r="CM238" s="76">
        <v>44</v>
      </c>
      <c r="CN238" s="76">
        <v>0</v>
      </c>
      <c r="CO238" s="76">
        <v>0</v>
      </c>
      <c r="CP238" s="76">
        <v>0</v>
      </c>
      <c r="CQ238" s="76">
        <v>0</v>
      </c>
      <c r="CR238" s="76">
        <v>0</v>
      </c>
      <c r="CS238" s="76">
        <v>0</v>
      </c>
      <c r="CT238" s="76">
        <v>0</v>
      </c>
      <c r="CU238" s="76">
        <v>0</v>
      </c>
      <c r="CV238" s="76">
        <v>0</v>
      </c>
      <c r="CW238" s="76">
        <v>0</v>
      </c>
      <c r="CX238" s="76">
        <v>0</v>
      </c>
      <c r="CY238" s="76">
        <v>0</v>
      </c>
      <c r="CZ238" s="76">
        <v>164</v>
      </c>
      <c r="DA238" s="76">
        <v>0</v>
      </c>
      <c r="DB238" s="76">
        <v>24</v>
      </c>
      <c r="DC238" s="76">
        <v>140</v>
      </c>
      <c r="DD238" s="76">
        <v>304</v>
      </c>
      <c r="DE238" s="76">
        <v>96</v>
      </c>
      <c r="DF238" s="76">
        <v>24</v>
      </c>
      <c r="DG238" s="76">
        <v>184</v>
      </c>
      <c r="DH238" s="76">
        <v>0</v>
      </c>
      <c r="DI238" s="76">
        <v>0</v>
      </c>
      <c r="DJ238" s="76">
        <v>0</v>
      </c>
      <c r="DK238" s="76">
        <v>0</v>
      </c>
      <c r="DL238" s="76">
        <v>0</v>
      </c>
      <c r="DM238" s="76">
        <v>0</v>
      </c>
      <c r="DN238" s="76">
        <v>0</v>
      </c>
      <c r="DO238" s="76">
        <v>0</v>
      </c>
      <c r="DP238" s="76">
        <v>0</v>
      </c>
      <c r="DQ238" s="76">
        <v>0</v>
      </c>
      <c r="DR238" s="76">
        <v>0</v>
      </c>
      <c r="DS238" s="76">
        <v>0</v>
      </c>
      <c r="DT238" s="76">
        <v>0</v>
      </c>
      <c r="DU238" s="76">
        <v>0</v>
      </c>
      <c r="DV238" s="76">
        <v>0</v>
      </c>
      <c r="DW238" s="76">
        <v>0</v>
      </c>
      <c r="DX238" s="76">
        <v>0</v>
      </c>
      <c r="DY238" s="76">
        <v>0</v>
      </c>
      <c r="DZ238" s="76">
        <v>0</v>
      </c>
      <c r="EA238" s="76">
        <v>0</v>
      </c>
      <c r="EB238" s="76">
        <v>0</v>
      </c>
      <c r="EC238" s="76">
        <v>0</v>
      </c>
      <c r="ED238" s="76">
        <v>0</v>
      </c>
      <c r="EE238" s="76">
        <v>0</v>
      </c>
      <c r="EF238" s="76">
        <v>0</v>
      </c>
      <c r="EG238" s="76">
        <v>0</v>
      </c>
      <c r="EH238" s="76">
        <v>0</v>
      </c>
      <c r="EI238" s="76">
        <v>0</v>
      </c>
      <c r="EJ238" s="76">
        <v>304</v>
      </c>
      <c r="EK238" s="76">
        <v>96</v>
      </c>
      <c r="EL238" s="76">
        <v>24</v>
      </c>
      <c r="EM238" s="76">
        <v>184</v>
      </c>
      <c r="EN238" s="76">
        <v>230</v>
      </c>
      <c r="EO238" s="76">
        <v>170</v>
      </c>
      <c r="EP238" s="76">
        <v>78</v>
      </c>
      <c r="EQ238" s="76">
        <v>170</v>
      </c>
      <c r="ER238" s="76">
        <v>47632</v>
      </c>
      <c r="ES238" s="76">
        <v>0</v>
      </c>
      <c r="ET238" s="76">
        <v>47632</v>
      </c>
      <c r="EU238" s="76">
        <v>3111</v>
      </c>
      <c r="EV238" s="76">
        <v>-308</v>
      </c>
      <c r="EW238" s="76">
        <v>0</v>
      </c>
      <c r="EX238" s="76">
        <v>0</v>
      </c>
      <c r="EY238" s="76">
        <v>-5</v>
      </c>
      <c r="EZ238" s="76">
        <v>50430</v>
      </c>
      <c r="FA238" s="76">
        <v>7543</v>
      </c>
      <c r="FB238" s="76">
        <v>1005</v>
      </c>
      <c r="FC238" s="76">
        <v>0</v>
      </c>
      <c r="FD238" s="76">
        <v>0</v>
      </c>
      <c r="FE238" s="76">
        <v>-175</v>
      </c>
      <c r="FF238" s="76">
        <v>0</v>
      </c>
      <c r="FG238" s="76">
        <v>0</v>
      </c>
      <c r="FH238" s="76">
        <v>8373</v>
      </c>
      <c r="FI238" s="76">
        <v>42057</v>
      </c>
      <c r="FJ238" s="76">
        <v>40089</v>
      </c>
      <c r="FK238" s="76">
        <v>10</v>
      </c>
      <c r="FL238" s="76">
        <v>0</v>
      </c>
      <c r="FM238" s="76">
        <v>10</v>
      </c>
      <c r="FN238" s="76">
        <v>151</v>
      </c>
      <c r="FO238" s="76">
        <v>105</v>
      </c>
      <c r="FP238" s="76">
        <v>46</v>
      </c>
      <c r="FQ238" s="76">
        <v>0</v>
      </c>
      <c r="FR238" s="76">
        <v>0</v>
      </c>
      <c r="FS238" s="76">
        <v>0</v>
      </c>
      <c r="FT238" s="76">
        <v>261</v>
      </c>
      <c r="FU238" s="76">
        <v>18</v>
      </c>
      <c r="FV238" s="76">
        <v>243</v>
      </c>
      <c r="FW238" s="76">
        <v>0</v>
      </c>
      <c r="FX238" s="76">
        <v>0</v>
      </c>
      <c r="FY238" s="76">
        <v>0</v>
      </c>
      <c r="FZ238" s="76">
        <v>0</v>
      </c>
      <c r="GA238" s="76">
        <v>0</v>
      </c>
      <c r="GB238" s="76">
        <v>0</v>
      </c>
      <c r="GC238" s="76">
        <v>422</v>
      </c>
      <c r="GD238" s="76">
        <v>123</v>
      </c>
      <c r="GE238" s="76">
        <v>299</v>
      </c>
      <c r="GF238" s="76">
        <v>0</v>
      </c>
      <c r="GG238" s="76">
        <v>0</v>
      </c>
      <c r="GH238" s="76">
        <v>0</v>
      </c>
      <c r="GI238" s="76">
        <v>0</v>
      </c>
      <c r="GJ238" s="76">
        <v>0</v>
      </c>
      <c r="GK238" s="76">
        <v>141</v>
      </c>
      <c r="GL238" s="76">
        <v>141</v>
      </c>
      <c r="GM238" s="76">
        <v>694</v>
      </c>
      <c r="GN238" s="76">
        <v>304</v>
      </c>
      <c r="GO238" s="76">
        <v>955</v>
      </c>
      <c r="GP238" s="76">
        <v>0</v>
      </c>
      <c r="GQ238" s="76">
        <v>0</v>
      </c>
      <c r="GR238" s="76">
        <v>0</v>
      </c>
      <c r="GS238" s="76">
        <v>0</v>
      </c>
      <c r="GT238" s="76">
        <v>0</v>
      </c>
      <c r="GU238" s="76">
        <v>0</v>
      </c>
      <c r="GV238" s="76">
        <v>0</v>
      </c>
      <c r="GW238" s="76">
        <v>1084</v>
      </c>
      <c r="GX238" s="76">
        <v>3037</v>
      </c>
      <c r="GY238" s="76">
        <v>0</v>
      </c>
      <c r="GZ238" s="76">
        <v>228</v>
      </c>
      <c r="HA238" s="76">
        <v>0</v>
      </c>
      <c r="HB238" s="76">
        <v>0</v>
      </c>
      <c r="HC238" s="76">
        <v>228</v>
      </c>
      <c r="HD238" s="76">
        <v>0</v>
      </c>
      <c r="HE238" s="76">
        <v>0</v>
      </c>
      <c r="HF238" s="76">
        <v>0</v>
      </c>
      <c r="HG238" s="76">
        <v>1662</v>
      </c>
      <c r="HH238" s="76">
        <v>0</v>
      </c>
      <c r="HI238" s="76">
        <v>0</v>
      </c>
      <c r="HJ238" s="76">
        <v>0</v>
      </c>
      <c r="HK238" s="76">
        <v>31</v>
      </c>
      <c r="HL238" s="76">
        <v>-72</v>
      </c>
      <c r="HM238" s="76">
        <v>1621</v>
      </c>
      <c r="HN238" s="76">
        <v>92</v>
      </c>
      <c r="HO238" s="76">
        <v>1066</v>
      </c>
      <c r="HP238" s="76">
        <v>0</v>
      </c>
      <c r="HQ238" s="76">
        <v>24</v>
      </c>
      <c r="HR238" s="76">
        <v>-70</v>
      </c>
      <c r="HS238" s="76">
        <v>0</v>
      </c>
      <c r="HT238" s="76">
        <v>2149</v>
      </c>
      <c r="HU238" s="76">
        <v>0</v>
      </c>
      <c r="HV238" s="76">
        <v>0</v>
      </c>
      <c r="HW238" s="76">
        <v>2</v>
      </c>
      <c r="HX238" s="76">
        <v>2</v>
      </c>
    </row>
    <row r="239" spans="1:232" x14ac:dyDescent="0.2">
      <c r="A239" s="74" t="s">
        <v>666</v>
      </c>
      <c r="B239" s="74" t="s">
        <v>665</v>
      </c>
      <c r="C239" s="75" t="s">
        <v>200</v>
      </c>
      <c r="D239" s="75">
        <v>12</v>
      </c>
      <c r="E239" s="76">
        <v>21506</v>
      </c>
      <c r="F239" s="76">
        <v>-379</v>
      </c>
      <c r="G239" s="76">
        <v>-11852</v>
      </c>
      <c r="H239" s="76">
        <v>9275</v>
      </c>
      <c r="I239" s="76">
        <v>163</v>
      </c>
      <c r="J239" s="76">
        <v>0</v>
      </c>
      <c r="K239" s="76">
        <v>-134</v>
      </c>
      <c r="L239" s="76">
        <v>0</v>
      </c>
      <c r="M239" s="76">
        <v>1</v>
      </c>
      <c r="N239" s="76">
        <v>-6037</v>
      </c>
      <c r="O239" s="76">
        <v>705</v>
      </c>
      <c r="P239" s="76">
        <v>0</v>
      </c>
      <c r="Q239" s="76">
        <v>0</v>
      </c>
      <c r="R239" s="76">
        <v>0</v>
      </c>
      <c r="S239" s="76">
        <v>3973</v>
      </c>
      <c r="T239" s="76">
        <v>0</v>
      </c>
      <c r="U239" s="76">
        <v>3973</v>
      </c>
      <c r="V239" s="76">
        <v>0</v>
      </c>
      <c r="W239" s="76">
        <v>-695</v>
      </c>
      <c r="X239" s="76">
        <v>0</v>
      </c>
      <c r="Y239" s="76">
        <v>0</v>
      </c>
      <c r="Z239" s="76">
        <v>3278</v>
      </c>
      <c r="AA239" s="76">
        <v>16240</v>
      </c>
      <c r="AB239" s="76">
        <v>1040</v>
      </c>
      <c r="AC239" s="76">
        <v>17280</v>
      </c>
      <c r="AD239" s="76">
        <v>169</v>
      </c>
      <c r="AE239" s="76">
        <v>0</v>
      </c>
      <c r="AF239" s="76">
        <v>0</v>
      </c>
      <c r="AG239" s="76">
        <v>0</v>
      </c>
      <c r="AH239" s="76">
        <v>17449</v>
      </c>
      <c r="AI239" s="76">
        <v>4478</v>
      </c>
      <c r="AJ239" s="76">
        <v>957</v>
      </c>
      <c r="AK239" s="76">
        <v>2219</v>
      </c>
      <c r="AL239" s="76">
        <v>998</v>
      </c>
      <c r="AM239" s="76">
        <v>0</v>
      </c>
      <c r="AN239" s="76">
        <v>75</v>
      </c>
      <c r="AO239" s="76">
        <v>2204</v>
      </c>
      <c r="AP239" s="76">
        <v>0</v>
      </c>
      <c r="AQ239" s="76">
        <v>0</v>
      </c>
      <c r="AR239" s="76">
        <v>10931</v>
      </c>
      <c r="AS239" s="76">
        <v>6518</v>
      </c>
      <c r="AT239" s="76">
        <v>152</v>
      </c>
      <c r="AU239" s="76">
        <v>83376</v>
      </c>
      <c r="AV239" s="76">
        <v>0</v>
      </c>
      <c r="AW239" s="76">
        <v>1486</v>
      </c>
      <c r="AX239" s="76">
        <v>0</v>
      </c>
      <c r="AY239" s="76">
        <v>0</v>
      </c>
      <c r="AZ239" s="76">
        <v>26600</v>
      </c>
      <c r="BA239" s="76">
        <v>0</v>
      </c>
      <c r="BB239" s="76">
        <v>0</v>
      </c>
      <c r="BC239" s="76">
        <v>0</v>
      </c>
      <c r="BD239" s="76">
        <v>0</v>
      </c>
      <c r="BE239" s="76">
        <v>111462</v>
      </c>
      <c r="BF239" s="76">
        <v>37</v>
      </c>
      <c r="BG239" s="76">
        <v>565</v>
      </c>
      <c r="BH239" s="76">
        <v>5924</v>
      </c>
      <c r="BI239" s="76">
        <v>0</v>
      </c>
      <c r="BJ239" s="76">
        <v>572</v>
      </c>
      <c r="BK239" s="76">
        <v>7098</v>
      </c>
      <c r="BL239" s="76">
        <v>0</v>
      </c>
      <c r="BM239" s="76">
        <v>0</v>
      </c>
      <c r="BN239" s="76">
        <v>169</v>
      </c>
      <c r="BO239" s="76">
        <v>3184</v>
      </c>
      <c r="BP239" s="76">
        <v>3353</v>
      </c>
      <c r="BQ239" s="76">
        <v>3745</v>
      </c>
      <c r="BR239" s="76">
        <v>115207</v>
      </c>
      <c r="BS239" s="76">
        <v>118288</v>
      </c>
      <c r="BT239" s="76">
        <v>0</v>
      </c>
      <c r="BU239" s="76">
        <v>0</v>
      </c>
      <c r="BV239" s="76">
        <v>15171</v>
      </c>
      <c r="BW239" s="76">
        <v>0</v>
      </c>
      <c r="BX239" s="76">
        <v>0</v>
      </c>
      <c r="BY239" s="76">
        <v>1102</v>
      </c>
      <c r="BZ239" s="76">
        <v>134561</v>
      </c>
      <c r="CA239" s="76">
        <v>3645</v>
      </c>
      <c r="CB239" s="76">
        <v>377</v>
      </c>
      <c r="CC239" s="76">
        <v>-23376</v>
      </c>
      <c r="CD239" s="76">
        <v>-23376</v>
      </c>
      <c r="CE239" s="76">
        <v>0</v>
      </c>
      <c r="CF239" s="76">
        <v>0</v>
      </c>
      <c r="CG239" s="76">
        <v>0</v>
      </c>
      <c r="CH239" s="76">
        <v>0</v>
      </c>
      <c r="CI239" s="76">
        <v>-23376</v>
      </c>
      <c r="CJ239" s="76">
        <v>592</v>
      </c>
      <c r="CK239" s="76">
        <v>338</v>
      </c>
      <c r="CL239" s="76">
        <v>0</v>
      </c>
      <c r="CM239" s="76">
        <v>254</v>
      </c>
      <c r="CN239" s="76">
        <v>0</v>
      </c>
      <c r="CO239" s="76">
        <v>0</v>
      </c>
      <c r="CP239" s="76">
        <v>0</v>
      </c>
      <c r="CQ239" s="76">
        <v>0</v>
      </c>
      <c r="CR239" s="76">
        <v>57</v>
      </c>
      <c r="CS239" s="76">
        <v>0</v>
      </c>
      <c r="CT239" s="76">
        <v>0</v>
      </c>
      <c r="CU239" s="76">
        <v>57</v>
      </c>
      <c r="CV239" s="76">
        <v>0</v>
      </c>
      <c r="CW239" s="76">
        <v>0</v>
      </c>
      <c r="CX239" s="76">
        <v>0</v>
      </c>
      <c r="CY239" s="76">
        <v>0</v>
      </c>
      <c r="CZ239" s="76">
        <v>1355</v>
      </c>
      <c r="DA239" s="76">
        <v>41</v>
      </c>
      <c r="DB239" s="76">
        <v>58</v>
      </c>
      <c r="DC239" s="76">
        <v>1256</v>
      </c>
      <c r="DD239" s="76">
        <v>2004</v>
      </c>
      <c r="DE239" s="76">
        <v>379</v>
      </c>
      <c r="DF239" s="76">
        <v>58</v>
      </c>
      <c r="DG239" s="76">
        <v>1567</v>
      </c>
      <c r="DH239" s="76">
        <v>0</v>
      </c>
      <c r="DI239" s="76">
        <v>0</v>
      </c>
      <c r="DJ239" s="76">
        <v>0</v>
      </c>
      <c r="DK239" s="76">
        <v>0</v>
      </c>
      <c r="DL239" s="76">
        <v>1174</v>
      </c>
      <c r="DM239" s="76">
        <v>0</v>
      </c>
      <c r="DN239" s="76">
        <v>544</v>
      </c>
      <c r="DO239" s="76">
        <v>630</v>
      </c>
      <c r="DP239" s="76">
        <v>0</v>
      </c>
      <c r="DQ239" s="76">
        <v>0</v>
      </c>
      <c r="DR239" s="76">
        <v>0</v>
      </c>
      <c r="DS239" s="76">
        <v>0</v>
      </c>
      <c r="DT239" s="76">
        <v>703</v>
      </c>
      <c r="DU239" s="76">
        <v>0</v>
      </c>
      <c r="DV239" s="76">
        <v>218</v>
      </c>
      <c r="DW239" s="76">
        <v>485</v>
      </c>
      <c r="DX239" s="76">
        <v>0</v>
      </c>
      <c r="DY239" s="76">
        <v>0</v>
      </c>
      <c r="DZ239" s="76">
        <v>0</v>
      </c>
      <c r="EA239" s="76">
        <v>0</v>
      </c>
      <c r="EB239" s="76">
        <v>176</v>
      </c>
      <c r="EC239" s="76">
        <v>0</v>
      </c>
      <c r="ED239" s="76">
        <v>101</v>
      </c>
      <c r="EE239" s="76">
        <v>75</v>
      </c>
      <c r="EF239" s="76">
        <v>2053</v>
      </c>
      <c r="EG239" s="76">
        <v>0</v>
      </c>
      <c r="EH239" s="76">
        <v>863</v>
      </c>
      <c r="EI239" s="76">
        <v>1190</v>
      </c>
      <c r="EJ239" s="76">
        <v>4057</v>
      </c>
      <c r="EK239" s="76">
        <v>379</v>
      </c>
      <c r="EL239" s="76">
        <v>921</v>
      </c>
      <c r="EM239" s="76">
        <v>2757</v>
      </c>
      <c r="EN239" s="76">
        <v>652</v>
      </c>
      <c r="EO239" s="76">
        <v>70</v>
      </c>
      <c r="EP239" s="76">
        <v>104</v>
      </c>
      <c r="EQ239" s="76">
        <v>53</v>
      </c>
      <c r="ER239" s="76">
        <v>103180</v>
      </c>
      <c r="ES239" s="76">
        <v>0</v>
      </c>
      <c r="ET239" s="76">
        <v>103180</v>
      </c>
      <c r="EU239" s="76">
        <v>1515</v>
      </c>
      <c r="EV239" s="76">
        <v>-2610</v>
      </c>
      <c r="EW239" s="76">
        <v>0</v>
      </c>
      <c r="EX239" s="76">
        <v>0</v>
      </c>
      <c r="EY239" s="76">
        <v>0</v>
      </c>
      <c r="EZ239" s="76">
        <v>102085</v>
      </c>
      <c r="FA239" s="76">
        <v>17501</v>
      </c>
      <c r="FB239" s="76">
        <v>1763</v>
      </c>
      <c r="FC239" s="76">
        <v>0</v>
      </c>
      <c r="FD239" s="76">
        <v>0</v>
      </c>
      <c r="FE239" s="76">
        <v>-555</v>
      </c>
      <c r="FF239" s="76">
        <v>0</v>
      </c>
      <c r="FG239" s="76">
        <v>0</v>
      </c>
      <c r="FH239" s="76">
        <v>18709</v>
      </c>
      <c r="FI239" s="76">
        <v>83376</v>
      </c>
      <c r="FJ239" s="76">
        <v>85679</v>
      </c>
      <c r="FK239" s="76">
        <v>436</v>
      </c>
      <c r="FL239" s="76">
        <v>290</v>
      </c>
      <c r="FM239" s="76">
        <v>146</v>
      </c>
      <c r="FN239" s="76">
        <v>587</v>
      </c>
      <c r="FO239" s="76">
        <v>595</v>
      </c>
      <c r="FP239" s="76">
        <v>-8</v>
      </c>
      <c r="FQ239" s="76">
        <v>135</v>
      </c>
      <c r="FR239" s="76">
        <v>150</v>
      </c>
      <c r="FS239" s="76">
        <v>-15</v>
      </c>
      <c r="FT239" s="76">
        <v>1077</v>
      </c>
      <c r="FU239" s="76">
        <v>1037</v>
      </c>
      <c r="FV239" s="76">
        <v>40</v>
      </c>
      <c r="FW239" s="76">
        <v>0</v>
      </c>
      <c r="FX239" s="76">
        <v>0</v>
      </c>
      <c r="FY239" s="76">
        <v>0</v>
      </c>
      <c r="FZ239" s="76">
        <v>0</v>
      </c>
      <c r="GA239" s="76">
        <v>0</v>
      </c>
      <c r="GB239" s="76">
        <v>0</v>
      </c>
      <c r="GC239" s="76">
        <v>2235</v>
      </c>
      <c r="GD239" s="76">
        <v>2072</v>
      </c>
      <c r="GE239" s="76">
        <v>163</v>
      </c>
      <c r="GF239" s="76">
        <v>0</v>
      </c>
      <c r="GG239" s="76">
        <v>2</v>
      </c>
      <c r="GH239" s="76">
        <v>0</v>
      </c>
      <c r="GI239" s="76">
        <v>0</v>
      </c>
      <c r="GJ239" s="76">
        <v>0</v>
      </c>
      <c r="GK239" s="76">
        <v>570</v>
      </c>
      <c r="GL239" s="76">
        <v>572</v>
      </c>
      <c r="GM239" s="76">
        <v>585</v>
      </c>
      <c r="GN239" s="76">
        <v>361</v>
      </c>
      <c r="GO239" s="76">
        <v>0</v>
      </c>
      <c r="GP239" s="76">
        <v>386</v>
      </c>
      <c r="GQ239" s="76">
        <v>215</v>
      </c>
      <c r="GR239" s="76">
        <v>425</v>
      </c>
      <c r="GS239" s="76">
        <v>0</v>
      </c>
      <c r="GT239" s="76">
        <v>0</v>
      </c>
      <c r="GU239" s="76">
        <v>189</v>
      </c>
      <c r="GV239" s="76">
        <v>0</v>
      </c>
      <c r="GW239" s="76">
        <v>1023</v>
      </c>
      <c r="GX239" s="76">
        <v>3184</v>
      </c>
      <c r="GY239" s="76">
        <v>0</v>
      </c>
      <c r="GZ239" s="76">
        <v>0</v>
      </c>
      <c r="HA239" s="76">
        <v>1102</v>
      </c>
      <c r="HB239" s="76">
        <v>0</v>
      </c>
      <c r="HC239" s="76">
        <v>1102</v>
      </c>
      <c r="HD239" s="76">
        <v>0</v>
      </c>
      <c r="HE239" s="76">
        <v>377</v>
      </c>
      <c r="HF239" s="76">
        <v>377</v>
      </c>
      <c r="HG239" s="76">
        <v>5961</v>
      </c>
      <c r="HH239" s="76">
        <v>77</v>
      </c>
      <c r="HI239" s="76">
        <v>0</v>
      </c>
      <c r="HJ239" s="76">
        <v>0</v>
      </c>
      <c r="HK239" s="76">
        <v>0</v>
      </c>
      <c r="HL239" s="76">
        <v>-1</v>
      </c>
      <c r="HM239" s="76">
        <v>6037</v>
      </c>
      <c r="HN239" s="76">
        <v>959</v>
      </c>
      <c r="HO239" s="76">
        <v>2492</v>
      </c>
      <c r="HP239" s="76">
        <v>0</v>
      </c>
      <c r="HQ239" s="76">
        <v>31</v>
      </c>
      <c r="HR239" s="76">
        <v>-30</v>
      </c>
      <c r="HS239" s="76">
        <v>-1</v>
      </c>
      <c r="HT239" s="76">
        <v>3593</v>
      </c>
      <c r="HU239" s="76">
        <v>0</v>
      </c>
      <c r="HV239" s="76">
        <v>0</v>
      </c>
      <c r="HW239" s="76">
        <v>1</v>
      </c>
      <c r="HX239" s="76">
        <v>367</v>
      </c>
    </row>
    <row r="240" spans="1:232" x14ac:dyDescent="0.2">
      <c r="A240" s="71" t="s">
        <v>667</v>
      </c>
      <c r="B240" s="71" t="s">
        <v>668</v>
      </c>
      <c r="C240" s="72" t="s">
        <v>200</v>
      </c>
      <c r="D240" s="72">
        <v>12</v>
      </c>
      <c r="E240" s="73">
        <v>29997</v>
      </c>
      <c r="F240" s="73">
        <v>-1712</v>
      </c>
      <c r="G240" s="73">
        <v>-17534</v>
      </c>
      <c r="H240" s="73">
        <v>10751</v>
      </c>
      <c r="I240" s="73">
        <v>929</v>
      </c>
      <c r="J240" s="73">
        <v>0</v>
      </c>
      <c r="K240" s="73">
        <v>0</v>
      </c>
      <c r="L240" s="73">
        <v>0</v>
      </c>
      <c r="M240" s="73">
        <v>39</v>
      </c>
      <c r="N240" s="73">
        <v>-7019</v>
      </c>
      <c r="O240" s="73">
        <v>-832</v>
      </c>
      <c r="P240" s="73">
        <v>0</v>
      </c>
      <c r="Q240" s="73">
        <v>0</v>
      </c>
      <c r="R240" s="73">
        <v>0</v>
      </c>
      <c r="S240" s="73">
        <v>3868</v>
      </c>
      <c r="T240" s="73">
        <v>0</v>
      </c>
      <c r="U240" s="73">
        <v>3868</v>
      </c>
      <c r="V240" s="73">
        <v>0</v>
      </c>
      <c r="W240" s="73">
        <v>-2202</v>
      </c>
      <c r="X240" s="73">
        <v>0</v>
      </c>
      <c r="Y240" s="73">
        <v>0</v>
      </c>
      <c r="Z240" s="73">
        <v>1666</v>
      </c>
      <c r="AA240" s="73">
        <v>24876</v>
      </c>
      <c r="AB240" s="73">
        <v>1169</v>
      </c>
      <c r="AC240" s="73">
        <v>26045</v>
      </c>
      <c r="AD240" s="73">
        <v>128</v>
      </c>
      <c r="AE240" s="73">
        <v>0</v>
      </c>
      <c r="AF240" s="73">
        <v>0</v>
      </c>
      <c r="AG240" s="73">
        <v>0</v>
      </c>
      <c r="AH240" s="73">
        <v>26173</v>
      </c>
      <c r="AI240" s="73">
        <v>1904</v>
      </c>
      <c r="AJ240" s="73">
        <v>845</v>
      </c>
      <c r="AK240" s="73">
        <v>3298</v>
      </c>
      <c r="AL240" s="73">
        <v>2152</v>
      </c>
      <c r="AM240" s="73">
        <v>0</v>
      </c>
      <c r="AN240" s="73">
        <v>63</v>
      </c>
      <c r="AO240" s="73">
        <v>3662</v>
      </c>
      <c r="AP240" s="73">
        <v>0</v>
      </c>
      <c r="AQ240" s="73">
        <v>0</v>
      </c>
      <c r="AR240" s="73">
        <v>11924</v>
      </c>
      <c r="AS240" s="73">
        <v>14249</v>
      </c>
      <c r="AT240" s="73">
        <v>204</v>
      </c>
      <c r="AU240" s="73">
        <v>148094</v>
      </c>
      <c r="AV240" s="73">
        <v>0</v>
      </c>
      <c r="AW240" s="73">
        <v>2984</v>
      </c>
      <c r="AX240" s="73">
        <v>0</v>
      </c>
      <c r="AY240" s="73">
        <v>0</v>
      </c>
      <c r="AZ240" s="73">
        <v>12953</v>
      </c>
      <c r="BA240" s="73">
        <v>0</v>
      </c>
      <c r="BB240" s="73">
        <v>0</v>
      </c>
      <c r="BC240" s="73">
        <v>0</v>
      </c>
      <c r="BD240" s="73">
        <v>0</v>
      </c>
      <c r="BE240" s="73">
        <v>164031</v>
      </c>
      <c r="BF240" s="73">
        <v>1443</v>
      </c>
      <c r="BG240" s="73">
        <v>742</v>
      </c>
      <c r="BH240" s="73">
        <v>3974</v>
      </c>
      <c r="BI240" s="73">
        <v>200</v>
      </c>
      <c r="BJ240" s="73">
        <v>306</v>
      </c>
      <c r="BK240" s="73">
        <v>6665</v>
      </c>
      <c r="BL240" s="73">
        <v>292</v>
      </c>
      <c r="BM240" s="73">
        <v>0</v>
      </c>
      <c r="BN240" s="73">
        <v>149</v>
      </c>
      <c r="BO240" s="73">
        <v>4047</v>
      </c>
      <c r="BP240" s="73">
        <v>4488</v>
      </c>
      <c r="BQ240" s="73">
        <v>2177</v>
      </c>
      <c r="BR240" s="73">
        <v>166208</v>
      </c>
      <c r="BS240" s="73">
        <v>132816</v>
      </c>
      <c r="BT240" s="73">
        <v>0</v>
      </c>
      <c r="BU240" s="73">
        <v>0</v>
      </c>
      <c r="BV240" s="73">
        <v>14328</v>
      </c>
      <c r="BW240" s="73">
        <v>0</v>
      </c>
      <c r="BX240" s="73">
        <v>0</v>
      </c>
      <c r="BY240" s="73">
        <v>0</v>
      </c>
      <c r="BZ240" s="73">
        <v>147144</v>
      </c>
      <c r="CA240" s="73">
        <v>13067</v>
      </c>
      <c r="CB240" s="73">
        <v>0</v>
      </c>
      <c r="CC240" s="73">
        <v>5997</v>
      </c>
      <c r="CD240" s="73">
        <v>5563</v>
      </c>
      <c r="CE240" s="73">
        <v>0</v>
      </c>
      <c r="CF240" s="73">
        <v>434</v>
      </c>
      <c r="CG240" s="73">
        <v>0</v>
      </c>
      <c r="CH240" s="73">
        <v>0</v>
      </c>
      <c r="CI240" s="73">
        <v>5997</v>
      </c>
      <c r="CJ240" s="73">
        <v>1228</v>
      </c>
      <c r="CK240" s="73">
        <v>858</v>
      </c>
      <c r="CL240" s="73">
        <v>0</v>
      </c>
      <c r="CM240" s="73">
        <v>370</v>
      </c>
      <c r="CN240" s="73">
        <v>0</v>
      </c>
      <c r="CO240" s="73">
        <v>0</v>
      </c>
      <c r="CP240" s="73">
        <v>5405</v>
      </c>
      <c r="CQ240" s="73">
        <v>-5405</v>
      </c>
      <c r="CR240" s="73">
        <v>0</v>
      </c>
      <c r="CS240" s="73">
        <v>0</v>
      </c>
      <c r="CT240" s="73">
        <v>0</v>
      </c>
      <c r="CU240" s="73">
        <v>0</v>
      </c>
      <c r="CV240" s="73">
        <v>0</v>
      </c>
      <c r="CW240" s="73">
        <v>0</v>
      </c>
      <c r="CX240" s="73">
        <v>0</v>
      </c>
      <c r="CY240" s="73">
        <v>0</v>
      </c>
      <c r="CZ240" s="73">
        <v>395</v>
      </c>
      <c r="DA240" s="73">
        <v>0</v>
      </c>
      <c r="DB240" s="73">
        <v>92</v>
      </c>
      <c r="DC240" s="73">
        <v>303</v>
      </c>
      <c r="DD240" s="73">
        <v>1623</v>
      </c>
      <c r="DE240" s="73">
        <v>858</v>
      </c>
      <c r="DF240" s="73">
        <v>5497</v>
      </c>
      <c r="DG240" s="73">
        <v>-4732</v>
      </c>
      <c r="DH240" s="73">
        <v>1063</v>
      </c>
      <c r="DI240" s="73">
        <v>854</v>
      </c>
      <c r="DJ240" s="73">
        <v>7</v>
      </c>
      <c r="DK240" s="73">
        <v>202</v>
      </c>
      <c r="DL240" s="73">
        <v>0</v>
      </c>
      <c r="DM240" s="73">
        <v>0</v>
      </c>
      <c r="DN240" s="73">
        <v>0</v>
      </c>
      <c r="DO240" s="73">
        <v>0</v>
      </c>
      <c r="DP240" s="73">
        <v>0</v>
      </c>
      <c r="DQ240" s="73">
        <v>0</v>
      </c>
      <c r="DR240" s="73">
        <v>0</v>
      </c>
      <c r="DS240" s="73">
        <v>0</v>
      </c>
      <c r="DT240" s="73">
        <v>884</v>
      </c>
      <c r="DU240" s="73">
        <v>0</v>
      </c>
      <c r="DV240" s="73">
        <v>106</v>
      </c>
      <c r="DW240" s="73">
        <v>778</v>
      </c>
      <c r="DX240" s="73">
        <v>0</v>
      </c>
      <c r="DY240" s="73">
        <v>0</v>
      </c>
      <c r="DZ240" s="73">
        <v>0</v>
      </c>
      <c r="EA240" s="73">
        <v>0</v>
      </c>
      <c r="EB240" s="73">
        <v>254</v>
      </c>
      <c r="EC240" s="73">
        <v>0</v>
      </c>
      <c r="ED240" s="73">
        <v>0</v>
      </c>
      <c r="EE240" s="73">
        <v>254</v>
      </c>
      <c r="EF240" s="73">
        <v>2201</v>
      </c>
      <c r="EG240" s="73">
        <v>854</v>
      </c>
      <c r="EH240" s="73">
        <v>113</v>
      </c>
      <c r="EI240" s="73">
        <v>1234</v>
      </c>
      <c r="EJ240" s="73">
        <v>3824</v>
      </c>
      <c r="EK240" s="73">
        <v>1712</v>
      </c>
      <c r="EL240" s="73">
        <v>5610</v>
      </c>
      <c r="EM240" s="73">
        <v>-3498</v>
      </c>
      <c r="EN240" s="73">
        <v>279</v>
      </c>
      <c r="EO240" s="73">
        <v>124</v>
      </c>
      <c r="EP240" s="73">
        <v>49</v>
      </c>
      <c r="EQ240" s="73">
        <v>22</v>
      </c>
      <c r="ER240" s="73">
        <v>159160</v>
      </c>
      <c r="ES240" s="73">
        <v>0</v>
      </c>
      <c r="ET240" s="73">
        <v>159160</v>
      </c>
      <c r="EU240" s="73">
        <v>20873</v>
      </c>
      <c r="EV240" s="73">
        <v>-1344</v>
      </c>
      <c r="EW240" s="73">
        <v>0</v>
      </c>
      <c r="EX240" s="73">
        <v>0</v>
      </c>
      <c r="EY240" s="73">
        <v>-1099</v>
      </c>
      <c r="EZ240" s="73">
        <v>177590</v>
      </c>
      <c r="FA240" s="73">
        <v>26395</v>
      </c>
      <c r="FB240" s="73">
        <v>3461</v>
      </c>
      <c r="FC240" s="73">
        <v>0</v>
      </c>
      <c r="FD240" s="73">
        <v>0</v>
      </c>
      <c r="FE240" s="73">
        <v>-360</v>
      </c>
      <c r="FF240" s="73">
        <v>0</v>
      </c>
      <c r="FG240" s="73">
        <v>0</v>
      </c>
      <c r="FH240" s="73">
        <v>29496</v>
      </c>
      <c r="FI240" s="73">
        <v>148094</v>
      </c>
      <c r="FJ240" s="73">
        <v>132765</v>
      </c>
      <c r="FK240" s="73">
        <v>0</v>
      </c>
      <c r="FL240" s="73">
        <v>0</v>
      </c>
      <c r="FM240" s="73">
        <v>0</v>
      </c>
      <c r="FN240" s="73">
        <v>981</v>
      </c>
      <c r="FO240" s="73">
        <v>263</v>
      </c>
      <c r="FP240" s="73">
        <v>718</v>
      </c>
      <c r="FQ240" s="73">
        <v>146</v>
      </c>
      <c r="FR240" s="73">
        <v>30</v>
      </c>
      <c r="FS240" s="73">
        <v>116</v>
      </c>
      <c r="FT240" s="73">
        <v>113</v>
      </c>
      <c r="FU240" s="73">
        <v>18</v>
      </c>
      <c r="FV240" s="73">
        <v>95</v>
      </c>
      <c r="FW240" s="73">
        <v>0</v>
      </c>
      <c r="FX240" s="73">
        <v>0</v>
      </c>
      <c r="FY240" s="73">
        <v>0</v>
      </c>
      <c r="FZ240" s="73">
        <v>0</v>
      </c>
      <c r="GA240" s="73">
        <v>0</v>
      </c>
      <c r="GB240" s="73">
        <v>0</v>
      </c>
      <c r="GC240" s="73">
        <v>1240</v>
      </c>
      <c r="GD240" s="73">
        <v>311</v>
      </c>
      <c r="GE240" s="73">
        <v>929</v>
      </c>
      <c r="GF240" s="73">
        <v>0</v>
      </c>
      <c r="GG240" s="73">
        <v>0</v>
      </c>
      <c r="GH240" s="73">
        <v>0</v>
      </c>
      <c r="GI240" s="73">
        <v>0</v>
      </c>
      <c r="GJ240" s="73">
        <v>0</v>
      </c>
      <c r="GK240" s="73">
        <v>302</v>
      </c>
      <c r="GL240" s="73">
        <v>302</v>
      </c>
      <c r="GM240" s="73">
        <v>89</v>
      </c>
      <c r="GN240" s="73">
        <v>773</v>
      </c>
      <c r="GO240" s="73">
        <v>161</v>
      </c>
      <c r="GP240" s="73">
        <v>0</v>
      </c>
      <c r="GQ240" s="73">
        <v>0</v>
      </c>
      <c r="GR240" s="73">
        <v>1716</v>
      </c>
      <c r="GS240" s="73">
        <v>0</v>
      </c>
      <c r="GT240" s="73">
        <v>0</v>
      </c>
      <c r="GU240" s="73">
        <v>0</v>
      </c>
      <c r="GV240" s="73">
        <v>0</v>
      </c>
      <c r="GW240" s="73">
        <v>1308</v>
      </c>
      <c r="GX240" s="73">
        <v>4047</v>
      </c>
      <c r="GY240" s="73">
        <v>0</v>
      </c>
      <c r="GZ240" s="73">
        <v>0</v>
      </c>
      <c r="HA240" s="73">
        <v>0</v>
      </c>
      <c r="HB240" s="73">
        <v>0</v>
      </c>
      <c r="HC240" s="73">
        <v>0</v>
      </c>
      <c r="HD240" s="73">
        <v>0</v>
      </c>
      <c r="HE240" s="73">
        <v>0</v>
      </c>
      <c r="HF240" s="73">
        <v>0</v>
      </c>
      <c r="HG240" s="73">
        <v>6770</v>
      </c>
      <c r="HH240" s="73">
        <v>0</v>
      </c>
      <c r="HI240" s="73">
        <v>364</v>
      </c>
      <c r="HJ240" s="73">
        <v>0</v>
      </c>
      <c r="HK240" s="73">
        <v>202</v>
      </c>
      <c r="HL240" s="73">
        <v>-317</v>
      </c>
      <c r="HM240" s="73">
        <v>7019</v>
      </c>
      <c r="HN240" s="73">
        <v>2362</v>
      </c>
      <c r="HO240" s="73">
        <v>3928</v>
      </c>
      <c r="HP240" s="73">
        <v>0</v>
      </c>
      <c r="HQ240" s="73">
        <v>172</v>
      </c>
      <c r="HR240" s="73">
        <v>-21</v>
      </c>
      <c r="HS240" s="73">
        <v>2</v>
      </c>
      <c r="HT240" s="73">
        <v>5705</v>
      </c>
      <c r="HU240" s="73">
        <v>4</v>
      </c>
      <c r="HV240" s="73">
        <v>0</v>
      </c>
      <c r="HW240" s="73">
        <v>-1</v>
      </c>
      <c r="HX240" s="73">
        <v>106</v>
      </c>
    </row>
    <row r="241" spans="1:232" x14ac:dyDescent="0.2">
      <c r="A241" s="71" t="s">
        <v>671</v>
      </c>
      <c r="B241" s="71" t="s">
        <v>670</v>
      </c>
      <c r="C241" s="72" t="s">
        <v>200</v>
      </c>
      <c r="D241" s="72">
        <v>12</v>
      </c>
      <c r="E241" s="73">
        <v>40691</v>
      </c>
      <c r="F241" s="73">
        <v>0</v>
      </c>
      <c r="G241" s="73">
        <v>-31025</v>
      </c>
      <c r="H241" s="73">
        <v>9666</v>
      </c>
      <c r="I241" s="73">
        <v>3428</v>
      </c>
      <c r="J241" s="73">
        <v>0</v>
      </c>
      <c r="K241" s="73">
        <v>0</v>
      </c>
      <c r="L241" s="73">
        <v>0</v>
      </c>
      <c r="M241" s="73">
        <v>274</v>
      </c>
      <c r="N241" s="73">
        <v>-5200</v>
      </c>
      <c r="O241" s="73">
        <v>3229</v>
      </c>
      <c r="P241" s="73">
        <v>0</v>
      </c>
      <c r="Q241" s="73">
        <v>0</v>
      </c>
      <c r="R241" s="73">
        <v>0</v>
      </c>
      <c r="S241" s="73">
        <v>11397</v>
      </c>
      <c r="T241" s="73">
        <v>0</v>
      </c>
      <c r="U241" s="73">
        <v>11397</v>
      </c>
      <c r="V241" s="73">
        <v>0</v>
      </c>
      <c r="W241" s="73">
        <v>0</v>
      </c>
      <c r="X241" s="73">
        <v>0</v>
      </c>
      <c r="Y241" s="73">
        <v>0</v>
      </c>
      <c r="Z241" s="73">
        <v>11397</v>
      </c>
      <c r="AA241" s="73">
        <v>26068</v>
      </c>
      <c r="AB241" s="73">
        <v>2624</v>
      </c>
      <c r="AC241" s="73">
        <v>28692</v>
      </c>
      <c r="AD241" s="73">
        <v>1678</v>
      </c>
      <c r="AE241" s="73">
        <v>0</v>
      </c>
      <c r="AF241" s="73">
        <v>0</v>
      </c>
      <c r="AG241" s="73">
        <v>1549</v>
      </c>
      <c r="AH241" s="73">
        <v>31919</v>
      </c>
      <c r="AI241" s="73">
        <v>4241</v>
      </c>
      <c r="AJ241" s="73">
        <v>2757</v>
      </c>
      <c r="AK241" s="73">
        <v>4200</v>
      </c>
      <c r="AL241" s="73">
        <v>4822</v>
      </c>
      <c r="AM241" s="73">
        <v>0</v>
      </c>
      <c r="AN241" s="73">
        <v>211</v>
      </c>
      <c r="AO241" s="73">
        <v>4231</v>
      </c>
      <c r="AP241" s="73">
        <v>0</v>
      </c>
      <c r="AQ241" s="73">
        <v>359</v>
      </c>
      <c r="AR241" s="73">
        <v>20821</v>
      </c>
      <c r="AS241" s="73">
        <v>11098</v>
      </c>
      <c r="AT241" s="73">
        <v>100</v>
      </c>
      <c r="AU241" s="73">
        <v>379562</v>
      </c>
      <c r="AV241" s="73">
        <v>0</v>
      </c>
      <c r="AW241" s="73">
        <v>1711</v>
      </c>
      <c r="AX241" s="73">
        <v>0</v>
      </c>
      <c r="AY241" s="73">
        <v>5796</v>
      </c>
      <c r="AZ241" s="73">
        <v>21495</v>
      </c>
      <c r="BA241" s="73">
        <v>0</v>
      </c>
      <c r="BB241" s="73">
        <v>0</v>
      </c>
      <c r="BC241" s="73">
        <v>0</v>
      </c>
      <c r="BD241" s="73">
        <v>0</v>
      </c>
      <c r="BE241" s="73">
        <v>408564</v>
      </c>
      <c r="BF241" s="73">
        <v>2195</v>
      </c>
      <c r="BG241" s="73">
        <v>7606</v>
      </c>
      <c r="BH241" s="73">
        <v>39726</v>
      </c>
      <c r="BI241" s="73">
        <v>0</v>
      </c>
      <c r="BJ241" s="73">
        <v>102</v>
      </c>
      <c r="BK241" s="73">
        <v>49629</v>
      </c>
      <c r="BL241" s="73">
        <v>7565</v>
      </c>
      <c r="BM241" s="73">
        <v>0</v>
      </c>
      <c r="BN241" s="73">
        <v>1677</v>
      </c>
      <c r="BO241" s="73">
        <v>16967</v>
      </c>
      <c r="BP241" s="73">
        <v>26209</v>
      </c>
      <c r="BQ241" s="73">
        <v>23420</v>
      </c>
      <c r="BR241" s="73">
        <v>431984</v>
      </c>
      <c r="BS241" s="73">
        <v>155182</v>
      </c>
      <c r="BT241" s="73">
        <v>0</v>
      </c>
      <c r="BU241" s="73">
        <v>0</v>
      </c>
      <c r="BV241" s="73">
        <v>186716</v>
      </c>
      <c r="BW241" s="73">
        <v>5762</v>
      </c>
      <c r="BX241" s="73">
        <v>0</v>
      </c>
      <c r="BY241" s="73">
        <v>2621</v>
      </c>
      <c r="BZ241" s="73">
        <v>350281</v>
      </c>
      <c r="CA241" s="73">
        <v>4216</v>
      </c>
      <c r="CB241" s="73">
        <v>353</v>
      </c>
      <c r="CC241" s="73">
        <v>77134</v>
      </c>
      <c r="CD241" s="73">
        <v>77134</v>
      </c>
      <c r="CE241" s="73">
        <v>0</v>
      </c>
      <c r="CF241" s="73">
        <v>0</v>
      </c>
      <c r="CG241" s="73">
        <v>0</v>
      </c>
      <c r="CH241" s="73">
        <v>0</v>
      </c>
      <c r="CI241" s="73">
        <v>77134</v>
      </c>
      <c r="CJ241" s="73">
        <v>0</v>
      </c>
      <c r="CK241" s="73">
        <v>0</v>
      </c>
      <c r="CL241" s="73">
        <v>0</v>
      </c>
      <c r="CM241" s="73">
        <v>0</v>
      </c>
      <c r="CN241" s="73">
        <v>82</v>
      </c>
      <c r="CO241" s="73">
        <v>0</v>
      </c>
      <c r="CP241" s="73">
        <v>174</v>
      </c>
      <c r="CQ241" s="73">
        <v>-92</v>
      </c>
      <c r="CR241" s="73">
        <v>0</v>
      </c>
      <c r="CS241" s="73">
        <v>0</v>
      </c>
      <c r="CT241" s="73">
        <v>339</v>
      </c>
      <c r="CU241" s="73">
        <v>-339</v>
      </c>
      <c r="CV241" s="73">
        <v>117</v>
      </c>
      <c r="CW241" s="73">
        <v>0</v>
      </c>
      <c r="CX241" s="73">
        <v>2605</v>
      </c>
      <c r="CY241" s="73">
        <v>-2488</v>
      </c>
      <c r="CZ241" s="73">
        <v>0</v>
      </c>
      <c r="DA241" s="73">
        <v>0</v>
      </c>
      <c r="DB241" s="73">
        <v>0</v>
      </c>
      <c r="DC241" s="73">
        <v>0</v>
      </c>
      <c r="DD241" s="73">
        <v>199</v>
      </c>
      <c r="DE241" s="73">
        <v>0</v>
      </c>
      <c r="DF241" s="73">
        <v>3118</v>
      </c>
      <c r="DG241" s="73">
        <v>-2919</v>
      </c>
      <c r="DH241" s="73">
        <v>0</v>
      </c>
      <c r="DI241" s="73">
        <v>0</v>
      </c>
      <c r="DJ241" s="73">
        <v>0</v>
      </c>
      <c r="DK241" s="73">
        <v>0</v>
      </c>
      <c r="DL241" s="73">
        <v>0</v>
      </c>
      <c r="DM241" s="73">
        <v>0</v>
      </c>
      <c r="DN241" s="73">
        <v>0</v>
      </c>
      <c r="DO241" s="73">
        <v>0</v>
      </c>
      <c r="DP241" s="73">
        <v>0</v>
      </c>
      <c r="DQ241" s="73">
        <v>0</v>
      </c>
      <c r="DR241" s="73">
        <v>0</v>
      </c>
      <c r="DS241" s="73">
        <v>0</v>
      </c>
      <c r="DT241" s="73">
        <v>0</v>
      </c>
      <c r="DU241" s="73">
        <v>0</v>
      </c>
      <c r="DV241" s="73">
        <v>0</v>
      </c>
      <c r="DW241" s="73">
        <v>0</v>
      </c>
      <c r="DX241" s="73">
        <v>0</v>
      </c>
      <c r="DY241" s="73">
        <v>0</v>
      </c>
      <c r="DZ241" s="73">
        <v>0</v>
      </c>
      <c r="EA241" s="73">
        <v>0</v>
      </c>
      <c r="EB241" s="73">
        <v>8572</v>
      </c>
      <c r="EC241" s="73">
        <v>0</v>
      </c>
      <c r="ED241" s="73">
        <v>7086</v>
      </c>
      <c r="EE241" s="73">
        <v>1486</v>
      </c>
      <c r="EF241" s="73">
        <v>8572</v>
      </c>
      <c r="EG241" s="73">
        <v>0</v>
      </c>
      <c r="EH241" s="73">
        <v>7086</v>
      </c>
      <c r="EI241" s="73">
        <v>1486</v>
      </c>
      <c r="EJ241" s="73">
        <v>8771</v>
      </c>
      <c r="EK241" s="73">
        <v>0</v>
      </c>
      <c r="EL241" s="73">
        <v>10204</v>
      </c>
      <c r="EM241" s="73">
        <v>-1433</v>
      </c>
      <c r="EN241" s="73">
        <v>1131</v>
      </c>
      <c r="EO241" s="73">
        <v>1124</v>
      </c>
      <c r="EP241" s="73">
        <v>252</v>
      </c>
      <c r="EQ241" s="73">
        <v>1124</v>
      </c>
      <c r="ER241" s="73">
        <v>410848</v>
      </c>
      <c r="ES241" s="73">
        <v>0</v>
      </c>
      <c r="ET241" s="73">
        <v>410848</v>
      </c>
      <c r="EU241" s="73">
        <v>12956</v>
      </c>
      <c r="EV241" s="73">
        <v>-4009</v>
      </c>
      <c r="EW241" s="73">
        <v>0</v>
      </c>
      <c r="EX241" s="73">
        <v>0</v>
      </c>
      <c r="EY241" s="73">
        <v>337</v>
      </c>
      <c r="EZ241" s="73">
        <v>420132</v>
      </c>
      <c r="FA241" s="73">
        <v>37649</v>
      </c>
      <c r="FB241" s="73">
        <v>3792</v>
      </c>
      <c r="FC241" s="73">
        <v>0</v>
      </c>
      <c r="FD241" s="73">
        <v>0</v>
      </c>
      <c r="FE241" s="73">
        <v>-870</v>
      </c>
      <c r="FF241" s="73">
        <v>0</v>
      </c>
      <c r="FG241" s="73">
        <v>0</v>
      </c>
      <c r="FH241" s="73">
        <v>40571</v>
      </c>
      <c r="FI241" s="73">
        <v>379561</v>
      </c>
      <c r="FJ241" s="73">
        <v>373199</v>
      </c>
      <c r="FK241" s="73">
        <v>4688</v>
      </c>
      <c r="FL241" s="73">
        <v>2686</v>
      </c>
      <c r="FM241" s="73">
        <v>2002</v>
      </c>
      <c r="FN241" s="73">
        <v>0</v>
      </c>
      <c r="FO241" s="73">
        <v>0</v>
      </c>
      <c r="FP241" s="73">
        <v>0</v>
      </c>
      <c r="FQ241" s="73">
        <v>0</v>
      </c>
      <c r="FR241" s="73">
        <v>0</v>
      </c>
      <c r="FS241" s="73">
        <v>0</v>
      </c>
      <c r="FT241" s="73">
        <v>1928</v>
      </c>
      <c r="FU241" s="73">
        <v>502</v>
      </c>
      <c r="FV241" s="73">
        <v>1426</v>
      </c>
      <c r="FW241" s="73">
        <v>0</v>
      </c>
      <c r="FX241" s="73">
        <v>0</v>
      </c>
      <c r="FY241" s="73">
        <v>0</v>
      </c>
      <c r="FZ241" s="73">
        <v>0</v>
      </c>
      <c r="GA241" s="73">
        <v>0</v>
      </c>
      <c r="GB241" s="73">
        <v>0</v>
      </c>
      <c r="GC241" s="73">
        <v>6616</v>
      </c>
      <c r="GD241" s="73">
        <v>3188</v>
      </c>
      <c r="GE241" s="73">
        <v>3428</v>
      </c>
      <c r="GF241" s="73">
        <v>0</v>
      </c>
      <c r="GG241" s="73">
        <v>0</v>
      </c>
      <c r="GH241" s="73">
        <v>0</v>
      </c>
      <c r="GI241" s="73">
        <v>0</v>
      </c>
      <c r="GJ241" s="73">
        <v>0</v>
      </c>
      <c r="GK241" s="73">
        <v>102</v>
      </c>
      <c r="GL241" s="73">
        <v>102</v>
      </c>
      <c r="GM241" s="73">
        <v>1642</v>
      </c>
      <c r="GN241" s="73">
        <v>1614</v>
      </c>
      <c r="GO241" s="73">
        <v>11</v>
      </c>
      <c r="GP241" s="73">
        <v>4367</v>
      </c>
      <c r="GQ241" s="73">
        <v>571</v>
      </c>
      <c r="GR241" s="73">
        <v>1961</v>
      </c>
      <c r="GS241" s="73">
        <v>0</v>
      </c>
      <c r="GT241" s="73">
        <v>0</v>
      </c>
      <c r="GU241" s="73">
        <v>648</v>
      </c>
      <c r="GV241" s="73">
        <v>0</v>
      </c>
      <c r="GW241" s="73">
        <v>6153</v>
      </c>
      <c r="GX241" s="73">
        <v>16967</v>
      </c>
      <c r="GY241" s="73">
        <v>2620</v>
      </c>
      <c r="GZ241" s="73">
        <v>0</v>
      </c>
      <c r="HA241" s="73">
        <v>0</v>
      </c>
      <c r="HB241" s="73">
        <v>0</v>
      </c>
      <c r="HC241" s="73">
        <v>2620</v>
      </c>
      <c r="HD241" s="73">
        <v>353</v>
      </c>
      <c r="HE241" s="73">
        <v>0</v>
      </c>
      <c r="HF241" s="73">
        <v>353</v>
      </c>
      <c r="HG241" s="73">
        <v>5583</v>
      </c>
      <c r="HH241" s="73">
        <v>0</v>
      </c>
      <c r="HI241" s="73">
        <v>141</v>
      </c>
      <c r="HJ241" s="73">
        <v>0</v>
      </c>
      <c r="HK241" s="73">
        <v>20</v>
      </c>
      <c r="HL241" s="73">
        <v>-544</v>
      </c>
      <c r="HM241" s="73">
        <v>5200</v>
      </c>
      <c r="HN241" s="73">
        <v>2589</v>
      </c>
      <c r="HO241" s="73">
        <v>4231</v>
      </c>
      <c r="HP241" s="73">
        <v>0</v>
      </c>
      <c r="HQ241" s="73">
        <v>65</v>
      </c>
      <c r="HR241" s="73">
        <v>-5</v>
      </c>
      <c r="HS241" s="73">
        <v>-5</v>
      </c>
      <c r="HT241" s="73">
        <v>4643</v>
      </c>
      <c r="HU241" s="73">
        <v>9</v>
      </c>
      <c r="HV241" s="73">
        <v>0</v>
      </c>
      <c r="HW241" s="73">
        <v>-2</v>
      </c>
      <c r="HX241" s="73">
        <v>470</v>
      </c>
    </row>
    <row r="242" spans="1:232" x14ac:dyDescent="0.2">
      <c r="A242" s="74" t="s">
        <v>674</v>
      </c>
      <c r="B242" s="74" t="s">
        <v>673</v>
      </c>
      <c r="C242" s="75" t="s">
        <v>200</v>
      </c>
      <c r="D242" s="75">
        <v>12</v>
      </c>
      <c r="E242" s="76">
        <v>31225</v>
      </c>
      <c r="F242" s="76">
        <v>-61</v>
      </c>
      <c r="G242" s="76">
        <v>-20531</v>
      </c>
      <c r="H242" s="76">
        <v>10633</v>
      </c>
      <c r="I242" s="76">
        <v>488</v>
      </c>
      <c r="J242" s="76">
        <v>0</v>
      </c>
      <c r="K242" s="76">
        <v>0</v>
      </c>
      <c r="L242" s="76">
        <v>0</v>
      </c>
      <c r="M242" s="76">
        <v>92</v>
      </c>
      <c r="N242" s="76">
        <v>-3473</v>
      </c>
      <c r="O242" s="76">
        <v>0</v>
      </c>
      <c r="P242" s="76">
        <v>0</v>
      </c>
      <c r="Q242" s="76">
        <v>0</v>
      </c>
      <c r="R242" s="76">
        <v>0</v>
      </c>
      <c r="S242" s="76">
        <v>7740</v>
      </c>
      <c r="T242" s="76">
        <v>0</v>
      </c>
      <c r="U242" s="76">
        <v>7740</v>
      </c>
      <c r="V242" s="76">
        <v>0</v>
      </c>
      <c r="W242" s="76">
        <v>736</v>
      </c>
      <c r="X242" s="76">
        <v>0</v>
      </c>
      <c r="Y242" s="76">
        <v>0</v>
      </c>
      <c r="Z242" s="76">
        <v>8476</v>
      </c>
      <c r="AA242" s="76">
        <v>28266</v>
      </c>
      <c r="AB242" s="76">
        <v>912</v>
      </c>
      <c r="AC242" s="76">
        <v>29178</v>
      </c>
      <c r="AD242" s="76">
        <v>702</v>
      </c>
      <c r="AE242" s="76">
        <v>0</v>
      </c>
      <c r="AF242" s="76">
        <v>0</v>
      </c>
      <c r="AG242" s="76">
        <v>1171</v>
      </c>
      <c r="AH242" s="76">
        <v>31051</v>
      </c>
      <c r="AI242" s="76">
        <v>9253</v>
      </c>
      <c r="AJ242" s="76">
        <v>1295</v>
      </c>
      <c r="AK242" s="76">
        <v>3717</v>
      </c>
      <c r="AL242" s="76">
        <v>1136</v>
      </c>
      <c r="AM242" s="76">
        <v>483</v>
      </c>
      <c r="AN242" s="76">
        <v>118</v>
      </c>
      <c r="AO242" s="76">
        <v>3910</v>
      </c>
      <c r="AP242" s="76">
        <v>285</v>
      </c>
      <c r="AQ242" s="76">
        <v>326</v>
      </c>
      <c r="AR242" s="76">
        <v>20523</v>
      </c>
      <c r="AS242" s="76">
        <v>10528</v>
      </c>
      <c r="AT242" s="76">
        <v>496</v>
      </c>
      <c r="AU242" s="76">
        <v>112172</v>
      </c>
      <c r="AV242" s="76">
        <v>0</v>
      </c>
      <c r="AW242" s="76">
        <v>733</v>
      </c>
      <c r="AX242" s="76">
        <v>0</v>
      </c>
      <c r="AY242" s="76">
        <v>0</v>
      </c>
      <c r="AZ242" s="76">
        <v>0</v>
      </c>
      <c r="BA242" s="76">
        <v>0</v>
      </c>
      <c r="BB242" s="76">
        <v>0</v>
      </c>
      <c r="BC242" s="76">
        <v>0</v>
      </c>
      <c r="BD242" s="76">
        <v>0</v>
      </c>
      <c r="BE242" s="76">
        <v>112905</v>
      </c>
      <c r="BF242" s="76">
        <v>0</v>
      </c>
      <c r="BG242" s="76">
        <v>1996</v>
      </c>
      <c r="BH242" s="76">
        <v>27320</v>
      </c>
      <c r="BI242" s="76">
        <v>0</v>
      </c>
      <c r="BJ242" s="76">
        <v>92</v>
      </c>
      <c r="BK242" s="76">
        <v>29408</v>
      </c>
      <c r="BL242" s="76">
        <v>0</v>
      </c>
      <c r="BM242" s="76">
        <v>0</v>
      </c>
      <c r="BN242" s="76">
        <v>700</v>
      </c>
      <c r="BO242" s="76">
        <v>6821</v>
      </c>
      <c r="BP242" s="76">
        <v>7521</v>
      </c>
      <c r="BQ242" s="76">
        <v>21887</v>
      </c>
      <c r="BR242" s="76">
        <v>134792</v>
      </c>
      <c r="BS242" s="76">
        <v>69449</v>
      </c>
      <c r="BT242" s="76">
        <v>0</v>
      </c>
      <c r="BU242" s="76">
        <v>0</v>
      </c>
      <c r="BV242" s="76">
        <v>19110</v>
      </c>
      <c r="BW242" s="76">
        <v>0</v>
      </c>
      <c r="BX242" s="76">
        <v>0</v>
      </c>
      <c r="BY242" s="76">
        <v>1249</v>
      </c>
      <c r="BZ242" s="76">
        <v>89808</v>
      </c>
      <c r="CA242" s="76">
        <v>2535</v>
      </c>
      <c r="CB242" s="76">
        <v>0</v>
      </c>
      <c r="CC242" s="76">
        <v>42449</v>
      </c>
      <c r="CD242" s="76">
        <v>42449</v>
      </c>
      <c r="CE242" s="76">
        <v>0</v>
      </c>
      <c r="CF242" s="76">
        <v>0</v>
      </c>
      <c r="CG242" s="76">
        <v>0</v>
      </c>
      <c r="CH242" s="76">
        <v>0</v>
      </c>
      <c r="CI242" s="76">
        <v>42449</v>
      </c>
      <c r="CJ242" s="76">
        <v>127</v>
      </c>
      <c r="CK242" s="76">
        <v>61</v>
      </c>
      <c r="CL242" s="76">
        <v>0</v>
      </c>
      <c r="CM242" s="76">
        <v>66</v>
      </c>
      <c r="CN242" s="76">
        <v>0</v>
      </c>
      <c r="CO242" s="76">
        <v>0</v>
      </c>
      <c r="CP242" s="76">
        <v>0</v>
      </c>
      <c r="CQ242" s="76">
        <v>0</v>
      </c>
      <c r="CR242" s="76">
        <v>0</v>
      </c>
      <c r="CS242" s="76">
        <v>0</v>
      </c>
      <c r="CT242" s="76">
        <v>0</v>
      </c>
      <c r="CU242" s="76">
        <v>0</v>
      </c>
      <c r="CV242" s="76">
        <v>0</v>
      </c>
      <c r="CW242" s="76">
        <v>0</v>
      </c>
      <c r="CX242" s="76">
        <v>0</v>
      </c>
      <c r="CY242" s="76">
        <v>0</v>
      </c>
      <c r="CZ242" s="76">
        <v>0</v>
      </c>
      <c r="DA242" s="76">
        <v>0</v>
      </c>
      <c r="DB242" s="76">
        <v>0</v>
      </c>
      <c r="DC242" s="76">
        <v>0</v>
      </c>
      <c r="DD242" s="76">
        <v>127</v>
      </c>
      <c r="DE242" s="76">
        <v>61</v>
      </c>
      <c r="DF242" s="76">
        <v>0</v>
      </c>
      <c r="DG242" s="76">
        <v>66</v>
      </c>
      <c r="DH242" s="76">
        <v>0</v>
      </c>
      <c r="DI242" s="76">
        <v>0</v>
      </c>
      <c r="DJ242" s="76">
        <v>0</v>
      </c>
      <c r="DK242" s="76">
        <v>0</v>
      </c>
      <c r="DL242" s="76">
        <v>0</v>
      </c>
      <c r="DM242" s="76">
        <v>0</v>
      </c>
      <c r="DN242" s="76">
        <v>0</v>
      </c>
      <c r="DO242" s="76">
        <v>0</v>
      </c>
      <c r="DP242" s="76">
        <v>0</v>
      </c>
      <c r="DQ242" s="76">
        <v>0</v>
      </c>
      <c r="DR242" s="76">
        <v>0</v>
      </c>
      <c r="DS242" s="76">
        <v>0</v>
      </c>
      <c r="DT242" s="76">
        <v>0</v>
      </c>
      <c r="DU242" s="76">
        <v>0</v>
      </c>
      <c r="DV242" s="76">
        <v>0</v>
      </c>
      <c r="DW242" s="76">
        <v>0</v>
      </c>
      <c r="DX242" s="76">
        <v>0</v>
      </c>
      <c r="DY242" s="76">
        <v>0</v>
      </c>
      <c r="DZ242" s="76">
        <v>0</v>
      </c>
      <c r="EA242" s="76">
        <v>0</v>
      </c>
      <c r="EB242" s="76">
        <v>47</v>
      </c>
      <c r="EC242" s="76">
        <v>0</v>
      </c>
      <c r="ED242" s="76">
        <v>8</v>
      </c>
      <c r="EE242" s="76">
        <v>39</v>
      </c>
      <c r="EF242" s="76">
        <v>47</v>
      </c>
      <c r="EG242" s="76">
        <v>0</v>
      </c>
      <c r="EH242" s="76">
        <v>8</v>
      </c>
      <c r="EI242" s="76">
        <v>39</v>
      </c>
      <c r="EJ242" s="76">
        <v>174</v>
      </c>
      <c r="EK242" s="76">
        <v>61</v>
      </c>
      <c r="EL242" s="76">
        <v>8</v>
      </c>
      <c r="EM242" s="76">
        <v>105</v>
      </c>
      <c r="EN242" s="76">
        <v>1123</v>
      </c>
      <c r="EO242" s="76">
        <v>1230</v>
      </c>
      <c r="EP242" s="76">
        <v>424</v>
      </c>
      <c r="EQ242" s="76">
        <v>1230</v>
      </c>
      <c r="ER242" s="76">
        <v>134873</v>
      </c>
      <c r="ES242" s="76">
        <v>0</v>
      </c>
      <c r="ET242" s="76">
        <v>134873</v>
      </c>
      <c r="EU242" s="76">
        <v>10569</v>
      </c>
      <c r="EV242" s="76">
        <v>-1501</v>
      </c>
      <c r="EW242" s="76">
        <v>0</v>
      </c>
      <c r="EX242" s="76">
        <v>0</v>
      </c>
      <c r="EY242" s="76">
        <v>0</v>
      </c>
      <c r="EZ242" s="76">
        <v>143941</v>
      </c>
      <c r="FA242" s="76">
        <v>28586</v>
      </c>
      <c r="FB242" s="76">
        <v>3910</v>
      </c>
      <c r="FC242" s="76">
        <v>285</v>
      </c>
      <c r="FD242" s="76">
        <v>0</v>
      </c>
      <c r="FE242" s="76">
        <v>-1013</v>
      </c>
      <c r="FF242" s="76">
        <v>0</v>
      </c>
      <c r="FG242" s="76">
        <v>0</v>
      </c>
      <c r="FH242" s="76">
        <v>31768</v>
      </c>
      <c r="FI242" s="76">
        <v>112173</v>
      </c>
      <c r="FJ242" s="76">
        <v>106287</v>
      </c>
      <c r="FK242" s="76">
        <v>0</v>
      </c>
      <c r="FL242" s="76">
        <v>0</v>
      </c>
      <c r="FM242" s="76">
        <v>0</v>
      </c>
      <c r="FN242" s="76">
        <v>759</v>
      </c>
      <c r="FO242" s="76">
        <v>451</v>
      </c>
      <c r="FP242" s="76">
        <v>308</v>
      </c>
      <c r="FQ242" s="76">
        <v>0</v>
      </c>
      <c r="FR242" s="76">
        <v>4</v>
      </c>
      <c r="FS242" s="76">
        <v>-4</v>
      </c>
      <c r="FT242" s="76">
        <v>310</v>
      </c>
      <c r="FU242" s="76">
        <v>126</v>
      </c>
      <c r="FV242" s="76">
        <v>184</v>
      </c>
      <c r="FW242" s="76">
        <v>0</v>
      </c>
      <c r="FX242" s="76">
        <v>0</v>
      </c>
      <c r="FY242" s="76">
        <v>0</v>
      </c>
      <c r="FZ242" s="76">
        <v>0</v>
      </c>
      <c r="GA242" s="76">
        <v>0</v>
      </c>
      <c r="GB242" s="76">
        <v>0</v>
      </c>
      <c r="GC242" s="76">
        <v>1069</v>
      </c>
      <c r="GD242" s="76">
        <v>581</v>
      </c>
      <c r="GE242" s="76">
        <v>488</v>
      </c>
      <c r="GF242" s="76">
        <v>0</v>
      </c>
      <c r="GG242" s="76">
        <v>0</v>
      </c>
      <c r="GH242" s="76">
        <v>0</v>
      </c>
      <c r="GI242" s="76">
        <v>0</v>
      </c>
      <c r="GJ242" s="76">
        <v>0</v>
      </c>
      <c r="GK242" s="76">
        <v>92</v>
      </c>
      <c r="GL242" s="76">
        <v>92</v>
      </c>
      <c r="GM242" s="76">
        <v>1641</v>
      </c>
      <c r="GN242" s="76">
        <v>496</v>
      </c>
      <c r="GO242" s="76">
        <v>0</v>
      </c>
      <c r="GP242" s="76">
        <v>24</v>
      </c>
      <c r="GQ242" s="76">
        <v>437</v>
      </c>
      <c r="GR242" s="76">
        <v>2405</v>
      </c>
      <c r="GS242" s="76">
        <v>0</v>
      </c>
      <c r="GT242" s="76">
        <v>0</v>
      </c>
      <c r="GU242" s="76">
        <v>135</v>
      </c>
      <c r="GV242" s="76">
        <v>0</v>
      </c>
      <c r="GW242" s="76">
        <v>1683</v>
      </c>
      <c r="GX242" s="76">
        <v>6821</v>
      </c>
      <c r="GY242" s="76">
        <v>92</v>
      </c>
      <c r="GZ242" s="76">
        <v>407</v>
      </c>
      <c r="HA242" s="76">
        <v>715</v>
      </c>
      <c r="HB242" s="76">
        <v>35</v>
      </c>
      <c r="HC242" s="76">
        <v>1249</v>
      </c>
      <c r="HD242" s="76">
        <v>0</v>
      </c>
      <c r="HE242" s="76">
        <v>0</v>
      </c>
      <c r="HF242" s="76">
        <v>0</v>
      </c>
      <c r="HG242" s="76">
        <v>3258</v>
      </c>
      <c r="HH242" s="76">
        <v>0</v>
      </c>
      <c r="HI242" s="76">
        <v>131</v>
      </c>
      <c r="HJ242" s="76">
        <v>0</v>
      </c>
      <c r="HK242" s="76">
        <v>84</v>
      </c>
      <c r="HL242" s="76">
        <v>0</v>
      </c>
      <c r="HM242" s="76">
        <v>3473</v>
      </c>
      <c r="HN242" s="76">
        <v>9585</v>
      </c>
      <c r="HO242" s="76">
        <v>4234</v>
      </c>
      <c r="HP242" s="76">
        <v>285</v>
      </c>
      <c r="HQ242" s="76">
        <v>5</v>
      </c>
      <c r="HR242" s="76">
        <v>-121</v>
      </c>
      <c r="HS242" s="76">
        <v>1</v>
      </c>
      <c r="HT242" s="76">
        <v>7967</v>
      </c>
      <c r="HU242" s="76">
        <v>0</v>
      </c>
      <c r="HV242" s="76">
        <v>0</v>
      </c>
      <c r="HW242" s="76">
        <v>-1</v>
      </c>
      <c r="HX242" s="76">
        <v>216</v>
      </c>
    </row>
    <row r="243" spans="1:232" x14ac:dyDescent="0.2">
      <c r="A243" s="74" t="s">
        <v>675</v>
      </c>
      <c r="B243" s="74" t="s">
        <v>676</v>
      </c>
      <c r="C243" s="75" t="s">
        <v>200</v>
      </c>
      <c r="D243" s="75">
        <v>12</v>
      </c>
      <c r="E243" s="76">
        <v>45568</v>
      </c>
      <c r="F243" s="76">
        <v>-4660</v>
      </c>
      <c r="G243" s="76">
        <v>-19738</v>
      </c>
      <c r="H243" s="76">
        <v>21170</v>
      </c>
      <c r="I243" s="76">
        <v>1765</v>
      </c>
      <c r="J243" s="76">
        <v>0</v>
      </c>
      <c r="K243" s="76">
        <v>0</v>
      </c>
      <c r="L243" s="76">
        <v>0</v>
      </c>
      <c r="M243" s="76">
        <v>228</v>
      </c>
      <c r="N243" s="76">
        <v>-9706</v>
      </c>
      <c r="O243" s="76">
        <v>1030</v>
      </c>
      <c r="P243" s="76">
        <v>38</v>
      </c>
      <c r="Q243" s="76">
        <v>0</v>
      </c>
      <c r="R243" s="76">
        <v>0</v>
      </c>
      <c r="S243" s="76">
        <v>14525</v>
      </c>
      <c r="T243" s="76">
        <v>-133</v>
      </c>
      <c r="U243" s="76">
        <v>14392</v>
      </c>
      <c r="V243" s="76">
        <v>0</v>
      </c>
      <c r="W243" s="76">
        <v>0</v>
      </c>
      <c r="X243" s="76">
        <v>0</v>
      </c>
      <c r="Y243" s="76">
        <v>0</v>
      </c>
      <c r="Z243" s="76">
        <v>14392</v>
      </c>
      <c r="AA243" s="76">
        <v>34752</v>
      </c>
      <c r="AB243" s="76">
        <v>893</v>
      </c>
      <c r="AC243" s="76">
        <v>35645</v>
      </c>
      <c r="AD243" s="76">
        <v>562</v>
      </c>
      <c r="AE243" s="76">
        <v>0</v>
      </c>
      <c r="AF243" s="76">
        <v>0</v>
      </c>
      <c r="AG243" s="76">
        <v>0</v>
      </c>
      <c r="AH243" s="76">
        <v>36207</v>
      </c>
      <c r="AI243" s="76">
        <v>2649</v>
      </c>
      <c r="AJ243" s="76">
        <v>1507</v>
      </c>
      <c r="AK243" s="76">
        <v>5595</v>
      </c>
      <c r="AL243" s="76">
        <v>4036</v>
      </c>
      <c r="AM243" s="76">
        <v>0</v>
      </c>
      <c r="AN243" s="76">
        <v>190</v>
      </c>
      <c r="AO243" s="76">
        <v>4504</v>
      </c>
      <c r="AP243" s="76">
        <v>0</v>
      </c>
      <c r="AQ243" s="76">
        <v>0</v>
      </c>
      <c r="AR243" s="76">
        <v>18481</v>
      </c>
      <c r="AS243" s="76">
        <v>17726</v>
      </c>
      <c r="AT243" s="76">
        <v>190</v>
      </c>
      <c r="AU243" s="76">
        <v>498335</v>
      </c>
      <c r="AV243" s="76">
        <v>0</v>
      </c>
      <c r="AW243" s="76">
        <v>2354</v>
      </c>
      <c r="AX243" s="76">
        <v>0</v>
      </c>
      <c r="AY243" s="76">
        <v>1104</v>
      </c>
      <c r="AZ243" s="76">
        <v>2777</v>
      </c>
      <c r="BA243" s="76">
        <v>0</v>
      </c>
      <c r="BB243" s="76">
        <v>0</v>
      </c>
      <c r="BC243" s="76">
        <v>0</v>
      </c>
      <c r="BD243" s="76">
        <v>0</v>
      </c>
      <c r="BE243" s="76">
        <v>504570</v>
      </c>
      <c r="BF243" s="76">
        <v>2951</v>
      </c>
      <c r="BG243" s="76">
        <v>1743</v>
      </c>
      <c r="BH243" s="76">
        <v>41654</v>
      </c>
      <c r="BI243" s="76">
        <v>0</v>
      </c>
      <c r="BJ243" s="76">
        <v>1785</v>
      </c>
      <c r="BK243" s="76">
        <v>48133</v>
      </c>
      <c r="BL243" s="76">
        <v>2103</v>
      </c>
      <c r="BM243" s="76">
        <v>0</v>
      </c>
      <c r="BN243" s="76">
        <v>557</v>
      </c>
      <c r="BO243" s="76">
        <v>10476</v>
      </c>
      <c r="BP243" s="76">
        <v>13136</v>
      </c>
      <c r="BQ243" s="76">
        <v>34997</v>
      </c>
      <c r="BR243" s="76">
        <v>539567</v>
      </c>
      <c r="BS243" s="76">
        <v>220237</v>
      </c>
      <c r="BT243" s="76">
        <v>0</v>
      </c>
      <c r="BU243" s="76">
        <v>0</v>
      </c>
      <c r="BV243" s="76">
        <v>51058</v>
      </c>
      <c r="BW243" s="76">
        <v>0</v>
      </c>
      <c r="BX243" s="76">
        <v>0</v>
      </c>
      <c r="BY243" s="76">
        <v>866</v>
      </c>
      <c r="BZ243" s="76">
        <v>272161</v>
      </c>
      <c r="CA243" s="76">
        <v>2960</v>
      </c>
      <c r="CB243" s="76">
        <v>0</v>
      </c>
      <c r="CC243" s="76">
        <v>264446</v>
      </c>
      <c r="CD243" s="76">
        <v>101750</v>
      </c>
      <c r="CE243" s="76">
        <v>162696</v>
      </c>
      <c r="CF243" s="76">
        <v>0</v>
      </c>
      <c r="CG243" s="76">
        <v>0</v>
      </c>
      <c r="CH243" s="76">
        <v>0</v>
      </c>
      <c r="CI243" s="76">
        <v>264446</v>
      </c>
      <c r="CJ243" s="76">
        <v>7300</v>
      </c>
      <c r="CK243" s="76">
        <v>4252</v>
      </c>
      <c r="CL243" s="76">
        <v>0</v>
      </c>
      <c r="CM243" s="76">
        <v>3048</v>
      </c>
      <c r="CN243" s="76">
        <v>0</v>
      </c>
      <c r="CO243" s="76">
        <v>0</v>
      </c>
      <c r="CP243" s="76">
        <v>0</v>
      </c>
      <c r="CQ243" s="76">
        <v>0</v>
      </c>
      <c r="CR243" s="76">
        <v>0</v>
      </c>
      <c r="CS243" s="76">
        <v>0</v>
      </c>
      <c r="CT243" s="76">
        <v>576</v>
      </c>
      <c r="CU243" s="76">
        <v>-576</v>
      </c>
      <c r="CV243" s="76">
        <v>0</v>
      </c>
      <c r="CW243" s="76">
        <v>0</v>
      </c>
      <c r="CX243" s="76">
        <v>0</v>
      </c>
      <c r="CY243" s="76">
        <v>0</v>
      </c>
      <c r="CZ243" s="76">
        <v>230</v>
      </c>
      <c r="DA243" s="76">
        <v>19</v>
      </c>
      <c r="DB243" s="76">
        <v>620</v>
      </c>
      <c r="DC243" s="76">
        <v>-409</v>
      </c>
      <c r="DD243" s="76">
        <v>7530</v>
      </c>
      <c r="DE243" s="76">
        <v>4271</v>
      </c>
      <c r="DF243" s="76">
        <v>1196</v>
      </c>
      <c r="DG243" s="76">
        <v>2063</v>
      </c>
      <c r="DH243" s="76">
        <v>1055</v>
      </c>
      <c r="DI243" s="76">
        <v>389</v>
      </c>
      <c r="DJ243" s="76">
        <v>0</v>
      </c>
      <c r="DK243" s="76">
        <v>666</v>
      </c>
      <c r="DL243" s="76">
        <v>0</v>
      </c>
      <c r="DM243" s="76">
        <v>0</v>
      </c>
      <c r="DN243" s="76">
        <v>0</v>
      </c>
      <c r="DO243" s="76">
        <v>0</v>
      </c>
      <c r="DP243" s="76">
        <v>0</v>
      </c>
      <c r="DQ243" s="76">
        <v>0</v>
      </c>
      <c r="DR243" s="76">
        <v>0</v>
      </c>
      <c r="DS243" s="76">
        <v>0</v>
      </c>
      <c r="DT243" s="76">
        <v>511</v>
      </c>
      <c r="DU243" s="76">
        <v>0</v>
      </c>
      <c r="DV243" s="76">
        <v>49</v>
      </c>
      <c r="DW243" s="76">
        <v>462</v>
      </c>
      <c r="DX243" s="76">
        <v>0</v>
      </c>
      <c r="DY243" s="76">
        <v>0</v>
      </c>
      <c r="DZ243" s="76">
        <v>0</v>
      </c>
      <c r="EA243" s="76">
        <v>0</v>
      </c>
      <c r="EB243" s="76">
        <v>265</v>
      </c>
      <c r="EC243" s="76">
        <v>0</v>
      </c>
      <c r="ED243" s="76">
        <v>12</v>
      </c>
      <c r="EE243" s="76">
        <v>253</v>
      </c>
      <c r="EF243" s="76">
        <v>1831</v>
      </c>
      <c r="EG243" s="76">
        <v>389</v>
      </c>
      <c r="EH243" s="76">
        <v>61</v>
      </c>
      <c r="EI243" s="76">
        <v>1381</v>
      </c>
      <c r="EJ243" s="76">
        <v>9361</v>
      </c>
      <c r="EK243" s="76">
        <v>4660</v>
      </c>
      <c r="EL243" s="76">
        <v>1257</v>
      </c>
      <c r="EM243" s="76">
        <v>3444</v>
      </c>
      <c r="EN243" s="76">
        <v>675</v>
      </c>
      <c r="EO243" s="76">
        <v>215</v>
      </c>
      <c r="EP243" s="76">
        <v>439</v>
      </c>
      <c r="EQ243" s="76">
        <v>0</v>
      </c>
      <c r="ER243" s="76">
        <v>0</v>
      </c>
      <c r="ES243" s="76">
        <v>510728</v>
      </c>
      <c r="ET243" s="76">
        <v>510728</v>
      </c>
      <c r="EU243" s="76">
        <v>26551</v>
      </c>
      <c r="EV243" s="76">
        <v>-8106</v>
      </c>
      <c r="EW243" s="76">
        <v>0</v>
      </c>
      <c r="EX243" s="76">
        <v>0</v>
      </c>
      <c r="EY243" s="76">
        <v>0</v>
      </c>
      <c r="EZ243" s="76">
        <v>529173</v>
      </c>
      <c r="FA243" s="76">
        <v>26735</v>
      </c>
      <c r="FB243" s="76">
        <v>4504</v>
      </c>
      <c r="FC243" s="76">
        <v>0</v>
      </c>
      <c r="FD243" s="76">
        <v>0</v>
      </c>
      <c r="FE243" s="76">
        <v>-401</v>
      </c>
      <c r="FF243" s="76">
        <v>0</v>
      </c>
      <c r="FG243" s="76">
        <v>0</v>
      </c>
      <c r="FH243" s="76">
        <v>30838</v>
      </c>
      <c r="FI243" s="76">
        <v>498335</v>
      </c>
      <c r="FJ243" s="76">
        <v>483993</v>
      </c>
      <c r="FK243" s="76">
        <v>2089</v>
      </c>
      <c r="FL243" s="76">
        <v>1987</v>
      </c>
      <c r="FM243" s="76">
        <v>102</v>
      </c>
      <c r="FN243" s="76">
        <v>831</v>
      </c>
      <c r="FO243" s="76">
        <v>0</v>
      </c>
      <c r="FP243" s="76">
        <v>831</v>
      </c>
      <c r="FQ243" s="76">
        <v>436</v>
      </c>
      <c r="FR243" s="76">
        <v>126</v>
      </c>
      <c r="FS243" s="76">
        <v>310</v>
      </c>
      <c r="FT243" s="76">
        <v>0</v>
      </c>
      <c r="FU243" s="76">
        <v>0</v>
      </c>
      <c r="FV243" s="76">
        <v>0</v>
      </c>
      <c r="FW243" s="76">
        <v>0</v>
      </c>
      <c r="FX243" s="76">
        <v>0</v>
      </c>
      <c r="FY243" s="76">
        <v>0</v>
      </c>
      <c r="FZ243" s="76">
        <v>7587</v>
      </c>
      <c r="GA243" s="76">
        <v>7065</v>
      </c>
      <c r="GB243" s="76">
        <v>522</v>
      </c>
      <c r="GC243" s="76">
        <v>10943</v>
      </c>
      <c r="GD243" s="76">
        <v>9178</v>
      </c>
      <c r="GE243" s="76">
        <v>1765</v>
      </c>
      <c r="GF243" s="76">
        <v>866</v>
      </c>
      <c r="GG243" s="76">
        <v>0</v>
      </c>
      <c r="GH243" s="76">
        <v>0</v>
      </c>
      <c r="GI243" s="76">
        <v>0</v>
      </c>
      <c r="GJ243" s="76">
        <v>0</v>
      </c>
      <c r="GK243" s="76">
        <v>919</v>
      </c>
      <c r="GL243" s="76">
        <v>1785</v>
      </c>
      <c r="GM243" s="76">
        <v>3960</v>
      </c>
      <c r="GN243" s="76">
        <v>653</v>
      </c>
      <c r="GO243" s="76">
        <v>0</v>
      </c>
      <c r="GP243" s="76">
        <v>0</v>
      </c>
      <c r="GQ243" s="76">
        <v>0</v>
      </c>
      <c r="GR243" s="76">
        <v>5086</v>
      </c>
      <c r="GS243" s="76">
        <v>0</v>
      </c>
      <c r="GT243" s="76">
        <v>0</v>
      </c>
      <c r="GU243" s="76">
        <v>0</v>
      </c>
      <c r="GV243" s="76">
        <v>0</v>
      </c>
      <c r="GW243" s="76">
        <v>777</v>
      </c>
      <c r="GX243" s="76">
        <v>10476</v>
      </c>
      <c r="GY243" s="76">
        <v>289</v>
      </c>
      <c r="GZ243" s="76">
        <v>577</v>
      </c>
      <c r="HA243" s="76">
        <v>0</v>
      </c>
      <c r="HB243" s="76">
        <v>0</v>
      </c>
      <c r="HC243" s="76">
        <v>866</v>
      </c>
      <c r="HD243" s="76">
        <v>0</v>
      </c>
      <c r="HE243" s="76">
        <v>0</v>
      </c>
      <c r="HF243" s="76">
        <v>0</v>
      </c>
      <c r="HG243" s="76">
        <v>9642</v>
      </c>
      <c r="HH243" s="76">
        <v>0</v>
      </c>
      <c r="HI243" s="76">
        <v>62</v>
      </c>
      <c r="HJ243" s="76">
        <v>2</v>
      </c>
      <c r="HK243" s="76">
        <v>0</v>
      </c>
      <c r="HL243" s="76">
        <v>0</v>
      </c>
      <c r="HM243" s="76">
        <v>9706</v>
      </c>
      <c r="HN243" s="76">
        <v>3811</v>
      </c>
      <c r="HO243" s="76">
        <v>4504</v>
      </c>
      <c r="HP243" s="76">
        <v>0</v>
      </c>
      <c r="HQ243" s="76">
        <v>170</v>
      </c>
      <c r="HR243" s="76">
        <v>-43</v>
      </c>
      <c r="HS243" s="76">
        <v>-6</v>
      </c>
      <c r="HT243" s="76">
        <v>6322</v>
      </c>
      <c r="HU243" s="76">
        <v>0</v>
      </c>
      <c r="HV243" s="76">
        <v>0</v>
      </c>
      <c r="HW243" s="76">
        <v>0</v>
      </c>
      <c r="HX243" s="76">
        <v>0</v>
      </c>
    </row>
    <row r="244" spans="1:232" x14ac:dyDescent="0.2">
      <c r="A244" s="74" t="s">
        <v>161</v>
      </c>
      <c r="B244" s="74" t="s">
        <v>160</v>
      </c>
      <c r="C244" s="75" t="s">
        <v>200</v>
      </c>
      <c r="D244" s="75">
        <v>12</v>
      </c>
      <c r="E244" s="76">
        <v>7814</v>
      </c>
      <c r="F244" s="76">
        <v>0</v>
      </c>
      <c r="G244" s="76">
        <v>-4749</v>
      </c>
      <c r="H244" s="76">
        <v>3065</v>
      </c>
      <c r="I244" s="76">
        <v>29</v>
      </c>
      <c r="J244" s="76">
        <v>0</v>
      </c>
      <c r="K244" s="76">
        <v>0</v>
      </c>
      <c r="L244" s="76">
        <v>0</v>
      </c>
      <c r="M244" s="76">
        <v>15</v>
      </c>
      <c r="N244" s="76">
        <v>-1203</v>
      </c>
      <c r="O244" s="76">
        <v>0</v>
      </c>
      <c r="P244" s="76">
        <v>0</v>
      </c>
      <c r="Q244" s="76">
        <v>0</v>
      </c>
      <c r="R244" s="76">
        <v>0</v>
      </c>
      <c r="S244" s="76">
        <v>1906</v>
      </c>
      <c r="T244" s="76">
        <v>0</v>
      </c>
      <c r="U244" s="76">
        <v>1906</v>
      </c>
      <c r="V244" s="76">
        <v>0</v>
      </c>
      <c r="W244" s="76">
        <v>0</v>
      </c>
      <c r="X244" s="76">
        <v>0</v>
      </c>
      <c r="Y244" s="76">
        <v>0</v>
      </c>
      <c r="Z244" s="76">
        <v>1906</v>
      </c>
      <c r="AA244" s="76">
        <v>6333</v>
      </c>
      <c r="AB244" s="76">
        <v>251</v>
      </c>
      <c r="AC244" s="76">
        <v>6584</v>
      </c>
      <c r="AD244" s="76">
        <v>794</v>
      </c>
      <c r="AE244" s="76">
        <v>0</v>
      </c>
      <c r="AF244" s="76">
        <v>0</v>
      </c>
      <c r="AG244" s="76">
        <v>0</v>
      </c>
      <c r="AH244" s="76">
        <v>7378</v>
      </c>
      <c r="AI244" s="76">
        <v>1508</v>
      </c>
      <c r="AJ244" s="76">
        <v>208</v>
      </c>
      <c r="AK244" s="76">
        <v>475</v>
      </c>
      <c r="AL244" s="76">
        <v>1084</v>
      </c>
      <c r="AM244" s="76">
        <v>168</v>
      </c>
      <c r="AN244" s="76">
        <v>95</v>
      </c>
      <c r="AO244" s="76">
        <v>889</v>
      </c>
      <c r="AP244" s="76">
        <v>0</v>
      </c>
      <c r="AQ244" s="76">
        <v>51</v>
      </c>
      <c r="AR244" s="76">
        <v>4478</v>
      </c>
      <c r="AS244" s="76">
        <v>2900</v>
      </c>
      <c r="AT244" s="76">
        <v>123</v>
      </c>
      <c r="AU244" s="76">
        <v>73983</v>
      </c>
      <c r="AV244" s="76">
        <v>0</v>
      </c>
      <c r="AW244" s="76">
        <v>336</v>
      </c>
      <c r="AX244" s="76">
        <v>0</v>
      </c>
      <c r="AY244" s="76">
        <v>0</v>
      </c>
      <c r="AZ244" s="76">
        <v>0</v>
      </c>
      <c r="BA244" s="76">
        <v>0</v>
      </c>
      <c r="BB244" s="76">
        <v>0</v>
      </c>
      <c r="BC244" s="76">
        <v>0</v>
      </c>
      <c r="BD244" s="76">
        <v>0</v>
      </c>
      <c r="BE244" s="76">
        <v>74319</v>
      </c>
      <c r="BF244" s="76">
        <v>0</v>
      </c>
      <c r="BG244" s="76">
        <v>0</v>
      </c>
      <c r="BH244" s="76">
        <v>3858</v>
      </c>
      <c r="BI244" s="76">
        <v>0</v>
      </c>
      <c r="BJ244" s="76">
        <v>384</v>
      </c>
      <c r="BK244" s="76">
        <v>4242</v>
      </c>
      <c r="BL244" s="76">
        <v>0</v>
      </c>
      <c r="BM244" s="76">
        <v>0</v>
      </c>
      <c r="BN244" s="76">
        <v>557</v>
      </c>
      <c r="BO244" s="76">
        <v>1655</v>
      </c>
      <c r="BP244" s="76">
        <v>2212</v>
      </c>
      <c r="BQ244" s="76">
        <v>2030</v>
      </c>
      <c r="BR244" s="76">
        <v>76349</v>
      </c>
      <c r="BS244" s="76">
        <v>24971</v>
      </c>
      <c r="BT244" s="76">
        <v>0</v>
      </c>
      <c r="BU244" s="76">
        <v>0</v>
      </c>
      <c r="BV244" s="76">
        <v>25672</v>
      </c>
      <c r="BW244" s="76">
        <v>0</v>
      </c>
      <c r="BX244" s="76">
        <v>0</v>
      </c>
      <c r="BY244" s="76">
        <v>122</v>
      </c>
      <c r="BZ244" s="76">
        <v>50765</v>
      </c>
      <c r="CA244" s="76">
        <v>0</v>
      </c>
      <c r="CB244" s="76">
        <v>0</v>
      </c>
      <c r="CC244" s="76">
        <v>25584</v>
      </c>
      <c r="CD244" s="76">
        <v>25584</v>
      </c>
      <c r="CE244" s="76">
        <v>0</v>
      </c>
      <c r="CF244" s="76">
        <v>0</v>
      </c>
      <c r="CG244" s="76">
        <v>0</v>
      </c>
      <c r="CH244" s="76">
        <v>0</v>
      </c>
      <c r="CI244" s="76">
        <v>25584</v>
      </c>
      <c r="CJ244" s="76">
        <v>325</v>
      </c>
      <c r="CK244" s="76">
        <v>0</v>
      </c>
      <c r="CL244" s="76">
        <v>180</v>
      </c>
      <c r="CM244" s="76">
        <v>145</v>
      </c>
      <c r="CN244" s="76">
        <v>77</v>
      </c>
      <c r="CO244" s="76">
        <v>0</v>
      </c>
      <c r="CP244" s="76">
        <v>60</v>
      </c>
      <c r="CQ244" s="76">
        <v>17</v>
      </c>
      <c r="CR244" s="76">
        <v>0</v>
      </c>
      <c r="CS244" s="76">
        <v>0</v>
      </c>
      <c r="CT244" s="76">
        <v>0</v>
      </c>
      <c r="CU244" s="76">
        <v>0</v>
      </c>
      <c r="CV244" s="76">
        <v>0</v>
      </c>
      <c r="CW244" s="76">
        <v>0</v>
      </c>
      <c r="CX244" s="76">
        <v>0</v>
      </c>
      <c r="CY244" s="76">
        <v>0</v>
      </c>
      <c r="CZ244" s="76">
        <v>34</v>
      </c>
      <c r="DA244" s="76">
        <v>0</v>
      </c>
      <c r="DB244" s="76">
        <v>31</v>
      </c>
      <c r="DC244" s="76">
        <v>3</v>
      </c>
      <c r="DD244" s="76">
        <v>436</v>
      </c>
      <c r="DE244" s="76">
        <v>0</v>
      </c>
      <c r="DF244" s="76">
        <v>271</v>
      </c>
      <c r="DG244" s="76">
        <v>165</v>
      </c>
      <c r="DH244" s="76">
        <v>0</v>
      </c>
      <c r="DI244" s="76">
        <v>0</v>
      </c>
      <c r="DJ244" s="76">
        <v>0</v>
      </c>
      <c r="DK244" s="76">
        <v>0</v>
      </c>
      <c r="DL244" s="76">
        <v>0</v>
      </c>
      <c r="DM244" s="76">
        <v>0</v>
      </c>
      <c r="DN244" s="76">
        <v>0</v>
      </c>
      <c r="DO244" s="76">
        <v>0</v>
      </c>
      <c r="DP244" s="76">
        <v>0</v>
      </c>
      <c r="DQ244" s="76">
        <v>0</v>
      </c>
      <c r="DR244" s="76">
        <v>0</v>
      </c>
      <c r="DS244" s="76">
        <v>0</v>
      </c>
      <c r="DT244" s="76">
        <v>0</v>
      </c>
      <c r="DU244" s="76">
        <v>0</v>
      </c>
      <c r="DV244" s="76">
        <v>0</v>
      </c>
      <c r="DW244" s="76">
        <v>0</v>
      </c>
      <c r="DX244" s="76">
        <v>0</v>
      </c>
      <c r="DY244" s="76">
        <v>0</v>
      </c>
      <c r="DZ244" s="76">
        <v>0</v>
      </c>
      <c r="EA244" s="76">
        <v>0</v>
      </c>
      <c r="EB244" s="76">
        <v>0</v>
      </c>
      <c r="EC244" s="76">
        <v>0</v>
      </c>
      <c r="ED244" s="76">
        <v>0</v>
      </c>
      <c r="EE244" s="76">
        <v>0</v>
      </c>
      <c r="EF244" s="76">
        <v>0</v>
      </c>
      <c r="EG244" s="76">
        <v>0</v>
      </c>
      <c r="EH244" s="76">
        <v>0</v>
      </c>
      <c r="EI244" s="76">
        <v>0</v>
      </c>
      <c r="EJ244" s="76">
        <v>436</v>
      </c>
      <c r="EK244" s="76">
        <v>0</v>
      </c>
      <c r="EL244" s="76">
        <v>271</v>
      </c>
      <c r="EM244" s="76">
        <v>165</v>
      </c>
      <c r="EN244" s="76">
        <v>214</v>
      </c>
      <c r="EO244" s="76">
        <v>43</v>
      </c>
      <c r="EP244" s="76">
        <v>32</v>
      </c>
      <c r="EQ244" s="76">
        <v>43</v>
      </c>
      <c r="ER244" s="76">
        <v>75524</v>
      </c>
      <c r="ES244" s="76">
        <v>0</v>
      </c>
      <c r="ET244" s="76">
        <v>75524</v>
      </c>
      <c r="EU244" s="76">
        <v>6975</v>
      </c>
      <c r="EV244" s="76">
        <v>-314</v>
      </c>
      <c r="EW244" s="76">
        <v>0</v>
      </c>
      <c r="EX244" s="76">
        <v>0</v>
      </c>
      <c r="EY244" s="76">
        <v>0</v>
      </c>
      <c r="EZ244" s="76">
        <v>82185</v>
      </c>
      <c r="FA244" s="76">
        <v>7506</v>
      </c>
      <c r="FB244" s="76">
        <v>889</v>
      </c>
      <c r="FC244" s="76">
        <v>0</v>
      </c>
      <c r="FD244" s="76">
        <v>0</v>
      </c>
      <c r="FE244" s="76">
        <v>-11</v>
      </c>
      <c r="FF244" s="76">
        <v>0</v>
      </c>
      <c r="FG244" s="76">
        <v>-182</v>
      </c>
      <c r="FH244" s="76">
        <v>8202</v>
      </c>
      <c r="FI244" s="76">
        <v>73983</v>
      </c>
      <c r="FJ244" s="76">
        <v>68018</v>
      </c>
      <c r="FK244" s="76">
        <v>78</v>
      </c>
      <c r="FL244" s="76">
        <v>49</v>
      </c>
      <c r="FM244" s="76">
        <v>29</v>
      </c>
      <c r="FN244" s="76">
        <v>0</v>
      </c>
      <c r="FO244" s="76">
        <v>0</v>
      </c>
      <c r="FP244" s="76">
        <v>0</v>
      </c>
      <c r="FQ244" s="76">
        <v>0</v>
      </c>
      <c r="FR244" s="76">
        <v>0</v>
      </c>
      <c r="FS244" s="76">
        <v>0</v>
      </c>
      <c r="FT244" s="76">
        <v>0</v>
      </c>
      <c r="FU244" s="76">
        <v>0</v>
      </c>
      <c r="FV244" s="76">
        <v>0</v>
      </c>
      <c r="FW244" s="76">
        <v>0</v>
      </c>
      <c r="FX244" s="76">
        <v>0</v>
      </c>
      <c r="FY244" s="76">
        <v>0</v>
      </c>
      <c r="FZ244" s="76">
        <v>0</v>
      </c>
      <c r="GA244" s="76">
        <v>0</v>
      </c>
      <c r="GB244" s="76">
        <v>0</v>
      </c>
      <c r="GC244" s="76">
        <v>78</v>
      </c>
      <c r="GD244" s="76">
        <v>49</v>
      </c>
      <c r="GE244" s="76">
        <v>29</v>
      </c>
      <c r="GF244" s="76">
        <v>0</v>
      </c>
      <c r="GG244" s="76">
        <v>0</v>
      </c>
      <c r="GH244" s="76">
        <v>0</v>
      </c>
      <c r="GI244" s="76">
        <v>0</v>
      </c>
      <c r="GJ244" s="76">
        <v>0</v>
      </c>
      <c r="GK244" s="76">
        <v>384</v>
      </c>
      <c r="GL244" s="76">
        <v>384</v>
      </c>
      <c r="GM244" s="76">
        <v>142</v>
      </c>
      <c r="GN244" s="76">
        <v>124</v>
      </c>
      <c r="GO244" s="76">
        <v>0</v>
      </c>
      <c r="GP244" s="76">
        <v>0</v>
      </c>
      <c r="GQ244" s="76">
        <v>0</v>
      </c>
      <c r="GR244" s="76">
        <v>837</v>
      </c>
      <c r="GS244" s="76">
        <v>0</v>
      </c>
      <c r="GT244" s="76">
        <v>0</v>
      </c>
      <c r="GU244" s="76">
        <v>0</v>
      </c>
      <c r="GV244" s="76">
        <v>0</v>
      </c>
      <c r="GW244" s="76">
        <v>552</v>
      </c>
      <c r="GX244" s="76">
        <v>1655</v>
      </c>
      <c r="GY244" s="76">
        <v>122</v>
      </c>
      <c r="GZ244" s="76">
        <v>0</v>
      </c>
      <c r="HA244" s="76">
        <v>0</v>
      </c>
      <c r="HB244" s="76">
        <v>0</v>
      </c>
      <c r="HC244" s="76">
        <v>122</v>
      </c>
      <c r="HD244" s="76">
        <v>0</v>
      </c>
      <c r="HE244" s="76">
        <v>0</v>
      </c>
      <c r="HF244" s="76">
        <v>0</v>
      </c>
      <c r="HG244" s="76">
        <v>1204</v>
      </c>
      <c r="HH244" s="76">
        <v>0</v>
      </c>
      <c r="HI244" s="76">
        <v>0</v>
      </c>
      <c r="HJ244" s="76">
        <v>0</v>
      </c>
      <c r="HK244" s="76">
        <v>0</v>
      </c>
      <c r="HL244" s="76">
        <v>-1</v>
      </c>
      <c r="HM244" s="76">
        <v>1203</v>
      </c>
      <c r="HN244" s="76">
        <v>442</v>
      </c>
      <c r="HO244" s="76">
        <v>889</v>
      </c>
      <c r="HP244" s="76">
        <v>0</v>
      </c>
      <c r="HQ244" s="76">
        <v>73</v>
      </c>
      <c r="HR244" s="76">
        <v>0</v>
      </c>
      <c r="HS244" s="76">
        <v>-6</v>
      </c>
      <c r="HT244" s="76">
        <v>1145</v>
      </c>
      <c r="HU244" s="76">
        <v>0</v>
      </c>
      <c r="HV244" s="76">
        <v>0</v>
      </c>
      <c r="HW244" s="76">
        <v>0</v>
      </c>
      <c r="HX244" s="76">
        <v>0</v>
      </c>
    </row>
    <row r="245" spans="1:232" x14ac:dyDescent="0.2">
      <c r="A245" s="74" t="s">
        <v>163</v>
      </c>
      <c r="B245" s="74" t="s">
        <v>162</v>
      </c>
      <c r="C245" s="75" t="s">
        <v>200</v>
      </c>
      <c r="D245" s="75">
        <v>12</v>
      </c>
      <c r="E245" s="76">
        <v>16379</v>
      </c>
      <c r="F245" s="76">
        <v>0</v>
      </c>
      <c r="G245" s="76">
        <v>-8494</v>
      </c>
      <c r="H245" s="76">
        <v>7885</v>
      </c>
      <c r="I245" s="76">
        <v>561</v>
      </c>
      <c r="J245" s="76">
        <v>0</v>
      </c>
      <c r="K245" s="76">
        <v>0</v>
      </c>
      <c r="L245" s="76">
        <v>0</v>
      </c>
      <c r="M245" s="76">
        <v>32</v>
      </c>
      <c r="N245" s="76">
        <v>-2227</v>
      </c>
      <c r="O245" s="76">
        <v>0</v>
      </c>
      <c r="P245" s="76">
        <v>0</v>
      </c>
      <c r="Q245" s="76">
        <v>0</v>
      </c>
      <c r="R245" s="76">
        <v>0</v>
      </c>
      <c r="S245" s="76">
        <v>6251</v>
      </c>
      <c r="T245" s="76">
        <v>0</v>
      </c>
      <c r="U245" s="76">
        <v>6251</v>
      </c>
      <c r="V245" s="76">
        <v>0</v>
      </c>
      <c r="W245" s="76">
        <v>-1163</v>
      </c>
      <c r="X245" s="76">
        <v>0</v>
      </c>
      <c r="Y245" s="76">
        <v>0</v>
      </c>
      <c r="Z245" s="76">
        <v>5088</v>
      </c>
      <c r="AA245" s="76">
        <v>14479</v>
      </c>
      <c r="AB245" s="76">
        <v>640</v>
      </c>
      <c r="AC245" s="76">
        <v>15119</v>
      </c>
      <c r="AD245" s="76">
        <v>221</v>
      </c>
      <c r="AE245" s="76">
        <v>0</v>
      </c>
      <c r="AF245" s="76">
        <v>0</v>
      </c>
      <c r="AG245" s="76">
        <v>2</v>
      </c>
      <c r="AH245" s="76">
        <v>15342</v>
      </c>
      <c r="AI245" s="76">
        <v>3524</v>
      </c>
      <c r="AJ245" s="76">
        <v>511</v>
      </c>
      <c r="AK245" s="76">
        <v>1820</v>
      </c>
      <c r="AL245" s="76">
        <v>1161</v>
      </c>
      <c r="AM245" s="76">
        <v>0</v>
      </c>
      <c r="AN245" s="76">
        <v>91</v>
      </c>
      <c r="AO245" s="76">
        <v>1008</v>
      </c>
      <c r="AP245" s="76">
        <v>0</v>
      </c>
      <c r="AQ245" s="76">
        <v>0</v>
      </c>
      <c r="AR245" s="76">
        <v>8115</v>
      </c>
      <c r="AS245" s="76">
        <v>7227</v>
      </c>
      <c r="AT245" s="76">
        <v>121</v>
      </c>
      <c r="AU245" s="76">
        <v>76283</v>
      </c>
      <c r="AV245" s="76">
        <v>0</v>
      </c>
      <c r="AW245" s="76">
        <v>660</v>
      </c>
      <c r="AX245" s="76">
        <v>0</v>
      </c>
      <c r="AY245" s="76">
        <v>0</v>
      </c>
      <c r="AZ245" s="76">
        <v>0</v>
      </c>
      <c r="BA245" s="76">
        <v>0</v>
      </c>
      <c r="BB245" s="76">
        <v>0</v>
      </c>
      <c r="BC245" s="76">
        <v>0</v>
      </c>
      <c r="BD245" s="76">
        <v>57686</v>
      </c>
      <c r="BE245" s="76">
        <v>134629</v>
      </c>
      <c r="BF245" s="76">
        <v>300</v>
      </c>
      <c r="BG245" s="76">
        <v>6654</v>
      </c>
      <c r="BH245" s="76">
        <v>9086</v>
      </c>
      <c r="BI245" s="76">
        <v>0</v>
      </c>
      <c r="BJ245" s="76">
        <v>159</v>
      </c>
      <c r="BK245" s="76">
        <v>16199</v>
      </c>
      <c r="BL245" s="76">
        <v>0</v>
      </c>
      <c r="BM245" s="76">
        <v>0</v>
      </c>
      <c r="BN245" s="76">
        <v>227</v>
      </c>
      <c r="BO245" s="76">
        <v>2080</v>
      </c>
      <c r="BP245" s="76">
        <v>2307</v>
      </c>
      <c r="BQ245" s="76">
        <v>13892</v>
      </c>
      <c r="BR245" s="76">
        <v>148521</v>
      </c>
      <c r="BS245" s="76">
        <v>30000</v>
      </c>
      <c r="BT245" s="76">
        <v>0</v>
      </c>
      <c r="BU245" s="76">
        <v>0</v>
      </c>
      <c r="BV245" s="76">
        <v>21223</v>
      </c>
      <c r="BW245" s="76">
        <v>0</v>
      </c>
      <c r="BX245" s="76">
        <v>0</v>
      </c>
      <c r="BY245" s="76">
        <v>63220</v>
      </c>
      <c r="BZ245" s="76">
        <v>114443</v>
      </c>
      <c r="CA245" s="76">
        <v>2254</v>
      </c>
      <c r="CB245" s="76">
        <v>0</v>
      </c>
      <c r="CC245" s="76">
        <v>31824</v>
      </c>
      <c r="CD245" s="76">
        <v>31824</v>
      </c>
      <c r="CE245" s="76">
        <v>0</v>
      </c>
      <c r="CF245" s="76">
        <v>0</v>
      </c>
      <c r="CG245" s="76">
        <v>0</v>
      </c>
      <c r="CH245" s="76">
        <v>0</v>
      </c>
      <c r="CI245" s="76">
        <v>31824</v>
      </c>
      <c r="CJ245" s="76">
        <v>0</v>
      </c>
      <c r="CK245" s="76">
        <v>0</v>
      </c>
      <c r="CL245" s="76">
        <v>0</v>
      </c>
      <c r="CM245" s="76">
        <v>0</v>
      </c>
      <c r="CN245" s="76">
        <v>0</v>
      </c>
      <c r="CO245" s="76">
        <v>0</v>
      </c>
      <c r="CP245" s="76">
        <v>0</v>
      </c>
      <c r="CQ245" s="76">
        <v>0</v>
      </c>
      <c r="CR245" s="76">
        <v>0</v>
      </c>
      <c r="CS245" s="76">
        <v>0</v>
      </c>
      <c r="CT245" s="76">
        <v>0</v>
      </c>
      <c r="CU245" s="76">
        <v>0</v>
      </c>
      <c r="CV245" s="76">
        <v>0</v>
      </c>
      <c r="CW245" s="76">
        <v>0</v>
      </c>
      <c r="CX245" s="76">
        <v>0</v>
      </c>
      <c r="CY245" s="76">
        <v>0</v>
      </c>
      <c r="CZ245" s="76">
        <v>905</v>
      </c>
      <c r="DA245" s="76">
        <v>0</v>
      </c>
      <c r="DB245" s="76">
        <v>351</v>
      </c>
      <c r="DC245" s="76">
        <v>554</v>
      </c>
      <c r="DD245" s="76">
        <v>905</v>
      </c>
      <c r="DE245" s="76">
        <v>0</v>
      </c>
      <c r="DF245" s="76">
        <v>351</v>
      </c>
      <c r="DG245" s="76">
        <v>554</v>
      </c>
      <c r="DH245" s="76">
        <v>0</v>
      </c>
      <c r="DI245" s="76">
        <v>0</v>
      </c>
      <c r="DJ245" s="76">
        <v>0</v>
      </c>
      <c r="DK245" s="76">
        <v>0</v>
      </c>
      <c r="DL245" s="76">
        <v>0</v>
      </c>
      <c r="DM245" s="76">
        <v>0</v>
      </c>
      <c r="DN245" s="76">
        <v>0</v>
      </c>
      <c r="DO245" s="76">
        <v>0</v>
      </c>
      <c r="DP245" s="76">
        <v>0</v>
      </c>
      <c r="DQ245" s="76">
        <v>0</v>
      </c>
      <c r="DR245" s="76">
        <v>0</v>
      </c>
      <c r="DS245" s="76">
        <v>0</v>
      </c>
      <c r="DT245" s="76">
        <v>0</v>
      </c>
      <c r="DU245" s="76">
        <v>0</v>
      </c>
      <c r="DV245" s="76">
        <v>0</v>
      </c>
      <c r="DW245" s="76">
        <v>0</v>
      </c>
      <c r="DX245" s="76">
        <v>0</v>
      </c>
      <c r="DY245" s="76">
        <v>0</v>
      </c>
      <c r="DZ245" s="76">
        <v>0</v>
      </c>
      <c r="EA245" s="76">
        <v>0</v>
      </c>
      <c r="EB245" s="76">
        <v>132</v>
      </c>
      <c r="EC245" s="76">
        <v>0</v>
      </c>
      <c r="ED245" s="76">
        <v>28</v>
      </c>
      <c r="EE245" s="76">
        <v>104</v>
      </c>
      <c r="EF245" s="76">
        <v>132</v>
      </c>
      <c r="EG245" s="76">
        <v>0</v>
      </c>
      <c r="EH245" s="76">
        <v>28</v>
      </c>
      <c r="EI245" s="76">
        <v>104</v>
      </c>
      <c r="EJ245" s="76">
        <v>1037</v>
      </c>
      <c r="EK245" s="76">
        <v>0</v>
      </c>
      <c r="EL245" s="76">
        <v>379</v>
      </c>
      <c r="EM245" s="76">
        <v>658</v>
      </c>
      <c r="EN245" s="76">
        <v>642</v>
      </c>
      <c r="EO245" s="76">
        <v>406</v>
      </c>
      <c r="EP245" s="76">
        <v>182</v>
      </c>
      <c r="EQ245" s="76">
        <v>157</v>
      </c>
      <c r="ER245" s="76">
        <v>72824</v>
      </c>
      <c r="ES245" s="76">
        <v>0</v>
      </c>
      <c r="ET245" s="76">
        <v>72824</v>
      </c>
      <c r="EU245" s="76">
        <v>6432</v>
      </c>
      <c r="EV245" s="76">
        <v>-295</v>
      </c>
      <c r="EW245" s="76">
        <v>0</v>
      </c>
      <c r="EX245" s="76">
        <v>0</v>
      </c>
      <c r="EY245" s="76">
        <v>0</v>
      </c>
      <c r="EZ245" s="76">
        <v>78961</v>
      </c>
      <c r="FA245" s="76">
        <v>1670</v>
      </c>
      <c r="FB245" s="76">
        <v>1008</v>
      </c>
      <c r="FC245" s="76">
        <v>0</v>
      </c>
      <c r="FD245" s="76">
        <v>0</v>
      </c>
      <c r="FE245" s="76">
        <v>0</v>
      </c>
      <c r="FF245" s="76">
        <v>0</v>
      </c>
      <c r="FG245" s="76">
        <v>0</v>
      </c>
      <c r="FH245" s="76">
        <v>2678</v>
      </c>
      <c r="FI245" s="76">
        <v>76283</v>
      </c>
      <c r="FJ245" s="76">
        <v>71154</v>
      </c>
      <c r="FK245" s="76">
        <v>0</v>
      </c>
      <c r="FL245" s="76">
        <v>0</v>
      </c>
      <c r="FM245" s="76">
        <v>0</v>
      </c>
      <c r="FN245" s="76">
        <v>1562</v>
      </c>
      <c r="FO245" s="76">
        <v>1001</v>
      </c>
      <c r="FP245" s="76">
        <v>561</v>
      </c>
      <c r="FQ245" s="76">
        <v>0</v>
      </c>
      <c r="FR245" s="76">
        <v>0</v>
      </c>
      <c r="FS245" s="76">
        <v>0</v>
      </c>
      <c r="FT245" s="76">
        <v>0</v>
      </c>
      <c r="FU245" s="76">
        <v>0</v>
      </c>
      <c r="FV245" s="76">
        <v>0</v>
      </c>
      <c r="FW245" s="76">
        <v>0</v>
      </c>
      <c r="FX245" s="76">
        <v>0</v>
      </c>
      <c r="FY245" s="76">
        <v>0</v>
      </c>
      <c r="FZ245" s="76">
        <v>0</v>
      </c>
      <c r="GA245" s="76">
        <v>0</v>
      </c>
      <c r="GB245" s="76">
        <v>0</v>
      </c>
      <c r="GC245" s="76">
        <v>1562</v>
      </c>
      <c r="GD245" s="76">
        <v>1001</v>
      </c>
      <c r="GE245" s="76">
        <v>561</v>
      </c>
      <c r="GF245" s="76">
        <v>0</v>
      </c>
      <c r="GG245" s="76">
        <v>0</v>
      </c>
      <c r="GH245" s="76">
        <v>0</v>
      </c>
      <c r="GI245" s="76">
        <v>0</v>
      </c>
      <c r="GJ245" s="76">
        <v>0</v>
      </c>
      <c r="GK245" s="76">
        <v>159</v>
      </c>
      <c r="GL245" s="76">
        <v>159</v>
      </c>
      <c r="GM245" s="76">
        <v>470</v>
      </c>
      <c r="GN245" s="76">
        <v>214</v>
      </c>
      <c r="GO245" s="76">
        <v>0</v>
      </c>
      <c r="GP245" s="76">
        <v>0</v>
      </c>
      <c r="GQ245" s="76">
        <v>0</v>
      </c>
      <c r="GR245" s="76">
        <v>1240</v>
      </c>
      <c r="GS245" s="76">
        <v>0</v>
      </c>
      <c r="GT245" s="76">
        <v>0</v>
      </c>
      <c r="GU245" s="76">
        <v>0</v>
      </c>
      <c r="GV245" s="76">
        <v>0</v>
      </c>
      <c r="GW245" s="76">
        <v>156</v>
      </c>
      <c r="GX245" s="76">
        <v>2080</v>
      </c>
      <c r="GY245" s="76">
        <v>0</v>
      </c>
      <c r="GZ245" s="76">
        <v>0</v>
      </c>
      <c r="HA245" s="76">
        <v>0</v>
      </c>
      <c r="HB245" s="76">
        <v>63220</v>
      </c>
      <c r="HC245" s="76">
        <v>63220</v>
      </c>
      <c r="HD245" s="76">
        <v>0</v>
      </c>
      <c r="HE245" s="76">
        <v>0</v>
      </c>
      <c r="HF245" s="76">
        <v>0</v>
      </c>
      <c r="HG245" s="76">
        <v>1490</v>
      </c>
      <c r="HH245" s="76">
        <v>593</v>
      </c>
      <c r="HI245" s="76">
        <v>24</v>
      </c>
      <c r="HJ245" s="76">
        <v>0</v>
      </c>
      <c r="HK245" s="76">
        <v>120</v>
      </c>
      <c r="HL245" s="76">
        <v>0</v>
      </c>
      <c r="HM245" s="76">
        <v>2227</v>
      </c>
      <c r="HN245" s="76">
        <v>5592</v>
      </c>
      <c r="HO245" s="76">
        <v>1211</v>
      </c>
      <c r="HP245" s="76">
        <v>0</v>
      </c>
      <c r="HQ245" s="76">
        <v>8</v>
      </c>
      <c r="HR245" s="76">
        <v>-22</v>
      </c>
      <c r="HS245" s="76">
        <v>0</v>
      </c>
      <c r="HT245" s="76">
        <v>3093</v>
      </c>
      <c r="HU245" s="76">
        <v>0</v>
      </c>
      <c r="HV245" s="76">
        <v>0</v>
      </c>
      <c r="HW245" s="76">
        <v>0</v>
      </c>
      <c r="HX245" s="76">
        <v>0</v>
      </c>
    </row>
    <row r="246" spans="1:232" x14ac:dyDescent="0.2">
      <c r="A246" s="74" t="s">
        <v>680</v>
      </c>
      <c r="B246" s="74" t="s">
        <v>679</v>
      </c>
      <c r="C246" s="75" t="s">
        <v>200</v>
      </c>
      <c r="D246" s="75">
        <v>12</v>
      </c>
      <c r="E246" s="76">
        <v>19491</v>
      </c>
      <c r="F246" s="76">
        <v>-512</v>
      </c>
      <c r="G246" s="76">
        <v>-13785</v>
      </c>
      <c r="H246" s="76">
        <v>5194</v>
      </c>
      <c r="I246" s="76">
        <v>100</v>
      </c>
      <c r="J246" s="76">
        <v>0</v>
      </c>
      <c r="K246" s="76">
        <v>-104</v>
      </c>
      <c r="L246" s="76">
        <v>0</v>
      </c>
      <c r="M246" s="76">
        <v>171</v>
      </c>
      <c r="N246" s="76">
        <v>-958</v>
      </c>
      <c r="O246" s="76">
        <v>0</v>
      </c>
      <c r="P246" s="76">
        <v>0</v>
      </c>
      <c r="Q246" s="76">
        <v>0</v>
      </c>
      <c r="R246" s="76">
        <v>0</v>
      </c>
      <c r="S246" s="76">
        <v>4403</v>
      </c>
      <c r="T246" s="76">
        <v>0</v>
      </c>
      <c r="U246" s="76">
        <v>4403</v>
      </c>
      <c r="V246" s="76">
        <v>0</v>
      </c>
      <c r="W246" s="76">
        <v>-854</v>
      </c>
      <c r="X246" s="76">
        <v>0</v>
      </c>
      <c r="Y246" s="76">
        <v>0</v>
      </c>
      <c r="Z246" s="76">
        <v>3549</v>
      </c>
      <c r="AA246" s="76">
        <v>17067</v>
      </c>
      <c r="AB246" s="76">
        <v>778</v>
      </c>
      <c r="AC246" s="76">
        <v>17845</v>
      </c>
      <c r="AD246" s="76">
        <v>705</v>
      </c>
      <c r="AE246" s="76">
        <v>0</v>
      </c>
      <c r="AF246" s="76">
        <v>0</v>
      </c>
      <c r="AG246" s="76">
        <v>20</v>
      </c>
      <c r="AH246" s="76">
        <v>18570</v>
      </c>
      <c r="AI246" s="76">
        <v>4762</v>
      </c>
      <c r="AJ246" s="76">
        <v>745</v>
      </c>
      <c r="AK246" s="76">
        <v>2392</v>
      </c>
      <c r="AL246" s="76">
        <v>1688</v>
      </c>
      <c r="AM246" s="76">
        <v>589</v>
      </c>
      <c r="AN246" s="76">
        <v>116</v>
      </c>
      <c r="AO246" s="76">
        <v>3174</v>
      </c>
      <c r="AP246" s="76">
        <v>0</v>
      </c>
      <c r="AQ246" s="76">
        <v>0</v>
      </c>
      <c r="AR246" s="76">
        <v>13466</v>
      </c>
      <c r="AS246" s="76">
        <v>5104</v>
      </c>
      <c r="AT246" s="76">
        <v>104</v>
      </c>
      <c r="AU246" s="76">
        <v>76566</v>
      </c>
      <c r="AV246" s="76">
        <v>0</v>
      </c>
      <c r="AW246" s="76">
        <v>510</v>
      </c>
      <c r="AX246" s="76">
        <v>0</v>
      </c>
      <c r="AY246" s="76">
        <v>0</v>
      </c>
      <c r="AZ246" s="76">
        <v>0</v>
      </c>
      <c r="BA246" s="76">
        <v>0</v>
      </c>
      <c r="BB246" s="76">
        <v>0</v>
      </c>
      <c r="BC246" s="76">
        <v>0</v>
      </c>
      <c r="BD246" s="76">
        <v>0</v>
      </c>
      <c r="BE246" s="76">
        <v>77076</v>
      </c>
      <c r="BF246" s="76">
        <v>315</v>
      </c>
      <c r="BG246" s="76">
        <v>2624</v>
      </c>
      <c r="BH246" s="76">
        <v>3097</v>
      </c>
      <c r="BI246" s="76">
        <v>0</v>
      </c>
      <c r="BJ246" s="76">
        <v>3332</v>
      </c>
      <c r="BK246" s="76">
        <v>9368</v>
      </c>
      <c r="BL246" s="76">
        <v>0</v>
      </c>
      <c r="BM246" s="76">
        <v>0</v>
      </c>
      <c r="BN246" s="76">
        <v>705</v>
      </c>
      <c r="BO246" s="76">
        <v>3746</v>
      </c>
      <c r="BP246" s="76">
        <v>4451</v>
      </c>
      <c r="BQ246" s="76">
        <v>4917</v>
      </c>
      <c r="BR246" s="76">
        <v>81993</v>
      </c>
      <c r="BS246" s="76">
        <v>21508</v>
      </c>
      <c r="BT246" s="76">
        <v>0</v>
      </c>
      <c r="BU246" s="76">
        <v>0</v>
      </c>
      <c r="BV246" s="76">
        <v>17509</v>
      </c>
      <c r="BW246" s="76">
        <v>0</v>
      </c>
      <c r="BX246" s="76">
        <v>0</v>
      </c>
      <c r="BY246" s="76">
        <v>1872</v>
      </c>
      <c r="BZ246" s="76">
        <v>40889</v>
      </c>
      <c r="CA246" s="76">
        <v>2907</v>
      </c>
      <c r="CB246" s="76">
        <v>0</v>
      </c>
      <c r="CC246" s="76">
        <v>38197</v>
      </c>
      <c r="CD246" s="76">
        <v>38197</v>
      </c>
      <c r="CE246" s="76">
        <v>0</v>
      </c>
      <c r="CF246" s="76">
        <v>0</v>
      </c>
      <c r="CG246" s="76">
        <v>0</v>
      </c>
      <c r="CH246" s="76">
        <v>0</v>
      </c>
      <c r="CI246" s="76">
        <v>38197</v>
      </c>
      <c r="CJ246" s="76">
        <v>0</v>
      </c>
      <c r="CK246" s="76">
        <v>0</v>
      </c>
      <c r="CL246" s="76">
        <v>0</v>
      </c>
      <c r="CM246" s="76">
        <v>0</v>
      </c>
      <c r="CN246" s="76">
        <v>0</v>
      </c>
      <c r="CO246" s="76">
        <v>0</v>
      </c>
      <c r="CP246" s="76">
        <v>0</v>
      </c>
      <c r="CQ246" s="76">
        <v>0</v>
      </c>
      <c r="CR246" s="76">
        <v>0</v>
      </c>
      <c r="CS246" s="76">
        <v>0</v>
      </c>
      <c r="CT246" s="76">
        <v>0</v>
      </c>
      <c r="CU246" s="76">
        <v>0</v>
      </c>
      <c r="CV246" s="76">
        <v>0</v>
      </c>
      <c r="CW246" s="76">
        <v>0</v>
      </c>
      <c r="CX246" s="76">
        <v>0</v>
      </c>
      <c r="CY246" s="76">
        <v>0</v>
      </c>
      <c r="CZ246" s="76">
        <v>0</v>
      </c>
      <c r="DA246" s="76">
        <v>0</v>
      </c>
      <c r="DB246" s="76">
        <v>319</v>
      </c>
      <c r="DC246" s="76">
        <v>-319</v>
      </c>
      <c r="DD246" s="76">
        <v>0</v>
      </c>
      <c r="DE246" s="76">
        <v>0</v>
      </c>
      <c r="DF246" s="76">
        <v>319</v>
      </c>
      <c r="DG246" s="76">
        <v>-319</v>
      </c>
      <c r="DH246" s="76">
        <v>0</v>
      </c>
      <c r="DI246" s="76">
        <v>0</v>
      </c>
      <c r="DJ246" s="76">
        <v>0</v>
      </c>
      <c r="DK246" s="76">
        <v>0</v>
      </c>
      <c r="DL246" s="76">
        <v>0</v>
      </c>
      <c r="DM246" s="76">
        <v>0</v>
      </c>
      <c r="DN246" s="76">
        <v>0</v>
      </c>
      <c r="DO246" s="76">
        <v>0</v>
      </c>
      <c r="DP246" s="76">
        <v>0</v>
      </c>
      <c r="DQ246" s="76">
        <v>0</v>
      </c>
      <c r="DR246" s="76">
        <v>0</v>
      </c>
      <c r="DS246" s="76">
        <v>0</v>
      </c>
      <c r="DT246" s="76">
        <v>0</v>
      </c>
      <c r="DU246" s="76">
        <v>0</v>
      </c>
      <c r="DV246" s="76">
        <v>0</v>
      </c>
      <c r="DW246" s="76">
        <v>0</v>
      </c>
      <c r="DX246" s="76">
        <v>0</v>
      </c>
      <c r="DY246" s="76">
        <v>0</v>
      </c>
      <c r="DZ246" s="76">
        <v>0</v>
      </c>
      <c r="EA246" s="76">
        <v>0</v>
      </c>
      <c r="EB246" s="76">
        <v>921</v>
      </c>
      <c r="EC246" s="76">
        <v>512</v>
      </c>
      <c r="ED246" s="76">
        <v>0</v>
      </c>
      <c r="EE246" s="76">
        <v>409</v>
      </c>
      <c r="EF246" s="76">
        <v>921</v>
      </c>
      <c r="EG246" s="76">
        <v>512</v>
      </c>
      <c r="EH246" s="76">
        <v>0</v>
      </c>
      <c r="EI246" s="76">
        <v>409</v>
      </c>
      <c r="EJ246" s="76">
        <v>921</v>
      </c>
      <c r="EK246" s="76">
        <v>512</v>
      </c>
      <c r="EL246" s="76">
        <v>319</v>
      </c>
      <c r="EM246" s="76">
        <v>90</v>
      </c>
      <c r="EN246" s="76">
        <v>1052</v>
      </c>
      <c r="EO246" s="76">
        <v>0</v>
      </c>
      <c r="EP246" s="76">
        <v>164</v>
      </c>
      <c r="EQ246" s="76">
        <v>0</v>
      </c>
      <c r="ER246" s="76">
        <v>105409</v>
      </c>
      <c r="ES246" s="76">
        <v>0</v>
      </c>
      <c r="ET246" s="76">
        <v>105409</v>
      </c>
      <c r="EU246" s="76">
        <v>6683</v>
      </c>
      <c r="EV246" s="76">
        <v>-742</v>
      </c>
      <c r="EW246" s="76">
        <v>0</v>
      </c>
      <c r="EX246" s="76">
        <v>0</v>
      </c>
      <c r="EY246" s="76">
        <v>-2600</v>
      </c>
      <c r="EZ246" s="76">
        <v>108750</v>
      </c>
      <c r="FA246" s="76">
        <v>29348</v>
      </c>
      <c r="FB246" s="76">
        <v>3174</v>
      </c>
      <c r="FC246" s="76">
        <v>0</v>
      </c>
      <c r="FD246" s="76">
        <v>0</v>
      </c>
      <c r="FE246" s="76">
        <v>-338</v>
      </c>
      <c r="FF246" s="76">
        <v>0</v>
      </c>
      <c r="FG246" s="76">
        <v>0</v>
      </c>
      <c r="FH246" s="76">
        <v>32184</v>
      </c>
      <c r="FI246" s="76">
        <v>76566</v>
      </c>
      <c r="FJ246" s="76">
        <v>76061</v>
      </c>
      <c r="FK246" s="76">
        <v>0</v>
      </c>
      <c r="FL246" s="76">
        <v>0</v>
      </c>
      <c r="FM246" s="76">
        <v>0</v>
      </c>
      <c r="FN246" s="76">
        <v>534</v>
      </c>
      <c r="FO246" s="76">
        <v>259</v>
      </c>
      <c r="FP246" s="76">
        <v>275</v>
      </c>
      <c r="FQ246" s="76">
        <v>0</v>
      </c>
      <c r="FR246" s="76">
        <v>54</v>
      </c>
      <c r="FS246" s="76">
        <v>-54</v>
      </c>
      <c r="FT246" s="76">
        <v>0</v>
      </c>
      <c r="FU246" s="76">
        <v>0</v>
      </c>
      <c r="FV246" s="76">
        <v>0</v>
      </c>
      <c r="FW246" s="76">
        <v>0</v>
      </c>
      <c r="FX246" s="76">
        <v>0</v>
      </c>
      <c r="FY246" s="76">
        <v>0</v>
      </c>
      <c r="FZ246" s="76">
        <v>0</v>
      </c>
      <c r="GA246" s="76">
        <v>121</v>
      </c>
      <c r="GB246" s="76">
        <v>-121</v>
      </c>
      <c r="GC246" s="76">
        <v>534</v>
      </c>
      <c r="GD246" s="76">
        <v>434</v>
      </c>
      <c r="GE246" s="76">
        <v>100</v>
      </c>
      <c r="GF246" s="76">
        <v>3332</v>
      </c>
      <c r="GG246" s="76">
        <v>0</v>
      </c>
      <c r="GH246" s="76">
        <v>0</v>
      </c>
      <c r="GI246" s="76">
        <v>0</v>
      </c>
      <c r="GJ246" s="76">
        <v>0</v>
      </c>
      <c r="GK246" s="76">
        <v>0</v>
      </c>
      <c r="GL246" s="76">
        <v>3332</v>
      </c>
      <c r="GM246" s="76">
        <v>305</v>
      </c>
      <c r="GN246" s="76">
        <v>381</v>
      </c>
      <c r="GO246" s="76">
        <v>462</v>
      </c>
      <c r="GP246" s="76">
        <v>0</v>
      </c>
      <c r="GQ246" s="76">
        <v>0</v>
      </c>
      <c r="GR246" s="76">
        <v>2598</v>
      </c>
      <c r="GS246" s="76">
        <v>0</v>
      </c>
      <c r="GT246" s="76">
        <v>0</v>
      </c>
      <c r="GU246" s="76">
        <v>0</v>
      </c>
      <c r="GV246" s="76">
        <v>0</v>
      </c>
      <c r="GW246" s="76">
        <v>0</v>
      </c>
      <c r="GX246" s="76">
        <v>3746</v>
      </c>
      <c r="GY246" s="76">
        <v>0</v>
      </c>
      <c r="GZ246" s="76">
        <v>590</v>
      </c>
      <c r="HA246" s="76">
        <v>998</v>
      </c>
      <c r="HB246" s="76">
        <v>284</v>
      </c>
      <c r="HC246" s="76">
        <v>1872</v>
      </c>
      <c r="HD246" s="76">
        <v>0</v>
      </c>
      <c r="HE246" s="76">
        <v>0</v>
      </c>
      <c r="HF246" s="76">
        <v>0</v>
      </c>
      <c r="HG246" s="76">
        <v>878</v>
      </c>
      <c r="HH246" s="76">
        <v>56</v>
      </c>
      <c r="HI246" s="76">
        <v>24</v>
      </c>
      <c r="HJ246" s="76">
        <v>0</v>
      </c>
      <c r="HK246" s="76">
        <v>0</v>
      </c>
      <c r="HL246" s="76">
        <v>0</v>
      </c>
      <c r="HM246" s="76">
        <v>958</v>
      </c>
      <c r="HN246" s="76">
        <v>2416</v>
      </c>
      <c r="HO246" s="76">
        <v>3454</v>
      </c>
      <c r="HP246" s="76">
        <v>0</v>
      </c>
      <c r="HQ246" s="76">
        <v>28</v>
      </c>
      <c r="HR246" s="76">
        <v>-22</v>
      </c>
      <c r="HS246" s="76">
        <v>0</v>
      </c>
      <c r="HT246" s="76">
        <v>3748</v>
      </c>
      <c r="HU246" s="76">
        <v>0</v>
      </c>
      <c r="HV246" s="76">
        <v>0</v>
      </c>
      <c r="HW246" s="76">
        <v>0</v>
      </c>
      <c r="HX246" s="76">
        <v>0</v>
      </c>
    </row>
    <row r="247" spans="1:232" x14ac:dyDescent="0.2">
      <c r="A247" s="74" t="s">
        <v>681</v>
      </c>
      <c r="B247" s="74" t="s">
        <v>682</v>
      </c>
      <c r="C247" s="75" t="s">
        <v>200</v>
      </c>
      <c r="D247" s="75">
        <v>12</v>
      </c>
      <c r="E247" s="76">
        <v>16313</v>
      </c>
      <c r="F247" s="76">
        <v>-50</v>
      </c>
      <c r="G247" s="76">
        <v>-12365</v>
      </c>
      <c r="H247" s="76">
        <v>3898</v>
      </c>
      <c r="I247" s="76">
        <v>164</v>
      </c>
      <c r="J247" s="76">
        <v>0</v>
      </c>
      <c r="K247" s="76">
        <v>0</v>
      </c>
      <c r="L247" s="76">
        <v>0</v>
      </c>
      <c r="M247" s="76">
        <v>22</v>
      </c>
      <c r="N247" s="76">
        <v>-1298</v>
      </c>
      <c r="O247" s="76">
        <v>0</v>
      </c>
      <c r="P247" s="76">
        <v>1555</v>
      </c>
      <c r="Q247" s="76">
        <v>0</v>
      </c>
      <c r="R247" s="76">
        <v>0</v>
      </c>
      <c r="S247" s="76">
        <v>4341</v>
      </c>
      <c r="T247" s="76">
        <v>0</v>
      </c>
      <c r="U247" s="76">
        <v>4341</v>
      </c>
      <c r="V247" s="76">
        <v>0</v>
      </c>
      <c r="W247" s="76">
        <v>932</v>
      </c>
      <c r="X247" s="76">
        <v>0</v>
      </c>
      <c r="Y247" s="76">
        <v>0</v>
      </c>
      <c r="Z247" s="76">
        <v>5273</v>
      </c>
      <c r="AA247" s="76">
        <v>14861</v>
      </c>
      <c r="AB247" s="76">
        <v>0</v>
      </c>
      <c r="AC247" s="76">
        <v>14861</v>
      </c>
      <c r="AD247" s="76">
        <v>9</v>
      </c>
      <c r="AE247" s="76">
        <v>0</v>
      </c>
      <c r="AF247" s="76">
        <v>0</v>
      </c>
      <c r="AG247" s="76">
        <v>36</v>
      </c>
      <c r="AH247" s="76">
        <v>14906</v>
      </c>
      <c r="AI247" s="76">
        <v>3104</v>
      </c>
      <c r="AJ247" s="76">
        <v>0</v>
      </c>
      <c r="AK247" s="76">
        <v>2905</v>
      </c>
      <c r="AL247" s="76">
        <v>1078</v>
      </c>
      <c r="AM247" s="76">
        <v>2204</v>
      </c>
      <c r="AN247" s="76">
        <v>95</v>
      </c>
      <c r="AO247" s="76">
        <v>1618</v>
      </c>
      <c r="AP247" s="76">
        <v>0</v>
      </c>
      <c r="AQ247" s="76">
        <v>100</v>
      </c>
      <c r="AR247" s="76">
        <v>11104</v>
      </c>
      <c r="AS247" s="76">
        <v>3802</v>
      </c>
      <c r="AT247" s="76">
        <v>206</v>
      </c>
      <c r="AU247" s="76">
        <v>76137</v>
      </c>
      <c r="AV247" s="76">
        <v>0</v>
      </c>
      <c r="AW247" s="76">
        <v>1879</v>
      </c>
      <c r="AX247" s="76">
        <v>0</v>
      </c>
      <c r="AY247" s="76">
        <v>0</v>
      </c>
      <c r="AZ247" s="76">
        <v>1880</v>
      </c>
      <c r="BA247" s="76">
        <v>0</v>
      </c>
      <c r="BB247" s="76">
        <v>0</v>
      </c>
      <c r="BC247" s="76">
        <v>0</v>
      </c>
      <c r="BD247" s="76">
        <v>0</v>
      </c>
      <c r="BE247" s="76">
        <v>79896</v>
      </c>
      <c r="BF247" s="76">
        <v>167</v>
      </c>
      <c r="BG247" s="76">
        <v>1735</v>
      </c>
      <c r="BH247" s="76">
        <v>11858</v>
      </c>
      <c r="BI247" s="76">
        <v>0</v>
      </c>
      <c r="BJ247" s="76">
        <v>6900</v>
      </c>
      <c r="BK247" s="76">
        <v>20660</v>
      </c>
      <c r="BL247" s="76">
        <v>125</v>
      </c>
      <c r="BM247" s="76">
        <v>0</v>
      </c>
      <c r="BN247" s="76">
        <v>9</v>
      </c>
      <c r="BO247" s="76">
        <v>3525</v>
      </c>
      <c r="BP247" s="76">
        <v>3659</v>
      </c>
      <c r="BQ247" s="76">
        <v>17001</v>
      </c>
      <c r="BR247" s="76">
        <v>96897</v>
      </c>
      <c r="BS247" s="76">
        <v>40375</v>
      </c>
      <c r="BT247" s="76">
        <v>0</v>
      </c>
      <c r="BU247" s="76">
        <v>0</v>
      </c>
      <c r="BV247" s="76">
        <v>860</v>
      </c>
      <c r="BW247" s="76">
        <v>0</v>
      </c>
      <c r="BX247" s="76">
        <v>0</v>
      </c>
      <c r="BY247" s="76">
        <v>6900</v>
      </c>
      <c r="BZ247" s="76">
        <v>48135</v>
      </c>
      <c r="CA247" s="76">
        <v>-404</v>
      </c>
      <c r="CB247" s="76">
        <v>0</v>
      </c>
      <c r="CC247" s="76">
        <v>49166</v>
      </c>
      <c r="CD247" s="76">
        <v>11466</v>
      </c>
      <c r="CE247" s="76">
        <v>34535</v>
      </c>
      <c r="CF247" s="76">
        <v>3165</v>
      </c>
      <c r="CG247" s="76">
        <v>0</v>
      </c>
      <c r="CH247" s="76">
        <v>0</v>
      </c>
      <c r="CI247" s="76">
        <v>49166</v>
      </c>
      <c r="CJ247" s="76">
        <v>72</v>
      </c>
      <c r="CK247" s="76">
        <v>50</v>
      </c>
      <c r="CL247" s="76">
        <v>0</v>
      </c>
      <c r="CM247" s="76">
        <v>22</v>
      </c>
      <c r="CN247" s="76">
        <v>0</v>
      </c>
      <c r="CO247" s="76">
        <v>0</v>
      </c>
      <c r="CP247" s="76">
        <v>0</v>
      </c>
      <c r="CQ247" s="76">
        <v>0</v>
      </c>
      <c r="CR247" s="76">
        <v>0</v>
      </c>
      <c r="CS247" s="76">
        <v>0</v>
      </c>
      <c r="CT247" s="76">
        <v>1108</v>
      </c>
      <c r="CU247" s="76">
        <v>-1108</v>
      </c>
      <c r="CV247" s="76">
        <v>0</v>
      </c>
      <c r="CW247" s="76">
        <v>0</v>
      </c>
      <c r="CX247" s="76">
        <v>0</v>
      </c>
      <c r="CY247" s="76">
        <v>0</v>
      </c>
      <c r="CZ247" s="76">
        <v>105</v>
      </c>
      <c r="DA247" s="76">
        <v>0</v>
      </c>
      <c r="DB247" s="76">
        <v>121</v>
      </c>
      <c r="DC247" s="76">
        <v>-16</v>
      </c>
      <c r="DD247" s="76">
        <v>177</v>
      </c>
      <c r="DE247" s="76">
        <v>50</v>
      </c>
      <c r="DF247" s="76">
        <v>1229</v>
      </c>
      <c r="DG247" s="76">
        <v>-1102</v>
      </c>
      <c r="DH247" s="76">
        <v>0</v>
      </c>
      <c r="DI247" s="76">
        <v>0</v>
      </c>
      <c r="DJ247" s="76">
        <v>0</v>
      </c>
      <c r="DK247" s="76">
        <v>0</v>
      </c>
      <c r="DL247" s="76">
        <v>0</v>
      </c>
      <c r="DM247" s="76">
        <v>0</v>
      </c>
      <c r="DN247" s="76">
        <v>0</v>
      </c>
      <c r="DO247" s="76">
        <v>0</v>
      </c>
      <c r="DP247" s="76">
        <v>0</v>
      </c>
      <c r="DQ247" s="76">
        <v>0</v>
      </c>
      <c r="DR247" s="76">
        <v>0</v>
      </c>
      <c r="DS247" s="76">
        <v>0</v>
      </c>
      <c r="DT247" s="76">
        <v>0</v>
      </c>
      <c r="DU247" s="76">
        <v>0</v>
      </c>
      <c r="DV247" s="76">
        <v>0</v>
      </c>
      <c r="DW247" s="76">
        <v>0</v>
      </c>
      <c r="DX247" s="76">
        <v>0</v>
      </c>
      <c r="DY247" s="76">
        <v>0</v>
      </c>
      <c r="DZ247" s="76">
        <v>0</v>
      </c>
      <c r="EA247" s="76">
        <v>0</v>
      </c>
      <c r="EB247" s="76">
        <v>1230</v>
      </c>
      <c r="EC247" s="76">
        <v>0</v>
      </c>
      <c r="ED247" s="76">
        <v>32</v>
      </c>
      <c r="EE247" s="76">
        <v>1198</v>
      </c>
      <c r="EF247" s="76">
        <v>1230</v>
      </c>
      <c r="EG247" s="76">
        <v>0</v>
      </c>
      <c r="EH247" s="76">
        <v>32</v>
      </c>
      <c r="EI247" s="76">
        <v>1198</v>
      </c>
      <c r="EJ247" s="76">
        <v>1407</v>
      </c>
      <c r="EK247" s="76">
        <v>50</v>
      </c>
      <c r="EL247" s="76">
        <v>1261</v>
      </c>
      <c r="EM247" s="76">
        <v>96</v>
      </c>
      <c r="EN247" s="76">
        <v>380</v>
      </c>
      <c r="EO247" s="76">
        <v>143</v>
      </c>
      <c r="EP247" s="76">
        <v>69</v>
      </c>
      <c r="EQ247" s="76">
        <v>129</v>
      </c>
      <c r="ER247" s="76">
        <v>85268</v>
      </c>
      <c r="ES247" s="76">
        <v>0</v>
      </c>
      <c r="ET247" s="76">
        <v>85268</v>
      </c>
      <c r="EU247" s="76">
        <v>3480</v>
      </c>
      <c r="EV247" s="76">
        <v>-530</v>
      </c>
      <c r="EW247" s="76">
        <v>0</v>
      </c>
      <c r="EX247" s="76">
        <v>0</v>
      </c>
      <c r="EY247" s="76">
        <v>-58</v>
      </c>
      <c r="EZ247" s="76">
        <v>88160</v>
      </c>
      <c r="FA247" s="76">
        <v>10464</v>
      </c>
      <c r="FB247" s="76">
        <v>1618</v>
      </c>
      <c r="FC247" s="76">
        <v>0</v>
      </c>
      <c r="FD247" s="76">
        <v>0</v>
      </c>
      <c r="FE247" s="76">
        <v>-59</v>
      </c>
      <c r="FF247" s="76">
        <v>0</v>
      </c>
      <c r="FG247" s="76">
        <v>0</v>
      </c>
      <c r="FH247" s="76">
        <v>12023</v>
      </c>
      <c r="FI247" s="76">
        <v>76137</v>
      </c>
      <c r="FJ247" s="76">
        <v>74804</v>
      </c>
      <c r="FK247" s="76">
        <v>0</v>
      </c>
      <c r="FL247" s="76">
        <v>0</v>
      </c>
      <c r="FM247" s="76">
        <v>0</v>
      </c>
      <c r="FN247" s="76">
        <v>543</v>
      </c>
      <c r="FO247" s="76">
        <v>386</v>
      </c>
      <c r="FP247" s="76">
        <v>157</v>
      </c>
      <c r="FQ247" s="76">
        <v>0</v>
      </c>
      <c r="FR247" s="76">
        <v>0</v>
      </c>
      <c r="FS247" s="76">
        <v>0</v>
      </c>
      <c r="FT247" s="76">
        <v>0</v>
      </c>
      <c r="FU247" s="76">
        <v>0</v>
      </c>
      <c r="FV247" s="76">
        <v>0</v>
      </c>
      <c r="FW247" s="76">
        <v>0</v>
      </c>
      <c r="FX247" s="76">
        <v>0</v>
      </c>
      <c r="FY247" s="76">
        <v>0</v>
      </c>
      <c r="FZ247" s="76">
        <v>7</v>
      </c>
      <c r="GA247" s="76">
        <v>0</v>
      </c>
      <c r="GB247" s="76">
        <v>7</v>
      </c>
      <c r="GC247" s="76">
        <v>550</v>
      </c>
      <c r="GD247" s="76">
        <v>386</v>
      </c>
      <c r="GE247" s="76">
        <v>164</v>
      </c>
      <c r="GF247" s="76">
        <v>0</v>
      </c>
      <c r="GG247" s="76">
        <v>0</v>
      </c>
      <c r="GH247" s="76">
        <v>0</v>
      </c>
      <c r="GI247" s="76">
        <v>6900</v>
      </c>
      <c r="GJ247" s="76">
        <v>0</v>
      </c>
      <c r="GK247" s="76">
        <v>0</v>
      </c>
      <c r="GL247" s="76">
        <v>6900</v>
      </c>
      <c r="GM247" s="76">
        <v>0</v>
      </c>
      <c r="GN247" s="76">
        <v>348</v>
      </c>
      <c r="GO247" s="76">
        <v>278</v>
      </c>
      <c r="GP247" s="76">
        <v>0</v>
      </c>
      <c r="GQ247" s="76">
        <v>0</v>
      </c>
      <c r="GR247" s="76">
        <v>2867</v>
      </c>
      <c r="GS247" s="76">
        <v>0</v>
      </c>
      <c r="GT247" s="76">
        <v>0</v>
      </c>
      <c r="GU247" s="76">
        <v>0</v>
      </c>
      <c r="GV247" s="76">
        <v>0</v>
      </c>
      <c r="GW247" s="76">
        <v>32</v>
      </c>
      <c r="GX247" s="76">
        <v>3525</v>
      </c>
      <c r="GY247" s="76">
        <v>0</v>
      </c>
      <c r="GZ247" s="76">
        <v>0</v>
      </c>
      <c r="HA247" s="76">
        <v>0</v>
      </c>
      <c r="HB247" s="76">
        <v>6900</v>
      </c>
      <c r="HC247" s="76">
        <v>6900</v>
      </c>
      <c r="HD247" s="76">
        <v>0</v>
      </c>
      <c r="HE247" s="76">
        <v>0</v>
      </c>
      <c r="HF247" s="76">
        <v>0</v>
      </c>
      <c r="HG247" s="76">
        <v>1321</v>
      </c>
      <c r="HH247" s="76">
        <v>0</v>
      </c>
      <c r="HI247" s="76">
        <v>17</v>
      </c>
      <c r="HJ247" s="76">
        <v>0</v>
      </c>
      <c r="HK247" s="76">
        <v>0</v>
      </c>
      <c r="HL247" s="76">
        <v>-40</v>
      </c>
      <c r="HM247" s="76">
        <v>1298</v>
      </c>
      <c r="HN247" s="76">
        <v>2510</v>
      </c>
      <c r="HO247" s="76">
        <v>1826</v>
      </c>
      <c r="HP247" s="76">
        <v>0</v>
      </c>
      <c r="HQ247" s="76">
        <v>9</v>
      </c>
      <c r="HR247" s="76">
        <v>-19</v>
      </c>
      <c r="HS247" s="76">
        <v>104</v>
      </c>
      <c r="HT247" s="76">
        <v>3196</v>
      </c>
      <c r="HU247" s="76">
        <v>0</v>
      </c>
      <c r="HV247" s="76">
        <v>0</v>
      </c>
      <c r="HW247" s="76">
        <v>3</v>
      </c>
      <c r="HX247" s="76">
        <v>9</v>
      </c>
    </row>
    <row r="248" spans="1:232" x14ac:dyDescent="0.2">
      <c r="A248" s="71" t="s">
        <v>683</v>
      </c>
      <c r="B248" s="71" t="s">
        <v>684</v>
      </c>
      <c r="C248" s="72" t="s">
        <v>200</v>
      </c>
      <c r="D248" s="72">
        <v>12</v>
      </c>
      <c r="E248" s="73">
        <v>14134</v>
      </c>
      <c r="F248" s="73">
        <v>-854</v>
      </c>
      <c r="G248" s="73">
        <v>-9306</v>
      </c>
      <c r="H248" s="73">
        <v>3974</v>
      </c>
      <c r="I248" s="73">
        <v>63</v>
      </c>
      <c r="J248" s="73">
        <v>0</v>
      </c>
      <c r="K248" s="73">
        <v>246</v>
      </c>
      <c r="L248" s="73">
        <v>0</v>
      </c>
      <c r="M248" s="73">
        <v>1</v>
      </c>
      <c r="N248" s="73">
        <v>-3997</v>
      </c>
      <c r="O248" s="73">
        <v>0</v>
      </c>
      <c r="P248" s="73">
        <v>0</v>
      </c>
      <c r="Q248" s="73">
        <v>0</v>
      </c>
      <c r="R248" s="73">
        <v>0</v>
      </c>
      <c r="S248" s="73">
        <v>287</v>
      </c>
      <c r="T248" s="73">
        <v>-5</v>
      </c>
      <c r="U248" s="73">
        <v>282</v>
      </c>
      <c r="V248" s="73">
        <v>0</v>
      </c>
      <c r="W248" s="73">
        <v>47</v>
      </c>
      <c r="X248" s="73">
        <v>0</v>
      </c>
      <c r="Y248" s="73">
        <v>0</v>
      </c>
      <c r="Z248" s="73">
        <v>329</v>
      </c>
      <c r="AA248" s="73">
        <v>10728</v>
      </c>
      <c r="AB248" s="73">
        <v>442</v>
      </c>
      <c r="AC248" s="73">
        <v>11170</v>
      </c>
      <c r="AD248" s="73">
        <v>399</v>
      </c>
      <c r="AE248" s="73">
        <v>0</v>
      </c>
      <c r="AF248" s="73">
        <v>466</v>
      </c>
      <c r="AG248" s="73">
        <v>219</v>
      </c>
      <c r="AH248" s="73">
        <v>12254</v>
      </c>
      <c r="AI248" s="73">
        <v>2198</v>
      </c>
      <c r="AJ248" s="73">
        <v>674</v>
      </c>
      <c r="AK248" s="73">
        <v>2212</v>
      </c>
      <c r="AL248" s="73">
        <v>1202</v>
      </c>
      <c r="AM248" s="73">
        <v>0</v>
      </c>
      <c r="AN248" s="73">
        <v>7</v>
      </c>
      <c r="AO248" s="73">
        <v>2052</v>
      </c>
      <c r="AP248" s="73">
        <v>0</v>
      </c>
      <c r="AQ248" s="73">
        <v>675</v>
      </c>
      <c r="AR248" s="73">
        <v>9020</v>
      </c>
      <c r="AS248" s="73">
        <v>3234</v>
      </c>
      <c r="AT248" s="73">
        <v>152</v>
      </c>
      <c r="AU248" s="73">
        <v>111032</v>
      </c>
      <c r="AV248" s="73">
        <v>0</v>
      </c>
      <c r="AW248" s="73">
        <v>110</v>
      </c>
      <c r="AX248" s="73">
        <v>180</v>
      </c>
      <c r="AY248" s="73">
        <v>0</v>
      </c>
      <c r="AZ248" s="73">
        <v>2697</v>
      </c>
      <c r="BA248" s="73">
        <v>0</v>
      </c>
      <c r="BB248" s="73">
        <v>0</v>
      </c>
      <c r="BC248" s="73">
        <v>0</v>
      </c>
      <c r="BD248" s="73">
        <v>0</v>
      </c>
      <c r="BE248" s="73">
        <v>114019</v>
      </c>
      <c r="BF248" s="73">
        <v>6468</v>
      </c>
      <c r="BG248" s="73">
        <v>436</v>
      </c>
      <c r="BH248" s="73">
        <v>1737</v>
      </c>
      <c r="BI248" s="73">
        <v>0</v>
      </c>
      <c r="BJ248" s="73">
        <v>469</v>
      </c>
      <c r="BK248" s="73">
        <v>9110</v>
      </c>
      <c r="BL248" s="73">
        <v>0</v>
      </c>
      <c r="BM248" s="73">
        <v>0</v>
      </c>
      <c r="BN248" s="73">
        <v>400</v>
      </c>
      <c r="BO248" s="73">
        <v>3119</v>
      </c>
      <c r="BP248" s="73">
        <v>3519</v>
      </c>
      <c r="BQ248" s="73">
        <v>5591</v>
      </c>
      <c r="BR248" s="73">
        <v>119610</v>
      </c>
      <c r="BS248" s="73">
        <v>79218</v>
      </c>
      <c r="BT248" s="73">
        <v>0</v>
      </c>
      <c r="BU248" s="73">
        <v>0</v>
      </c>
      <c r="BV248" s="73">
        <v>33481</v>
      </c>
      <c r="BW248" s="73">
        <v>0</v>
      </c>
      <c r="BX248" s="73">
        <v>0</v>
      </c>
      <c r="BY248" s="73">
        <v>0</v>
      </c>
      <c r="BZ248" s="73">
        <v>112699</v>
      </c>
      <c r="CA248" s="73">
        <v>2405</v>
      </c>
      <c r="CB248" s="73">
        <v>0</v>
      </c>
      <c r="CC248" s="73">
        <v>4506</v>
      </c>
      <c r="CD248" s="73">
        <v>4506</v>
      </c>
      <c r="CE248" s="73">
        <v>0</v>
      </c>
      <c r="CF248" s="73">
        <v>0</v>
      </c>
      <c r="CG248" s="73">
        <v>0</v>
      </c>
      <c r="CH248" s="73">
        <v>0</v>
      </c>
      <c r="CI248" s="73">
        <v>4506</v>
      </c>
      <c r="CJ248" s="73">
        <v>294</v>
      </c>
      <c r="CK248" s="73">
        <v>230</v>
      </c>
      <c r="CL248" s="73">
        <v>0</v>
      </c>
      <c r="CM248" s="73">
        <v>64</v>
      </c>
      <c r="CN248" s="73">
        <v>368</v>
      </c>
      <c r="CO248" s="73">
        <v>0</v>
      </c>
      <c r="CP248" s="73">
        <v>340</v>
      </c>
      <c r="CQ248" s="73">
        <v>28</v>
      </c>
      <c r="CR248" s="73">
        <v>0</v>
      </c>
      <c r="CS248" s="73">
        <v>0</v>
      </c>
      <c r="CT248" s="73">
        <v>0</v>
      </c>
      <c r="CU248" s="73">
        <v>0</v>
      </c>
      <c r="CV248" s="73">
        <v>0</v>
      </c>
      <c r="CW248" s="73">
        <v>0</v>
      </c>
      <c r="CX248" s="73">
        <v>0</v>
      </c>
      <c r="CY248" s="73">
        <v>0</v>
      </c>
      <c r="CZ248" s="73">
        <v>224</v>
      </c>
      <c r="DA248" s="73">
        <v>0</v>
      </c>
      <c r="DB248" s="73">
        <v>9</v>
      </c>
      <c r="DC248" s="73">
        <v>215</v>
      </c>
      <c r="DD248" s="73">
        <v>886</v>
      </c>
      <c r="DE248" s="73">
        <v>230</v>
      </c>
      <c r="DF248" s="73">
        <v>349</v>
      </c>
      <c r="DG248" s="73">
        <v>307</v>
      </c>
      <c r="DH248" s="73">
        <v>727</v>
      </c>
      <c r="DI248" s="73">
        <v>624</v>
      </c>
      <c r="DJ248" s="73">
        <v>0</v>
      </c>
      <c r="DK248" s="73">
        <v>103</v>
      </c>
      <c r="DL248" s="73">
        <v>0</v>
      </c>
      <c r="DM248" s="73">
        <v>0</v>
      </c>
      <c r="DN248" s="73">
        <v>0</v>
      </c>
      <c r="DO248" s="73">
        <v>0</v>
      </c>
      <c r="DP248" s="73">
        <v>0</v>
      </c>
      <c r="DQ248" s="73">
        <v>0</v>
      </c>
      <c r="DR248" s="73">
        <v>0</v>
      </c>
      <c r="DS248" s="73">
        <v>0</v>
      </c>
      <c r="DT248" s="73">
        <v>0</v>
      </c>
      <c r="DU248" s="73">
        <v>0</v>
      </c>
      <c r="DV248" s="73">
        <v>0</v>
      </c>
      <c r="DW248" s="73">
        <v>0</v>
      </c>
      <c r="DX248" s="73">
        <v>0</v>
      </c>
      <c r="DY248" s="73">
        <v>0</v>
      </c>
      <c r="DZ248" s="73">
        <v>0</v>
      </c>
      <c r="EA248" s="73">
        <v>0</v>
      </c>
      <c r="EB248" s="73">
        <v>267</v>
      </c>
      <c r="EC248" s="73">
        <v>0</v>
      </c>
      <c r="ED248" s="73">
        <v>-63</v>
      </c>
      <c r="EE248" s="73">
        <v>330</v>
      </c>
      <c r="EF248" s="73">
        <v>994</v>
      </c>
      <c r="EG248" s="73">
        <v>624</v>
      </c>
      <c r="EH248" s="73">
        <v>-63</v>
      </c>
      <c r="EI248" s="73">
        <v>433</v>
      </c>
      <c r="EJ248" s="73">
        <v>1880</v>
      </c>
      <c r="EK248" s="73">
        <v>854</v>
      </c>
      <c r="EL248" s="73">
        <v>286</v>
      </c>
      <c r="EM248" s="73">
        <v>740</v>
      </c>
      <c r="EN248" s="73">
        <v>487</v>
      </c>
      <c r="EO248" s="73">
        <v>177</v>
      </c>
      <c r="EP248" s="73">
        <v>110</v>
      </c>
      <c r="EQ248" s="73">
        <v>177</v>
      </c>
      <c r="ER248" s="73">
        <v>130561</v>
      </c>
      <c r="ES248" s="73">
        <v>0</v>
      </c>
      <c r="ET248" s="73">
        <v>130561</v>
      </c>
      <c r="EU248" s="73">
        <v>13930</v>
      </c>
      <c r="EV248" s="73">
        <v>-2107</v>
      </c>
      <c r="EW248" s="73">
        <v>0</v>
      </c>
      <c r="EX248" s="73">
        <v>0</v>
      </c>
      <c r="EY248" s="73">
        <v>-6468</v>
      </c>
      <c r="EZ248" s="73">
        <v>135916</v>
      </c>
      <c r="FA248" s="73">
        <v>23701</v>
      </c>
      <c r="FB248" s="73">
        <v>2052</v>
      </c>
      <c r="FC248" s="73">
        <v>0</v>
      </c>
      <c r="FD248" s="73">
        <v>0</v>
      </c>
      <c r="FE248" s="73">
        <v>-869</v>
      </c>
      <c r="FF248" s="73">
        <v>0</v>
      </c>
      <c r="FG248" s="73">
        <v>0</v>
      </c>
      <c r="FH248" s="73">
        <v>24884</v>
      </c>
      <c r="FI248" s="73">
        <v>111032</v>
      </c>
      <c r="FJ248" s="73">
        <v>106860</v>
      </c>
      <c r="FK248" s="73">
        <v>0</v>
      </c>
      <c r="FL248" s="73">
        <v>0</v>
      </c>
      <c r="FM248" s="73">
        <v>0</v>
      </c>
      <c r="FN248" s="73">
        <v>275</v>
      </c>
      <c r="FO248" s="73">
        <v>299</v>
      </c>
      <c r="FP248" s="73">
        <v>-24</v>
      </c>
      <c r="FQ248" s="73">
        <v>0</v>
      </c>
      <c r="FR248" s="73">
        <v>0</v>
      </c>
      <c r="FS248" s="73">
        <v>0</v>
      </c>
      <c r="FT248" s="73">
        <v>638</v>
      </c>
      <c r="FU248" s="73">
        <v>84</v>
      </c>
      <c r="FV248" s="73">
        <v>554</v>
      </c>
      <c r="FW248" s="73">
        <v>0</v>
      </c>
      <c r="FX248" s="73">
        <v>0</v>
      </c>
      <c r="FY248" s="73">
        <v>0</v>
      </c>
      <c r="FZ248" s="73">
        <v>152</v>
      </c>
      <c r="GA248" s="73">
        <v>619</v>
      </c>
      <c r="GB248" s="73">
        <v>-467</v>
      </c>
      <c r="GC248" s="73">
        <v>1065</v>
      </c>
      <c r="GD248" s="73">
        <v>1002</v>
      </c>
      <c r="GE248" s="73">
        <v>63</v>
      </c>
      <c r="GF248" s="73">
        <v>145</v>
      </c>
      <c r="GG248" s="73">
        <v>0</v>
      </c>
      <c r="GH248" s="73">
        <v>0</v>
      </c>
      <c r="GI248" s="73">
        <v>0</v>
      </c>
      <c r="GJ248" s="73">
        <v>0</v>
      </c>
      <c r="GK248" s="73">
        <v>324</v>
      </c>
      <c r="GL248" s="73">
        <v>469</v>
      </c>
      <c r="GM248" s="73">
        <v>648</v>
      </c>
      <c r="GN248" s="73">
        <v>255</v>
      </c>
      <c r="GO248" s="73">
        <v>284</v>
      </c>
      <c r="GP248" s="73">
        <v>63</v>
      </c>
      <c r="GQ248" s="73">
        <v>0</v>
      </c>
      <c r="GR248" s="73">
        <v>992</v>
      </c>
      <c r="GS248" s="73">
        <v>0</v>
      </c>
      <c r="GT248" s="73">
        <v>0</v>
      </c>
      <c r="GU248" s="73">
        <v>0</v>
      </c>
      <c r="GV248" s="73">
        <v>0</v>
      </c>
      <c r="GW248" s="73">
        <v>877</v>
      </c>
      <c r="GX248" s="73">
        <v>3119</v>
      </c>
      <c r="GY248" s="73">
        <v>0</v>
      </c>
      <c r="GZ248" s="73">
        <v>0</v>
      </c>
      <c r="HA248" s="73">
        <v>0</v>
      </c>
      <c r="HB248" s="73">
        <v>0</v>
      </c>
      <c r="HC248" s="73">
        <v>0</v>
      </c>
      <c r="HD248" s="73">
        <v>0</v>
      </c>
      <c r="HE248" s="73">
        <v>0</v>
      </c>
      <c r="HF248" s="73">
        <v>0</v>
      </c>
      <c r="HG248" s="73">
        <v>4122</v>
      </c>
      <c r="HH248" s="73">
        <v>0</v>
      </c>
      <c r="HI248" s="73">
        <v>62</v>
      </c>
      <c r="HJ248" s="73">
        <v>0</v>
      </c>
      <c r="HK248" s="73">
        <v>0</v>
      </c>
      <c r="HL248" s="73">
        <v>-187</v>
      </c>
      <c r="HM248" s="73">
        <v>3997</v>
      </c>
      <c r="HN248" s="73">
        <v>1932</v>
      </c>
      <c r="HO248" s="73">
        <v>2209</v>
      </c>
      <c r="HP248" s="73">
        <v>0</v>
      </c>
      <c r="HQ248" s="73">
        <v>53</v>
      </c>
      <c r="HR248" s="73">
        <v>-34</v>
      </c>
      <c r="HS248" s="73">
        <v>0</v>
      </c>
      <c r="HT248" s="73">
        <v>2317</v>
      </c>
      <c r="HU248" s="73">
        <v>0</v>
      </c>
      <c r="HV248" s="73">
        <v>0</v>
      </c>
      <c r="HW248" s="73">
        <v>0</v>
      </c>
      <c r="HX248" s="73">
        <v>31</v>
      </c>
    </row>
    <row r="249" spans="1:232" x14ac:dyDescent="0.2">
      <c r="A249" s="71" t="s">
        <v>165</v>
      </c>
      <c r="B249" s="71" t="s">
        <v>164</v>
      </c>
      <c r="C249" s="72" t="s">
        <v>200</v>
      </c>
      <c r="D249" s="72">
        <v>12</v>
      </c>
      <c r="E249" s="73">
        <v>30483</v>
      </c>
      <c r="F249" s="73">
        <v>-431</v>
      </c>
      <c r="G249" s="73">
        <v>-20995</v>
      </c>
      <c r="H249" s="73">
        <v>9057</v>
      </c>
      <c r="I249" s="73">
        <v>489</v>
      </c>
      <c r="J249" s="73">
        <v>0</v>
      </c>
      <c r="K249" s="73">
        <v>0</v>
      </c>
      <c r="L249" s="73">
        <v>0</v>
      </c>
      <c r="M249" s="73">
        <v>25</v>
      </c>
      <c r="N249" s="73">
        <v>-6990</v>
      </c>
      <c r="O249" s="73">
        <v>0</v>
      </c>
      <c r="P249" s="73">
        <v>0</v>
      </c>
      <c r="Q249" s="73">
        <v>0</v>
      </c>
      <c r="R249" s="73">
        <v>0</v>
      </c>
      <c r="S249" s="73">
        <v>2581</v>
      </c>
      <c r="T249" s="73">
        <v>0</v>
      </c>
      <c r="U249" s="73">
        <v>2581</v>
      </c>
      <c r="V249" s="73">
        <v>0</v>
      </c>
      <c r="W249" s="73">
        <v>-1186</v>
      </c>
      <c r="X249" s="73">
        <v>0</v>
      </c>
      <c r="Y249" s="73">
        <v>0</v>
      </c>
      <c r="Z249" s="73">
        <v>1395</v>
      </c>
      <c r="AA249" s="73">
        <v>25860</v>
      </c>
      <c r="AB249" s="73">
        <v>2926</v>
      </c>
      <c r="AC249" s="73">
        <v>28786</v>
      </c>
      <c r="AD249" s="73">
        <v>811</v>
      </c>
      <c r="AE249" s="73">
        <v>0</v>
      </c>
      <c r="AF249" s="73">
        <v>0</v>
      </c>
      <c r="AG249" s="73">
        <v>0</v>
      </c>
      <c r="AH249" s="73">
        <v>29597</v>
      </c>
      <c r="AI249" s="73">
        <v>2897</v>
      </c>
      <c r="AJ249" s="73">
        <v>2200</v>
      </c>
      <c r="AK249" s="73">
        <v>1843</v>
      </c>
      <c r="AL249" s="73">
        <v>4627</v>
      </c>
      <c r="AM249" s="73">
        <v>0</v>
      </c>
      <c r="AN249" s="73">
        <v>70</v>
      </c>
      <c r="AO249" s="73">
        <v>4906</v>
      </c>
      <c r="AP249" s="73">
        <v>62</v>
      </c>
      <c r="AQ249" s="73">
        <v>0</v>
      </c>
      <c r="AR249" s="73">
        <v>16605</v>
      </c>
      <c r="AS249" s="73">
        <v>12992</v>
      </c>
      <c r="AT249" s="73">
        <v>171</v>
      </c>
      <c r="AU249" s="73">
        <v>185404</v>
      </c>
      <c r="AV249" s="73">
        <v>0</v>
      </c>
      <c r="AW249" s="73">
        <v>1942</v>
      </c>
      <c r="AX249" s="73">
        <v>0</v>
      </c>
      <c r="AY249" s="73">
        <v>0</v>
      </c>
      <c r="AZ249" s="73">
        <v>0</v>
      </c>
      <c r="BA249" s="73">
        <v>0</v>
      </c>
      <c r="BB249" s="73">
        <v>0</v>
      </c>
      <c r="BC249" s="73">
        <v>0</v>
      </c>
      <c r="BD249" s="73">
        <v>0</v>
      </c>
      <c r="BE249" s="73">
        <v>187346</v>
      </c>
      <c r="BF249" s="73">
        <v>533</v>
      </c>
      <c r="BG249" s="73">
        <v>758</v>
      </c>
      <c r="BH249" s="73">
        <v>2052</v>
      </c>
      <c r="BI249" s="73">
        <v>7</v>
      </c>
      <c r="BJ249" s="73">
        <v>2947</v>
      </c>
      <c r="BK249" s="73">
        <v>6297</v>
      </c>
      <c r="BL249" s="73">
        <v>0</v>
      </c>
      <c r="BM249" s="73">
        <v>0</v>
      </c>
      <c r="BN249" s="73">
        <v>1688</v>
      </c>
      <c r="BO249" s="73">
        <v>2600</v>
      </c>
      <c r="BP249" s="73">
        <v>4288</v>
      </c>
      <c r="BQ249" s="73">
        <v>2009</v>
      </c>
      <c r="BR249" s="73">
        <v>189355</v>
      </c>
      <c r="BS249" s="73">
        <v>125000</v>
      </c>
      <c r="BT249" s="73">
        <v>0</v>
      </c>
      <c r="BU249" s="73">
        <v>0</v>
      </c>
      <c r="BV249" s="73">
        <v>42042</v>
      </c>
      <c r="BW249" s="73">
        <v>0</v>
      </c>
      <c r="BX249" s="73">
        <v>0</v>
      </c>
      <c r="BY249" s="73">
        <v>1637</v>
      </c>
      <c r="BZ249" s="73">
        <v>168679</v>
      </c>
      <c r="CA249" s="73">
        <v>6894</v>
      </c>
      <c r="CB249" s="73">
        <v>0</v>
      </c>
      <c r="CC249" s="73">
        <v>13782</v>
      </c>
      <c r="CD249" s="73">
        <v>12875</v>
      </c>
      <c r="CE249" s="73">
        <v>0</v>
      </c>
      <c r="CF249" s="73">
        <v>907</v>
      </c>
      <c r="CG249" s="73">
        <v>0</v>
      </c>
      <c r="CH249" s="73">
        <v>0</v>
      </c>
      <c r="CI249" s="73">
        <v>13782</v>
      </c>
      <c r="CJ249" s="73">
        <v>425</v>
      </c>
      <c r="CK249" s="73">
        <v>431</v>
      </c>
      <c r="CL249" s="73">
        <v>17</v>
      </c>
      <c r="CM249" s="73">
        <v>-23</v>
      </c>
      <c r="CN249" s="73">
        <v>0</v>
      </c>
      <c r="CO249" s="73">
        <v>0</v>
      </c>
      <c r="CP249" s="73">
        <v>3495</v>
      </c>
      <c r="CQ249" s="73">
        <v>-3495</v>
      </c>
      <c r="CR249" s="73">
        <v>0</v>
      </c>
      <c r="CS249" s="73">
        <v>0</v>
      </c>
      <c r="CT249" s="73">
        <v>0</v>
      </c>
      <c r="CU249" s="73">
        <v>0</v>
      </c>
      <c r="CV249" s="73">
        <v>0</v>
      </c>
      <c r="CW249" s="73">
        <v>0</v>
      </c>
      <c r="CX249" s="73">
        <v>0</v>
      </c>
      <c r="CY249" s="73">
        <v>0</v>
      </c>
      <c r="CZ249" s="73">
        <v>251</v>
      </c>
      <c r="DA249" s="73">
        <v>0</v>
      </c>
      <c r="DB249" s="73">
        <v>877</v>
      </c>
      <c r="DC249" s="73">
        <v>-626</v>
      </c>
      <c r="DD249" s="73">
        <v>676</v>
      </c>
      <c r="DE249" s="73">
        <v>431</v>
      </c>
      <c r="DF249" s="73">
        <v>4389</v>
      </c>
      <c r="DG249" s="73">
        <v>-4144</v>
      </c>
      <c r="DH249" s="73">
        <v>0</v>
      </c>
      <c r="DI249" s="73">
        <v>0</v>
      </c>
      <c r="DJ249" s="73">
        <v>0</v>
      </c>
      <c r="DK249" s="73">
        <v>0</v>
      </c>
      <c r="DL249" s="73">
        <v>0</v>
      </c>
      <c r="DM249" s="73">
        <v>0</v>
      </c>
      <c r="DN249" s="73">
        <v>0</v>
      </c>
      <c r="DO249" s="73">
        <v>0</v>
      </c>
      <c r="DP249" s="73">
        <v>0</v>
      </c>
      <c r="DQ249" s="73">
        <v>0</v>
      </c>
      <c r="DR249" s="73">
        <v>0</v>
      </c>
      <c r="DS249" s="73">
        <v>0</v>
      </c>
      <c r="DT249" s="73">
        <v>0</v>
      </c>
      <c r="DU249" s="73">
        <v>0</v>
      </c>
      <c r="DV249" s="73">
        <v>0</v>
      </c>
      <c r="DW249" s="73">
        <v>0</v>
      </c>
      <c r="DX249" s="73">
        <v>0</v>
      </c>
      <c r="DY249" s="73">
        <v>0</v>
      </c>
      <c r="DZ249" s="73">
        <v>0</v>
      </c>
      <c r="EA249" s="73">
        <v>0</v>
      </c>
      <c r="EB249" s="73">
        <v>210</v>
      </c>
      <c r="EC249" s="73">
        <v>0</v>
      </c>
      <c r="ED249" s="73">
        <v>1</v>
      </c>
      <c r="EE249" s="73">
        <v>209</v>
      </c>
      <c r="EF249" s="73">
        <v>210</v>
      </c>
      <c r="EG249" s="73">
        <v>0</v>
      </c>
      <c r="EH249" s="73">
        <v>1</v>
      </c>
      <c r="EI249" s="73">
        <v>209</v>
      </c>
      <c r="EJ249" s="73">
        <v>886</v>
      </c>
      <c r="EK249" s="73">
        <v>431</v>
      </c>
      <c r="EL249" s="73">
        <v>4390</v>
      </c>
      <c r="EM249" s="73">
        <v>-3935</v>
      </c>
      <c r="EN249" s="73">
        <v>477</v>
      </c>
      <c r="EO249" s="73">
        <v>239</v>
      </c>
      <c r="EP249" s="73">
        <v>47</v>
      </c>
      <c r="EQ249" s="73">
        <v>24</v>
      </c>
      <c r="ER249" s="73">
        <v>218265</v>
      </c>
      <c r="ES249" s="73">
        <v>0</v>
      </c>
      <c r="ET249" s="73">
        <v>218265</v>
      </c>
      <c r="EU249" s="73">
        <v>8617</v>
      </c>
      <c r="EV249" s="73">
        <v>-868</v>
      </c>
      <c r="EW249" s="73">
        <v>0</v>
      </c>
      <c r="EX249" s="73">
        <v>0</v>
      </c>
      <c r="EY249" s="73">
        <v>-501</v>
      </c>
      <c r="EZ249" s="73">
        <v>225513</v>
      </c>
      <c r="FA249" s="73">
        <v>35724</v>
      </c>
      <c r="FB249" s="73">
        <v>4728</v>
      </c>
      <c r="FC249" s="73">
        <v>62</v>
      </c>
      <c r="FD249" s="73">
        <v>0</v>
      </c>
      <c r="FE249" s="73">
        <v>-405</v>
      </c>
      <c r="FF249" s="73">
        <v>0</v>
      </c>
      <c r="FG249" s="73">
        <v>0</v>
      </c>
      <c r="FH249" s="73">
        <v>40109</v>
      </c>
      <c r="FI249" s="73">
        <v>185404</v>
      </c>
      <c r="FJ249" s="73">
        <v>182541</v>
      </c>
      <c r="FK249" s="73">
        <v>109</v>
      </c>
      <c r="FL249" s="73">
        <v>102</v>
      </c>
      <c r="FM249" s="73">
        <v>7</v>
      </c>
      <c r="FN249" s="73">
        <v>677</v>
      </c>
      <c r="FO249" s="73">
        <v>269</v>
      </c>
      <c r="FP249" s="73">
        <v>408</v>
      </c>
      <c r="FQ249" s="73">
        <v>0</v>
      </c>
      <c r="FR249" s="73">
        <v>0</v>
      </c>
      <c r="FS249" s="73">
        <v>0</v>
      </c>
      <c r="FT249" s="73">
        <v>65</v>
      </c>
      <c r="FU249" s="73">
        <v>16</v>
      </c>
      <c r="FV249" s="73">
        <v>49</v>
      </c>
      <c r="FW249" s="73">
        <v>0</v>
      </c>
      <c r="FX249" s="73">
        <v>0</v>
      </c>
      <c r="FY249" s="73">
        <v>0</v>
      </c>
      <c r="FZ249" s="73">
        <v>25</v>
      </c>
      <c r="GA249" s="73">
        <v>0</v>
      </c>
      <c r="GB249" s="73">
        <v>25</v>
      </c>
      <c r="GC249" s="73">
        <v>876</v>
      </c>
      <c r="GD249" s="73">
        <v>387</v>
      </c>
      <c r="GE249" s="73">
        <v>489</v>
      </c>
      <c r="GF249" s="73">
        <v>2776</v>
      </c>
      <c r="GG249" s="73">
        <v>0</v>
      </c>
      <c r="GH249" s="73">
        <v>0</v>
      </c>
      <c r="GI249" s="73">
        <v>0</v>
      </c>
      <c r="GJ249" s="73">
        <v>0</v>
      </c>
      <c r="GK249" s="73">
        <v>171</v>
      </c>
      <c r="GL249" s="73">
        <v>2947</v>
      </c>
      <c r="GM249" s="73">
        <v>81</v>
      </c>
      <c r="GN249" s="73">
        <v>372</v>
      </c>
      <c r="GO249" s="73">
        <v>465</v>
      </c>
      <c r="GP249" s="73">
        <v>0</v>
      </c>
      <c r="GQ249" s="73">
        <v>0</v>
      </c>
      <c r="GR249" s="73">
        <v>621</v>
      </c>
      <c r="GS249" s="73">
        <v>0</v>
      </c>
      <c r="GT249" s="73">
        <v>0</v>
      </c>
      <c r="GU249" s="73">
        <v>144</v>
      </c>
      <c r="GV249" s="73">
        <v>0</v>
      </c>
      <c r="GW249" s="73">
        <v>917</v>
      </c>
      <c r="GX249" s="73">
        <v>2600</v>
      </c>
      <c r="GY249" s="73">
        <v>153</v>
      </c>
      <c r="GZ249" s="73">
        <v>0</v>
      </c>
      <c r="HA249" s="73">
        <v>956</v>
      </c>
      <c r="HB249" s="73">
        <v>528</v>
      </c>
      <c r="HC249" s="73">
        <v>1637</v>
      </c>
      <c r="HD249" s="73">
        <v>0</v>
      </c>
      <c r="HE249" s="73">
        <v>0</v>
      </c>
      <c r="HF249" s="73">
        <v>0</v>
      </c>
      <c r="HG249" s="73">
        <v>6720</v>
      </c>
      <c r="HH249" s="73">
        <v>0</v>
      </c>
      <c r="HI249" s="73">
        <v>210</v>
      </c>
      <c r="HJ249" s="73">
        <v>0</v>
      </c>
      <c r="HK249" s="73">
        <v>162</v>
      </c>
      <c r="HL249" s="73">
        <v>-102</v>
      </c>
      <c r="HM249" s="73">
        <v>6990</v>
      </c>
      <c r="HN249" s="73">
        <v>4195</v>
      </c>
      <c r="HO249" s="73">
        <v>5072</v>
      </c>
      <c r="HP249" s="73">
        <v>62</v>
      </c>
      <c r="HQ249" s="73">
        <v>28</v>
      </c>
      <c r="HR249" s="73">
        <v>-16</v>
      </c>
      <c r="HS249" s="73">
        <v>0</v>
      </c>
      <c r="HT249" s="73">
        <v>6044</v>
      </c>
      <c r="HU249" s="73">
        <v>0</v>
      </c>
      <c r="HV249" s="73">
        <v>0</v>
      </c>
      <c r="HW249" s="73">
        <v>0</v>
      </c>
      <c r="HX249" s="73">
        <v>0</v>
      </c>
    </row>
    <row r="250" spans="1:232" x14ac:dyDescent="0.2">
      <c r="A250" s="74" t="s">
        <v>687</v>
      </c>
      <c r="B250" s="74" t="s">
        <v>686</v>
      </c>
      <c r="C250" s="75" t="s">
        <v>200</v>
      </c>
      <c r="D250" s="75">
        <v>12</v>
      </c>
      <c r="E250" s="76">
        <v>43674</v>
      </c>
      <c r="F250" s="76">
        <v>-974</v>
      </c>
      <c r="G250" s="76">
        <v>-35579</v>
      </c>
      <c r="H250" s="76">
        <v>7121</v>
      </c>
      <c r="I250" s="76">
        <v>577</v>
      </c>
      <c r="J250" s="76">
        <v>0</v>
      </c>
      <c r="K250" s="76">
        <v>0</v>
      </c>
      <c r="L250" s="76">
        <v>0</v>
      </c>
      <c r="M250" s="76">
        <v>60</v>
      </c>
      <c r="N250" s="76">
        <v>-4367</v>
      </c>
      <c r="O250" s="76">
        <v>34</v>
      </c>
      <c r="P250" s="76">
        <v>0</v>
      </c>
      <c r="Q250" s="76">
        <v>0</v>
      </c>
      <c r="R250" s="76">
        <v>0</v>
      </c>
      <c r="S250" s="76">
        <v>3425</v>
      </c>
      <c r="T250" s="76">
        <v>0</v>
      </c>
      <c r="U250" s="76">
        <v>3425</v>
      </c>
      <c r="V250" s="76">
        <v>0</v>
      </c>
      <c r="W250" s="76">
        <v>-160</v>
      </c>
      <c r="X250" s="76">
        <v>0</v>
      </c>
      <c r="Y250" s="76">
        <v>0</v>
      </c>
      <c r="Z250" s="76">
        <v>3265</v>
      </c>
      <c r="AA250" s="76">
        <v>25692</v>
      </c>
      <c r="AB250" s="76">
        <v>4295</v>
      </c>
      <c r="AC250" s="76">
        <v>29987</v>
      </c>
      <c r="AD250" s="76">
        <v>1635</v>
      </c>
      <c r="AE250" s="76">
        <v>0</v>
      </c>
      <c r="AF250" s="76">
        <v>907</v>
      </c>
      <c r="AG250" s="76">
        <v>0</v>
      </c>
      <c r="AH250" s="76">
        <v>32529</v>
      </c>
      <c r="AI250" s="76">
        <v>4762</v>
      </c>
      <c r="AJ250" s="76">
        <v>3050</v>
      </c>
      <c r="AK250" s="76">
        <v>4696</v>
      </c>
      <c r="AL250" s="76">
        <v>986</v>
      </c>
      <c r="AM250" s="76">
        <v>0</v>
      </c>
      <c r="AN250" s="76">
        <v>244</v>
      </c>
      <c r="AO250" s="76">
        <v>5176</v>
      </c>
      <c r="AP250" s="76">
        <v>0</v>
      </c>
      <c r="AQ250" s="76">
        <v>6654</v>
      </c>
      <c r="AR250" s="76">
        <v>25568</v>
      </c>
      <c r="AS250" s="76">
        <v>6961</v>
      </c>
      <c r="AT250" s="76">
        <v>1115</v>
      </c>
      <c r="AU250" s="76">
        <v>289975</v>
      </c>
      <c r="AV250" s="76">
        <v>0</v>
      </c>
      <c r="AW250" s="76">
        <v>1969</v>
      </c>
      <c r="AX250" s="76">
        <v>331</v>
      </c>
      <c r="AY250" s="76">
        <v>0</v>
      </c>
      <c r="AZ250" s="76">
        <v>0</v>
      </c>
      <c r="BA250" s="76">
        <v>0</v>
      </c>
      <c r="BB250" s="76">
        <v>0</v>
      </c>
      <c r="BC250" s="76">
        <v>1363</v>
      </c>
      <c r="BD250" s="76">
        <v>2732</v>
      </c>
      <c r="BE250" s="76">
        <v>296370</v>
      </c>
      <c r="BF250" s="76">
        <v>415</v>
      </c>
      <c r="BG250" s="76">
        <v>2173</v>
      </c>
      <c r="BH250" s="76">
        <v>7913</v>
      </c>
      <c r="BI250" s="76">
        <v>0</v>
      </c>
      <c r="BJ250" s="76">
        <v>102</v>
      </c>
      <c r="BK250" s="76">
        <v>10603</v>
      </c>
      <c r="BL250" s="76">
        <v>3014</v>
      </c>
      <c r="BM250" s="76">
        <v>0</v>
      </c>
      <c r="BN250" s="76">
        <v>0</v>
      </c>
      <c r="BO250" s="76">
        <v>8230</v>
      </c>
      <c r="BP250" s="76">
        <v>11244</v>
      </c>
      <c r="BQ250" s="76">
        <v>-641</v>
      </c>
      <c r="BR250" s="76">
        <v>295729</v>
      </c>
      <c r="BS250" s="76">
        <v>113071</v>
      </c>
      <c r="BT250" s="76">
        <v>0</v>
      </c>
      <c r="BU250" s="76">
        <v>0</v>
      </c>
      <c r="BV250" s="76">
        <v>141853</v>
      </c>
      <c r="BW250" s="76">
        <v>0</v>
      </c>
      <c r="BX250" s="76">
        <v>0</v>
      </c>
      <c r="BY250" s="76">
        <v>6671</v>
      </c>
      <c r="BZ250" s="76">
        <v>261595</v>
      </c>
      <c r="CA250" s="76">
        <v>933</v>
      </c>
      <c r="CB250" s="76">
        <v>0</v>
      </c>
      <c r="CC250" s="76">
        <v>33201</v>
      </c>
      <c r="CD250" s="76">
        <v>32980</v>
      </c>
      <c r="CE250" s="76">
        <v>0</v>
      </c>
      <c r="CF250" s="76">
        <v>221</v>
      </c>
      <c r="CG250" s="76">
        <v>0</v>
      </c>
      <c r="CH250" s="76">
        <v>0</v>
      </c>
      <c r="CI250" s="76">
        <v>33201</v>
      </c>
      <c r="CJ250" s="76">
        <v>1042</v>
      </c>
      <c r="CK250" s="76">
        <v>974</v>
      </c>
      <c r="CL250" s="76">
        <v>0</v>
      </c>
      <c r="CM250" s="76">
        <v>68</v>
      </c>
      <c r="CN250" s="76">
        <v>3304</v>
      </c>
      <c r="CO250" s="76">
        <v>0</v>
      </c>
      <c r="CP250" s="76">
        <v>3682</v>
      </c>
      <c r="CQ250" s="76">
        <v>-378</v>
      </c>
      <c r="CR250" s="76">
        <v>0</v>
      </c>
      <c r="CS250" s="76">
        <v>0</v>
      </c>
      <c r="CT250" s="76">
        <v>0</v>
      </c>
      <c r="CU250" s="76">
        <v>0</v>
      </c>
      <c r="CV250" s="76">
        <v>0</v>
      </c>
      <c r="CW250" s="76">
        <v>0</v>
      </c>
      <c r="CX250" s="76">
        <v>0</v>
      </c>
      <c r="CY250" s="76">
        <v>0</v>
      </c>
      <c r="CZ250" s="76">
        <v>4447</v>
      </c>
      <c r="DA250" s="76">
        <v>0</v>
      </c>
      <c r="DB250" s="76">
        <v>3889</v>
      </c>
      <c r="DC250" s="76">
        <v>558</v>
      </c>
      <c r="DD250" s="76">
        <v>8793</v>
      </c>
      <c r="DE250" s="76">
        <v>974</v>
      </c>
      <c r="DF250" s="76">
        <v>7571</v>
      </c>
      <c r="DG250" s="76">
        <v>248</v>
      </c>
      <c r="DH250" s="76">
        <v>0</v>
      </c>
      <c r="DI250" s="76">
        <v>0</v>
      </c>
      <c r="DJ250" s="76">
        <v>0</v>
      </c>
      <c r="DK250" s="76">
        <v>0</v>
      </c>
      <c r="DL250" s="76">
        <v>0</v>
      </c>
      <c r="DM250" s="76">
        <v>0</v>
      </c>
      <c r="DN250" s="76">
        <v>0</v>
      </c>
      <c r="DO250" s="76">
        <v>0</v>
      </c>
      <c r="DP250" s="76">
        <v>2352</v>
      </c>
      <c r="DQ250" s="76">
        <v>0</v>
      </c>
      <c r="DR250" s="76">
        <v>2440</v>
      </c>
      <c r="DS250" s="76">
        <v>-88</v>
      </c>
      <c r="DT250" s="76">
        <v>0</v>
      </c>
      <c r="DU250" s="76">
        <v>0</v>
      </c>
      <c r="DV250" s="76">
        <v>0</v>
      </c>
      <c r="DW250" s="76">
        <v>0</v>
      </c>
      <c r="DX250" s="76">
        <v>0</v>
      </c>
      <c r="DY250" s="76">
        <v>0</v>
      </c>
      <c r="DZ250" s="76">
        <v>0</v>
      </c>
      <c r="EA250" s="76">
        <v>0</v>
      </c>
      <c r="EB250" s="76">
        <v>0</v>
      </c>
      <c r="EC250" s="76">
        <v>0</v>
      </c>
      <c r="ED250" s="76">
        <v>0</v>
      </c>
      <c r="EE250" s="76">
        <v>0</v>
      </c>
      <c r="EF250" s="76">
        <v>2352</v>
      </c>
      <c r="EG250" s="76">
        <v>0</v>
      </c>
      <c r="EH250" s="76">
        <v>2440</v>
      </c>
      <c r="EI250" s="76">
        <v>-88</v>
      </c>
      <c r="EJ250" s="76">
        <v>11145</v>
      </c>
      <c r="EK250" s="76">
        <v>974</v>
      </c>
      <c r="EL250" s="76">
        <v>10011</v>
      </c>
      <c r="EM250" s="76">
        <v>160</v>
      </c>
      <c r="EN250" s="76">
        <v>935</v>
      </c>
      <c r="EO250" s="76">
        <v>1033</v>
      </c>
      <c r="EP250" s="76">
        <v>405</v>
      </c>
      <c r="EQ250" s="76">
        <v>830</v>
      </c>
      <c r="ER250" s="76">
        <v>332973</v>
      </c>
      <c r="ES250" s="76">
        <v>0</v>
      </c>
      <c r="ET250" s="76">
        <v>332973</v>
      </c>
      <c r="EU250" s="76">
        <v>7507</v>
      </c>
      <c r="EV250" s="76">
        <v>-1904</v>
      </c>
      <c r="EW250" s="76">
        <v>0</v>
      </c>
      <c r="EX250" s="76">
        <v>0</v>
      </c>
      <c r="EY250" s="76">
        <v>-1013</v>
      </c>
      <c r="EZ250" s="76">
        <v>337563</v>
      </c>
      <c r="FA250" s="76">
        <v>43618</v>
      </c>
      <c r="FB250" s="76">
        <v>4935</v>
      </c>
      <c r="FC250" s="76">
        <v>0</v>
      </c>
      <c r="FD250" s="76">
        <v>0</v>
      </c>
      <c r="FE250" s="76">
        <v>-198</v>
      </c>
      <c r="FF250" s="76">
        <v>0</v>
      </c>
      <c r="FG250" s="76">
        <v>-767</v>
      </c>
      <c r="FH250" s="76">
        <v>47588</v>
      </c>
      <c r="FI250" s="76">
        <v>289975</v>
      </c>
      <c r="FJ250" s="76">
        <v>289355</v>
      </c>
      <c r="FK250" s="76">
        <v>451</v>
      </c>
      <c r="FL250" s="76">
        <v>314</v>
      </c>
      <c r="FM250" s="76">
        <v>137</v>
      </c>
      <c r="FN250" s="76">
        <v>0</v>
      </c>
      <c r="FO250" s="76">
        <v>0</v>
      </c>
      <c r="FP250" s="76">
        <v>0</v>
      </c>
      <c r="FQ250" s="76">
        <v>0</v>
      </c>
      <c r="FR250" s="76">
        <v>0</v>
      </c>
      <c r="FS250" s="76">
        <v>0</v>
      </c>
      <c r="FT250" s="76">
        <v>1179</v>
      </c>
      <c r="FU250" s="76">
        <v>739</v>
      </c>
      <c r="FV250" s="76">
        <v>440</v>
      </c>
      <c r="FW250" s="76">
        <v>0</v>
      </c>
      <c r="FX250" s="76">
        <v>0</v>
      </c>
      <c r="FY250" s="76">
        <v>0</v>
      </c>
      <c r="FZ250" s="76">
        <v>0</v>
      </c>
      <c r="GA250" s="76">
        <v>0</v>
      </c>
      <c r="GB250" s="76">
        <v>0</v>
      </c>
      <c r="GC250" s="76">
        <v>1630</v>
      </c>
      <c r="GD250" s="76">
        <v>1053</v>
      </c>
      <c r="GE250" s="76">
        <v>577</v>
      </c>
      <c r="GF250" s="76">
        <v>0</v>
      </c>
      <c r="GG250" s="76">
        <v>0</v>
      </c>
      <c r="GH250" s="76">
        <v>0</v>
      </c>
      <c r="GI250" s="76">
        <v>0</v>
      </c>
      <c r="GJ250" s="76">
        <v>0</v>
      </c>
      <c r="GK250" s="76">
        <v>102</v>
      </c>
      <c r="GL250" s="76">
        <v>102</v>
      </c>
      <c r="GM250" s="76">
        <v>1674</v>
      </c>
      <c r="GN250" s="76">
        <v>1395</v>
      </c>
      <c r="GO250" s="76">
        <v>373</v>
      </c>
      <c r="GP250" s="76">
        <v>0</v>
      </c>
      <c r="GQ250" s="76">
        <v>0</v>
      </c>
      <c r="GR250" s="76">
        <v>1347</v>
      </c>
      <c r="GS250" s="76">
        <v>0</v>
      </c>
      <c r="GT250" s="76">
        <v>0</v>
      </c>
      <c r="GU250" s="76">
        <v>0</v>
      </c>
      <c r="GV250" s="76">
        <v>0</v>
      </c>
      <c r="GW250" s="76">
        <v>3441</v>
      </c>
      <c r="GX250" s="76">
        <v>8230</v>
      </c>
      <c r="GY250" s="76">
        <v>0</v>
      </c>
      <c r="GZ250" s="76">
        <v>0</v>
      </c>
      <c r="HA250" s="76">
        <v>6671</v>
      </c>
      <c r="HB250" s="76">
        <v>0</v>
      </c>
      <c r="HC250" s="76">
        <v>6671</v>
      </c>
      <c r="HD250" s="76">
        <v>0</v>
      </c>
      <c r="HE250" s="76">
        <v>0</v>
      </c>
      <c r="HF250" s="76">
        <v>0</v>
      </c>
      <c r="HG250" s="76">
        <v>4212</v>
      </c>
      <c r="HH250" s="76">
        <v>19</v>
      </c>
      <c r="HI250" s="76">
        <v>167</v>
      </c>
      <c r="HJ250" s="76">
        <v>0</v>
      </c>
      <c r="HK250" s="76">
        <v>0</v>
      </c>
      <c r="HL250" s="76">
        <v>-31</v>
      </c>
      <c r="HM250" s="76">
        <v>4367</v>
      </c>
      <c r="HN250" s="76">
        <v>3809</v>
      </c>
      <c r="HO250" s="76">
        <v>6381</v>
      </c>
      <c r="HP250" s="76">
        <v>0</v>
      </c>
      <c r="HQ250" s="76">
        <v>84</v>
      </c>
      <c r="HR250" s="76">
        <v>-96</v>
      </c>
      <c r="HS250" s="76">
        <v>54</v>
      </c>
      <c r="HT250" s="76">
        <v>5543</v>
      </c>
      <c r="HU250" s="76">
        <v>0</v>
      </c>
      <c r="HV250" s="76">
        <v>0</v>
      </c>
      <c r="HW250" s="76">
        <v>0</v>
      </c>
      <c r="HX250" s="76">
        <v>0</v>
      </c>
    </row>
    <row r="251" spans="1:232" x14ac:dyDescent="0.2">
      <c r="A251" s="71" t="s">
        <v>688</v>
      </c>
      <c r="B251" s="71" t="s">
        <v>689</v>
      </c>
      <c r="C251" s="72" t="s">
        <v>200</v>
      </c>
      <c r="D251" s="72">
        <v>12</v>
      </c>
      <c r="E251" s="73">
        <v>8136</v>
      </c>
      <c r="F251" s="73">
        <v>-167</v>
      </c>
      <c r="G251" s="73">
        <v>-1320</v>
      </c>
      <c r="H251" s="73">
        <v>6649</v>
      </c>
      <c r="I251" s="73">
        <v>6819</v>
      </c>
      <c r="J251" s="73">
        <v>0</v>
      </c>
      <c r="K251" s="73">
        <v>0</v>
      </c>
      <c r="L251" s="73">
        <v>0</v>
      </c>
      <c r="M251" s="73">
        <v>172</v>
      </c>
      <c r="N251" s="73">
        <v>-226</v>
      </c>
      <c r="O251" s="73">
        <v>29</v>
      </c>
      <c r="P251" s="73">
        <v>0</v>
      </c>
      <c r="Q251" s="73">
        <v>0</v>
      </c>
      <c r="R251" s="73">
        <v>0</v>
      </c>
      <c r="S251" s="73">
        <v>13443</v>
      </c>
      <c r="T251" s="73">
        <v>-2460</v>
      </c>
      <c r="U251" s="73">
        <v>10983</v>
      </c>
      <c r="V251" s="73">
        <v>0</v>
      </c>
      <c r="W251" s="73">
        <v>0</v>
      </c>
      <c r="X251" s="73">
        <v>0</v>
      </c>
      <c r="Y251" s="73">
        <v>0</v>
      </c>
      <c r="Z251" s="73">
        <v>10983</v>
      </c>
      <c r="AA251" s="73">
        <v>5280</v>
      </c>
      <c r="AB251" s="73">
        <v>1586</v>
      </c>
      <c r="AC251" s="73">
        <v>6866</v>
      </c>
      <c r="AD251" s="73">
        <v>1005</v>
      </c>
      <c r="AE251" s="73">
        <v>0</v>
      </c>
      <c r="AF251" s="73">
        <v>0</v>
      </c>
      <c r="AG251" s="73">
        <v>0</v>
      </c>
      <c r="AH251" s="73">
        <v>7871</v>
      </c>
      <c r="AI251" s="73">
        <v>664</v>
      </c>
      <c r="AJ251" s="73">
        <v>705</v>
      </c>
      <c r="AK251" s="73">
        <v>71</v>
      </c>
      <c r="AL251" s="73">
        <v>-306</v>
      </c>
      <c r="AM251" s="73">
        <v>0</v>
      </c>
      <c r="AN251" s="73">
        <v>22</v>
      </c>
      <c r="AO251" s="73">
        <v>90</v>
      </c>
      <c r="AP251" s="73">
        <v>0</v>
      </c>
      <c r="AQ251" s="73">
        <v>74</v>
      </c>
      <c r="AR251" s="73">
        <v>1320</v>
      </c>
      <c r="AS251" s="73">
        <v>6551</v>
      </c>
      <c r="AT251" s="73">
        <v>8</v>
      </c>
      <c r="AU251" s="73">
        <v>95385</v>
      </c>
      <c r="AV251" s="73">
        <v>0</v>
      </c>
      <c r="AW251" s="73">
        <v>0</v>
      </c>
      <c r="AX251" s="73">
        <v>0</v>
      </c>
      <c r="AY251" s="73">
        <v>7825</v>
      </c>
      <c r="AZ251" s="73">
        <v>145</v>
      </c>
      <c r="BA251" s="73">
        <v>0</v>
      </c>
      <c r="BB251" s="73">
        <v>0</v>
      </c>
      <c r="BC251" s="73">
        <v>0</v>
      </c>
      <c r="BD251" s="73">
        <v>0</v>
      </c>
      <c r="BE251" s="73">
        <v>103355</v>
      </c>
      <c r="BF251" s="73">
        <v>14085</v>
      </c>
      <c r="BG251" s="73">
        <v>629</v>
      </c>
      <c r="BH251" s="73">
        <v>14069</v>
      </c>
      <c r="BI251" s="73">
        <v>0</v>
      </c>
      <c r="BJ251" s="73">
        <v>0</v>
      </c>
      <c r="BK251" s="73">
        <v>28783</v>
      </c>
      <c r="BL251" s="73">
        <v>379</v>
      </c>
      <c r="BM251" s="73">
        <v>0</v>
      </c>
      <c r="BN251" s="73">
        <v>0</v>
      </c>
      <c r="BO251" s="73">
        <v>11358</v>
      </c>
      <c r="BP251" s="73">
        <v>11737</v>
      </c>
      <c r="BQ251" s="73">
        <v>17046</v>
      </c>
      <c r="BR251" s="73">
        <v>120401</v>
      </c>
      <c r="BS251" s="73">
        <v>23440</v>
      </c>
      <c r="BT251" s="73">
        <v>0</v>
      </c>
      <c r="BU251" s="73">
        <v>0</v>
      </c>
      <c r="BV251" s="73">
        <v>27945</v>
      </c>
      <c r="BW251" s="73">
        <v>7504</v>
      </c>
      <c r="BX251" s="73">
        <v>0</v>
      </c>
      <c r="BY251" s="73">
        <v>5724</v>
      </c>
      <c r="BZ251" s="73">
        <v>64613</v>
      </c>
      <c r="CA251" s="73">
        <v>0</v>
      </c>
      <c r="CB251" s="73">
        <v>0</v>
      </c>
      <c r="CC251" s="73">
        <v>55788</v>
      </c>
      <c r="CD251" s="73">
        <v>55788</v>
      </c>
      <c r="CE251" s="73">
        <v>0</v>
      </c>
      <c r="CF251" s="73">
        <v>0</v>
      </c>
      <c r="CG251" s="73">
        <v>0</v>
      </c>
      <c r="CH251" s="73">
        <v>0</v>
      </c>
      <c r="CI251" s="73">
        <v>55788</v>
      </c>
      <c r="CJ251" s="73">
        <v>248</v>
      </c>
      <c r="CK251" s="73">
        <v>167</v>
      </c>
      <c r="CL251" s="73">
        <v>0</v>
      </c>
      <c r="CM251" s="73">
        <v>81</v>
      </c>
      <c r="CN251" s="73">
        <v>0</v>
      </c>
      <c r="CO251" s="73">
        <v>0</v>
      </c>
      <c r="CP251" s="73">
        <v>0</v>
      </c>
      <c r="CQ251" s="73">
        <v>0</v>
      </c>
      <c r="CR251" s="73">
        <v>0</v>
      </c>
      <c r="CS251" s="73">
        <v>0</v>
      </c>
      <c r="CT251" s="73">
        <v>0</v>
      </c>
      <c r="CU251" s="73">
        <v>0</v>
      </c>
      <c r="CV251" s="73">
        <v>0</v>
      </c>
      <c r="CW251" s="73">
        <v>0</v>
      </c>
      <c r="CX251" s="73">
        <v>0</v>
      </c>
      <c r="CY251" s="73">
        <v>0</v>
      </c>
      <c r="CZ251" s="73">
        <v>0</v>
      </c>
      <c r="DA251" s="73">
        <v>0</v>
      </c>
      <c r="DB251" s="73">
        <v>0</v>
      </c>
      <c r="DC251" s="73">
        <v>0</v>
      </c>
      <c r="DD251" s="73">
        <v>248</v>
      </c>
      <c r="DE251" s="73">
        <v>167</v>
      </c>
      <c r="DF251" s="73">
        <v>0</v>
      </c>
      <c r="DG251" s="73">
        <v>81</v>
      </c>
      <c r="DH251" s="73">
        <v>0</v>
      </c>
      <c r="DI251" s="73">
        <v>0</v>
      </c>
      <c r="DJ251" s="73">
        <v>0</v>
      </c>
      <c r="DK251" s="73">
        <v>0</v>
      </c>
      <c r="DL251" s="73">
        <v>0</v>
      </c>
      <c r="DM251" s="73">
        <v>0</v>
      </c>
      <c r="DN251" s="73">
        <v>0</v>
      </c>
      <c r="DO251" s="73">
        <v>0</v>
      </c>
      <c r="DP251" s="73">
        <v>0</v>
      </c>
      <c r="DQ251" s="73">
        <v>0</v>
      </c>
      <c r="DR251" s="73">
        <v>0</v>
      </c>
      <c r="DS251" s="73">
        <v>0</v>
      </c>
      <c r="DT251" s="73">
        <v>0</v>
      </c>
      <c r="DU251" s="73">
        <v>0</v>
      </c>
      <c r="DV251" s="73">
        <v>0</v>
      </c>
      <c r="DW251" s="73">
        <v>0</v>
      </c>
      <c r="DX251" s="73">
        <v>0</v>
      </c>
      <c r="DY251" s="73">
        <v>0</v>
      </c>
      <c r="DZ251" s="73">
        <v>0</v>
      </c>
      <c r="EA251" s="73">
        <v>0</v>
      </c>
      <c r="EB251" s="73">
        <v>17</v>
      </c>
      <c r="EC251" s="73">
        <v>0</v>
      </c>
      <c r="ED251" s="73">
        <v>0</v>
      </c>
      <c r="EE251" s="73">
        <v>17</v>
      </c>
      <c r="EF251" s="73">
        <v>17</v>
      </c>
      <c r="EG251" s="73">
        <v>0</v>
      </c>
      <c r="EH251" s="73">
        <v>0</v>
      </c>
      <c r="EI251" s="73">
        <v>17</v>
      </c>
      <c r="EJ251" s="73">
        <v>265</v>
      </c>
      <c r="EK251" s="73">
        <v>167</v>
      </c>
      <c r="EL251" s="73">
        <v>0</v>
      </c>
      <c r="EM251" s="73">
        <v>98</v>
      </c>
      <c r="EN251" s="73">
        <v>308</v>
      </c>
      <c r="EO251" s="73">
        <v>18</v>
      </c>
      <c r="EP251" s="73">
        <v>89</v>
      </c>
      <c r="EQ251" s="73">
        <v>18</v>
      </c>
      <c r="ER251" s="73">
        <v>87452</v>
      </c>
      <c r="ES251" s="73">
        <v>0</v>
      </c>
      <c r="ET251" s="73">
        <v>87452</v>
      </c>
      <c r="EU251" s="73">
        <v>21509</v>
      </c>
      <c r="EV251" s="73">
        <v>-10026</v>
      </c>
      <c r="EW251" s="73">
        <v>0</v>
      </c>
      <c r="EX251" s="73">
        <v>-1293</v>
      </c>
      <c r="EY251" s="73">
        <v>-1288</v>
      </c>
      <c r="EZ251" s="73">
        <v>96354</v>
      </c>
      <c r="FA251" s="73">
        <v>879</v>
      </c>
      <c r="FB251" s="73">
        <v>90</v>
      </c>
      <c r="FC251" s="73">
        <v>0</v>
      </c>
      <c r="FD251" s="73">
        <v>0</v>
      </c>
      <c r="FE251" s="73">
        <v>0</v>
      </c>
      <c r="FF251" s="73">
        <v>0</v>
      </c>
      <c r="FG251" s="73">
        <v>0</v>
      </c>
      <c r="FH251" s="73">
        <v>969</v>
      </c>
      <c r="FI251" s="73">
        <v>95385</v>
      </c>
      <c r="FJ251" s="73">
        <v>86573</v>
      </c>
      <c r="FK251" s="73">
        <v>9604</v>
      </c>
      <c r="FL251" s="73">
        <v>3059</v>
      </c>
      <c r="FM251" s="73">
        <v>6545</v>
      </c>
      <c r="FN251" s="73">
        <v>0</v>
      </c>
      <c r="FO251" s="73">
        <v>0</v>
      </c>
      <c r="FP251" s="73">
        <v>0</v>
      </c>
      <c r="FQ251" s="73">
        <v>0</v>
      </c>
      <c r="FR251" s="73">
        <v>0</v>
      </c>
      <c r="FS251" s="73">
        <v>0</v>
      </c>
      <c r="FT251" s="73">
        <v>450</v>
      </c>
      <c r="FU251" s="73">
        <v>205</v>
      </c>
      <c r="FV251" s="73">
        <v>245</v>
      </c>
      <c r="FW251" s="73">
        <v>0</v>
      </c>
      <c r="FX251" s="73">
        <v>0</v>
      </c>
      <c r="FY251" s="73">
        <v>0</v>
      </c>
      <c r="FZ251" s="73">
        <v>7400</v>
      </c>
      <c r="GA251" s="73">
        <v>7371</v>
      </c>
      <c r="GB251" s="73">
        <v>29</v>
      </c>
      <c r="GC251" s="73">
        <v>17454</v>
      </c>
      <c r="GD251" s="73">
        <v>10635</v>
      </c>
      <c r="GE251" s="73">
        <v>6819</v>
      </c>
      <c r="GF251" s="73">
        <v>0</v>
      </c>
      <c r="GG251" s="73">
        <v>0</v>
      </c>
      <c r="GH251" s="73">
        <v>0</v>
      </c>
      <c r="GI251" s="73">
        <v>0</v>
      </c>
      <c r="GJ251" s="73">
        <v>0</v>
      </c>
      <c r="GK251" s="73">
        <v>0</v>
      </c>
      <c r="GL251" s="73">
        <v>0</v>
      </c>
      <c r="GM251" s="73">
        <v>39</v>
      </c>
      <c r="GN251" s="73">
        <v>160</v>
      </c>
      <c r="GO251" s="73">
        <v>774</v>
      </c>
      <c r="GP251" s="73">
        <v>2582</v>
      </c>
      <c r="GQ251" s="73">
        <v>0</v>
      </c>
      <c r="GR251" s="73">
        <v>437</v>
      </c>
      <c r="GS251" s="73">
        <v>0</v>
      </c>
      <c r="GT251" s="73">
        <v>0</v>
      </c>
      <c r="GU251" s="73">
        <v>0</v>
      </c>
      <c r="GV251" s="73">
        <v>0</v>
      </c>
      <c r="GW251" s="73">
        <v>7366</v>
      </c>
      <c r="GX251" s="73">
        <v>11358</v>
      </c>
      <c r="GY251" s="73">
        <v>5724</v>
      </c>
      <c r="GZ251" s="73">
        <v>0</v>
      </c>
      <c r="HA251" s="73">
        <v>0</v>
      </c>
      <c r="HB251" s="73">
        <v>0</v>
      </c>
      <c r="HC251" s="73">
        <v>5724</v>
      </c>
      <c r="HD251" s="73">
        <v>0</v>
      </c>
      <c r="HE251" s="73">
        <v>0</v>
      </c>
      <c r="HF251" s="73">
        <v>0</v>
      </c>
      <c r="HG251" s="73">
        <v>206</v>
      </c>
      <c r="HH251" s="73">
        <v>6</v>
      </c>
      <c r="HI251" s="73">
        <v>0</v>
      </c>
      <c r="HJ251" s="73">
        <v>32</v>
      </c>
      <c r="HK251" s="73">
        <v>0</v>
      </c>
      <c r="HL251" s="73">
        <v>-18</v>
      </c>
      <c r="HM251" s="73">
        <v>226</v>
      </c>
      <c r="HN251" s="73">
        <v>5</v>
      </c>
      <c r="HO251" s="73">
        <v>90</v>
      </c>
      <c r="HP251" s="73">
        <v>0</v>
      </c>
      <c r="HQ251" s="73">
        <v>0</v>
      </c>
      <c r="HR251" s="73">
        <v>0</v>
      </c>
      <c r="HS251" s="73">
        <v>0</v>
      </c>
      <c r="HT251" s="73">
        <v>0</v>
      </c>
      <c r="HU251" s="73">
        <v>0</v>
      </c>
      <c r="HV251" s="73">
        <v>0</v>
      </c>
      <c r="HW251" s="73">
        <v>0</v>
      </c>
      <c r="HX251" s="73">
        <v>0</v>
      </c>
    </row>
    <row r="252" spans="1:232" x14ac:dyDescent="0.2">
      <c r="A252" s="74" t="s">
        <v>692</v>
      </c>
      <c r="B252" s="74" t="s">
        <v>691</v>
      </c>
      <c r="C252" s="75" t="s">
        <v>200</v>
      </c>
      <c r="D252" s="75">
        <v>12</v>
      </c>
      <c r="E252" s="76">
        <v>181273</v>
      </c>
      <c r="F252" s="76">
        <v>-19061</v>
      </c>
      <c r="G252" s="76">
        <v>-111922</v>
      </c>
      <c r="H252" s="76">
        <v>50290</v>
      </c>
      <c r="I252" s="76">
        <v>6740</v>
      </c>
      <c r="J252" s="76">
        <v>373</v>
      </c>
      <c r="K252" s="76">
        <v>0</v>
      </c>
      <c r="L252" s="76">
        <v>0</v>
      </c>
      <c r="M252" s="76">
        <v>2106</v>
      </c>
      <c r="N252" s="76">
        <v>-32397</v>
      </c>
      <c r="O252" s="76">
        <v>13451</v>
      </c>
      <c r="P252" s="76">
        <v>-1809</v>
      </c>
      <c r="Q252" s="76">
        <v>0</v>
      </c>
      <c r="R252" s="76">
        <v>0</v>
      </c>
      <c r="S252" s="76">
        <v>38754</v>
      </c>
      <c r="T252" s="76">
        <v>0</v>
      </c>
      <c r="U252" s="76">
        <v>38754</v>
      </c>
      <c r="V252" s="76">
        <v>0</v>
      </c>
      <c r="W252" s="76">
        <v>-2377</v>
      </c>
      <c r="X252" s="76">
        <v>0</v>
      </c>
      <c r="Y252" s="76">
        <v>0</v>
      </c>
      <c r="Z252" s="76">
        <v>36377</v>
      </c>
      <c r="AA252" s="76">
        <v>127816</v>
      </c>
      <c r="AB252" s="76">
        <v>13354</v>
      </c>
      <c r="AC252" s="76">
        <v>141170</v>
      </c>
      <c r="AD252" s="76">
        <v>8628</v>
      </c>
      <c r="AE252" s="76">
        <v>0</v>
      </c>
      <c r="AF252" s="76">
        <v>0</v>
      </c>
      <c r="AG252" s="76">
        <v>704</v>
      </c>
      <c r="AH252" s="76">
        <v>150502</v>
      </c>
      <c r="AI252" s="76">
        <v>42475</v>
      </c>
      <c r="AJ252" s="76">
        <v>16760</v>
      </c>
      <c r="AK252" s="76">
        <v>21092</v>
      </c>
      <c r="AL252" s="76">
        <v>3006</v>
      </c>
      <c r="AM252" s="76">
        <v>0</v>
      </c>
      <c r="AN252" s="76">
        <v>594</v>
      </c>
      <c r="AO252" s="76">
        <v>21625</v>
      </c>
      <c r="AP252" s="76">
        <v>0</v>
      </c>
      <c r="AQ252" s="76">
        <v>3373</v>
      </c>
      <c r="AR252" s="76">
        <v>108925</v>
      </c>
      <c r="AS252" s="76">
        <v>41577</v>
      </c>
      <c r="AT252" s="76">
        <v>1151</v>
      </c>
      <c r="AU252" s="76">
        <v>1678427</v>
      </c>
      <c r="AV252" s="76">
        <v>0</v>
      </c>
      <c r="AW252" s="76">
        <v>29634</v>
      </c>
      <c r="AX252" s="76">
        <v>0</v>
      </c>
      <c r="AY252" s="76">
        <v>300</v>
      </c>
      <c r="AZ252" s="76">
        <v>78608</v>
      </c>
      <c r="BA252" s="76">
        <v>1294</v>
      </c>
      <c r="BB252" s="76">
        <v>19471</v>
      </c>
      <c r="BC252" s="76">
        <v>0</v>
      </c>
      <c r="BD252" s="76">
        <v>10816</v>
      </c>
      <c r="BE252" s="76">
        <v>1818550</v>
      </c>
      <c r="BF252" s="76">
        <v>28910</v>
      </c>
      <c r="BG252" s="76">
        <v>9826</v>
      </c>
      <c r="BH252" s="76">
        <v>107592</v>
      </c>
      <c r="BI252" s="76">
        <v>0</v>
      </c>
      <c r="BJ252" s="76">
        <v>775</v>
      </c>
      <c r="BK252" s="76">
        <v>147103</v>
      </c>
      <c r="BL252" s="76">
        <v>14992</v>
      </c>
      <c r="BM252" s="76">
        <v>0</v>
      </c>
      <c r="BN252" s="76">
        <v>2563</v>
      </c>
      <c r="BO252" s="76">
        <v>32848</v>
      </c>
      <c r="BP252" s="76">
        <v>50403</v>
      </c>
      <c r="BQ252" s="76">
        <v>96700</v>
      </c>
      <c r="BR252" s="76">
        <v>1915250</v>
      </c>
      <c r="BS252" s="76">
        <v>665190</v>
      </c>
      <c r="BT252" s="76">
        <v>0</v>
      </c>
      <c r="BU252" s="76">
        <v>0</v>
      </c>
      <c r="BV252" s="76">
        <v>707406</v>
      </c>
      <c r="BW252" s="76">
        <v>300</v>
      </c>
      <c r="BX252" s="76">
        <v>48547</v>
      </c>
      <c r="BY252" s="76">
        <v>10399</v>
      </c>
      <c r="BZ252" s="76">
        <v>1431842</v>
      </c>
      <c r="CA252" s="76">
        <v>9859</v>
      </c>
      <c r="CB252" s="76">
        <v>0</v>
      </c>
      <c r="CC252" s="76">
        <v>473549</v>
      </c>
      <c r="CD252" s="76">
        <v>473119</v>
      </c>
      <c r="CE252" s="76">
        <v>0</v>
      </c>
      <c r="CF252" s="76">
        <v>0</v>
      </c>
      <c r="CG252" s="76">
        <v>0</v>
      </c>
      <c r="CH252" s="76">
        <v>430</v>
      </c>
      <c r="CI252" s="76">
        <v>473549</v>
      </c>
      <c r="CJ252" s="76">
        <v>18685</v>
      </c>
      <c r="CK252" s="76">
        <v>13748</v>
      </c>
      <c r="CL252" s="76">
        <v>0</v>
      </c>
      <c r="CM252" s="76">
        <v>4937</v>
      </c>
      <c r="CN252" s="76">
        <v>2944</v>
      </c>
      <c r="CO252" s="76">
        <v>0</v>
      </c>
      <c r="CP252" s="76">
        <v>2264</v>
      </c>
      <c r="CQ252" s="76">
        <v>680</v>
      </c>
      <c r="CR252" s="76">
        <v>0</v>
      </c>
      <c r="CS252" s="76">
        <v>0</v>
      </c>
      <c r="CT252" s="76">
        <v>0</v>
      </c>
      <c r="CU252" s="76">
        <v>0</v>
      </c>
      <c r="CV252" s="76">
        <v>0</v>
      </c>
      <c r="CW252" s="76">
        <v>0</v>
      </c>
      <c r="CX252" s="76">
        <v>0</v>
      </c>
      <c r="CY252" s="76">
        <v>0</v>
      </c>
      <c r="CZ252" s="76">
        <v>0</v>
      </c>
      <c r="DA252" s="76">
        <v>0</v>
      </c>
      <c r="DB252" s="76">
        <v>0</v>
      </c>
      <c r="DC252" s="76">
        <v>0</v>
      </c>
      <c r="DD252" s="76">
        <v>21629</v>
      </c>
      <c r="DE252" s="76">
        <v>13748</v>
      </c>
      <c r="DF252" s="76">
        <v>2264</v>
      </c>
      <c r="DG252" s="76">
        <v>5617</v>
      </c>
      <c r="DH252" s="76">
        <v>0</v>
      </c>
      <c r="DI252" s="76">
        <v>0</v>
      </c>
      <c r="DJ252" s="76">
        <v>0</v>
      </c>
      <c r="DK252" s="76">
        <v>0</v>
      </c>
      <c r="DL252" s="76">
        <v>0</v>
      </c>
      <c r="DM252" s="76">
        <v>0</v>
      </c>
      <c r="DN252" s="76">
        <v>0</v>
      </c>
      <c r="DO252" s="76">
        <v>0</v>
      </c>
      <c r="DP252" s="76">
        <v>0</v>
      </c>
      <c r="DQ252" s="76">
        <v>0</v>
      </c>
      <c r="DR252" s="76">
        <v>0</v>
      </c>
      <c r="DS252" s="76">
        <v>0</v>
      </c>
      <c r="DT252" s="76">
        <v>760</v>
      </c>
      <c r="DU252" s="76">
        <v>0</v>
      </c>
      <c r="DV252" s="76">
        <v>379</v>
      </c>
      <c r="DW252" s="76">
        <v>381</v>
      </c>
      <c r="DX252" s="76">
        <v>0</v>
      </c>
      <c r="DY252" s="76">
        <v>0</v>
      </c>
      <c r="DZ252" s="76">
        <v>0</v>
      </c>
      <c r="EA252" s="76">
        <v>0</v>
      </c>
      <c r="EB252" s="76">
        <v>8382</v>
      </c>
      <c r="EC252" s="76">
        <v>5313</v>
      </c>
      <c r="ED252" s="76">
        <v>354</v>
      </c>
      <c r="EE252" s="76">
        <v>2715</v>
      </c>
      <c r="EF252" s="76">
        <v>9142</v>
      </c>
      <c r="EG252" s="76">
        <v>5313</v>
      </c>
      <c r="EH252" s="76">
        <v>733</v>
      </c>
      <c r="EI252" s="76">
        <v>3096</v>
      </c>
      <c r="EJ252" s="76">
        <v>30771</v>
      </c>
      <c r="EK252" s="76">
        <v>19061</v>
      </c>
      <c r="EL252" s="76">
        <v>2997</v>
      </c>
      <c r="EM252" s="76">
        <v>8713</v>
      </c>
      <c r="EN252" s="76">
        <v>6178</v>
      </c>
      <c r="EO252" s="76">
        <v>1992</v>
      </c>
      <c r="EP252" s="76">
        <v>1078</v>
      </c>
      <c r="EQ252" s="76">
        <v>1992</v>
      </c>
      <c r="ER252" s="76">
        <v>1803766</v>
      </c>
      <c r="ES252" s="76">
        <v>0</v>
      </c>
      <c r="ET252" s="76">
        <v>1803766</v>
      </c>
      <c r="EU252" s="76">
        <v>84349</v>
      </c>
      <c r="EV252" s="76">
        <v>-7348</v>
      </c>
      <c r="EW252" s="76">
        <v>0</v>
      </c>
      <c r="EX252" s="76">
        <v>0</v>
      </c>
      <c r="EY252" s="76">
        <v>-19542</v>
      </c>
      <c r="EZ252" s="76">
        <v>1861225</v>
      </c>
      <c r="FA252" s="76">
        <v>164364</v>
      </c>
      <c r="FB252" s="76">
        <v>19419</v>
      </c>
      <c r="FC252" s="76">
        <v>0</v>
      </c>
      <c r="FD252" s="76">
        <v>0</v>
      </c>
      <c r="FE252" s="76">
        <v>-985</v>
      </c>
      <c r="FF252" s="76">
        <v>0</v>
      </c>
      <c r="FG252" s="76">
        <v>0</v>
      </c>
      <c r="FH252" s="76">
        <v>182798</v>
      </c>
      <c r="FI252" s="76">
        <v>1678427</v>
      </c>
      <c r="FJ252" s="76">
        <v>1639402</v>
      </c>
      <c r="FK252" s="76">
        <v>12320</v>
      </c>
      <c r="FL252" s="76">
        <v>7265</v>
      </c>
      <c r="FM252" s="76">
        <v>5055</v>
      </c>
      <c r="FN252" s="76">
        <v>1323</v>
      </c>
      <c r="FO252" s="76">
        <v>281</v>
      </c>
      <c r="FP252" s="76">
        <v>1042</v>
      </c>
      <c r="FQ252" s="76">
        <v>0</v>
      </c>
      <c r="FR252" s="76">
        <v>0</v>
      </c>
      <c r="FS252" s="76">
        <v>0</v>
      </c>
      <c r="FT252" s="76">
        <v>0</v>
      </c>
      <c r="FU252" s="76">
        <v>0</v>
      </c>
      <c r="FV252" s="76">
        <v>0</v>
      </c>
      <c r="FW252" s="76">
        <v>0</v>
      </c>
      <c r="FX252" s="76">
        <v>0</v>
      </c>
      <c r="FY252" s="76">
        <v>0</v>
      </c>
      <c r="FZ252" s="76">
        <v>764</v>
      </c>
      <c r="GA252" s="76">
        <v>121</v>
      </c>
      <c r="GB252" s="76">
        <v>643</v>
      </c>
      <c r="GC252" s="76">
        <v>14407</v>
      </c>
      <c r="GD252" s="76">
        <v>7667</v>
      </c>
      <c r="GE252" s="76">
        <v>6740</v>
      </c>
      <c r="GF252" s="76">
        <v>775</v>
      </c>
      <c r="GG252" s="76">
        <v>0</v>
      </c>
      <c r="GH252" s="76">
        <v>0</v>
      </c>
      <c r="GI252" s="76">
        <v>0</v>
      </c>
      <c r="GJ252" s="76">
        <v>0</v>
      </c>
      <c r="GK252" s="76">
        <v>0</v>
      </c>
      <c r="GL252" s="76">
        <v>775</v>
      </c>
      <c r="GM252" s="76">
        <v>2331</v>
      </c>
      <c r="GN252" s="76">
        <v>0</v>
      </c>
      <c r="GO252" s="76">
        <v>3319</v>
      </c>
      <c r="GP252" s="76">
        <v>2223</v>
      </c>
      <c r="GQ252" s="76">
        <v>0</v>
      </c>
      <c r="GR252" s="76">
        <v>14803</v>
      </c>
      <c r="GS252" s="76">
        <v>0</v>
      </c>
      <c r="GT252" s="76">
        <v>0</v>
      </c>
      <c r="GU252" s="76">
        <v>614</v>
      </c>
      <c r="GV252" s="76">
        <v>665</v>
      </c>
      <c r="GW252" s="76">
        <v>8893</v>
      </c>
      <c r="GX252" s="76">
        <v>32848</v>
      </c>
      <c r="GY252" s="76">
        <v>5189</v>
      </c>
      <c r="GZ252" s="76">
        <v>100</v>
      </c>
      <c r="HA252" s="76">
        <v>4614</v>
      </c>
      <c r="HB252" s="76">
        <v>496</v>
      </c>
      <c r="HC252" s="76">
        <v>10399</v>
      </c>
      <c r="HD252" s="76">
        <v>0</v>
      </c>
      <c r="HE252" s="76">
        <v>0</v>
      </c>
      <c r="HF252" s="76">
        <v>0</v>
      </c>
      <c r="HG252" s="76">
        <v>33829</v>
      </c>
      <c r="HH252" s="76">
        <v>165</v>
      </c>
      <c r="HI252" s="76">
        <v>368</v>
      </c>
      <c r="HJ252" s="76">
        <v>32</v>
      </c>
      <c r="HK252" s="76">
        <v>1673</v>
      </c>
      <c r="HL252" s="76">
        <v>-3670</v>
      </c>
      <c r="HM252" s="76">
        <v>32397</v>
      </c>
      <c r="HN252" s="76">
        <v>17407</v>
      </c>
      <c r="HO252" s="76">
        <v>21625</v>
      </c>
      <c r="HP252" s="76">
        <v>0</v>
      </c>
      <c r="HQ252" s="76">
        <v>311</v>
      </c>
      <c r="HR252" s="76">
        <v>-5</v>
      </c>
      <c r="HS252" s="76">
        <v>-32</v>
      </c>
      <c r="HT252" s="76">
        <v>27425</v>
      </c>
      <c r="HU252" s="76">
        <v>48</v>
      </c>
      <c r="HV252" s="76">
        <v>0</v>
      </c>
      <c r="HW252" s="76">
        <v>-3</v>
      </c>
      <c r="HX252" s="76">
        <v>115</v>
      </c>
    </row>
    <row r="253" spans="1:232" x14ac:dyDescent="0.2">
      <c r="A253" s="74" t="s">
        <v>693</v>
      </c>
      <c r="B253" s="74" t="s">
        <v>694</v>
      </c>
      <c r="C253" s="75" t="s">
        <v>200</v>
      </c>
      <c r="D253" s="75">
        <v>12</v>
      </c>
      <c r="E253" s="76">
        <v>27672</v>
      </c>
      <c r="F253" s="76">
        <v>0</v>
      </c>
      <c r="G253" s="76">
        <v>-18601</v>
      </c>
      <c r="H253" s="76">
        <v>9071</v>
      </c>
      <c r="I253" s="76">
        <v>3025</v>
      </c>
      <c r="J253" s="76">
        <v>0</v>
      </c>
      <c r="K253" s="76">
        <v>0</v>
      </c>
      <c r="L253" s="76">
        <v>0</v>
      </c>
      <c r="M253" s="76">
        <v>66</v>
      </c>
      <c r="N253" s="76">
        <v>-3863</v>
      </c>
      <c r="O253" s="76">
        <v>0</v>
      </c>
      <c r="P253" s="76">
        <v>0</v>
      </c>
      <c r="Q253" s="76">
        <v>0</v>
      </c>
      <c r="R253" s="76">
        <v>0</v>
      </c>
      <c r="S253" s="76">
        <v>8299</v>
      </c>
      <c r="T253" s="76">
        <v>0</v>
      </c>
      <c r="U253" s="76">
        <v>8299</v>
      </c>
      <c r="V253" s="76">
        <v>0</v>
      </c>
      <c r="W253" s="76">
        <v>177</v>
      </c>
      <c r="X253" s="76">
        <v>0</v>
      </c>
      <c r="Y253" s="76">
        <v>0</v>
      </c>
      <c r="Z253" s="76">
        <v>8476</v>
      </c>
      <c r="AA253" s="76">
        <v>25996</v>
      </c>
      <c r="AB253" s="76">
        <v>221</v>
      </c>
      <c r="AC253" s="76">
        <v>26217</v>
      </c>
      <c r="AD253" s="76">
        <v>1195</v>
      </c>
      <c r="AE253" s="76">
        <v>0</v>
      </c>
      <c r="AF253" s="76">
        <v>9</v>
      </c>
      <c r="AG253" s="76">
        <v>13</v>
      </c>
      <c r="AH253" s="76">
        <v>27434</v>
      </c>
      <c r="AI253" s="76">
        <v>5519</v>
      </c>
      <c r="AJ253" s="76">
        <v>270</v>
      </c>
      <c r="AK253" s="76">
        <v>2768</v>
      </c>
      <c r="AL253" s="76">
        <v>1182</v>
      </c>
      <c r="AM253" s="76">
        <v>656</v>
      </c>
      <c r="AN253" s="76">
        <v>164</v>
      </c>
      <c r="AO253" s="76">
        <v>5154</v>
      </c>
      <c r="AP253" s="76">
        <v>879</v>
      </c>
      <c r="AQ253" s="76">
        <v>738</v>
      </c>
      <c r="AR253" s="76">
        <v>17330</v>
      </c>
      <c r="AS253" s="76">
        <v>10104</v>
      </c>
      <c r="AT253" s="76">
        <v>84</v>
      </c>
      <c r="AU253" s="76">
        <v>114255</v>
      </c>
      <c r="AV253" s="76">
        <v>0</v>
      </c>
      <c r="AW253" s="76">
        <v>1199</v>
      </c>
      <c r="AX253" s="76">
        <v>0</v>
      </c>
      <c r="AY253" s="76">
        <v>0</v>
      </c>
      <c r="AZ253" s="76">
        <v>3671</v>
      </c>
      <c r="BA253" s="76">
        <v>0</v>
      </c>
      <c r="BB253" s="76">
        <v>0</v>
      </c>
      <c r="BC253" s="76">
        <v>0</v>
      </c>
      <c r="BD253" s="76">
        <v>0</v>
      </c>
      <c r="BE253" s="76">
        <v>119125</v>
      </c>
      <c r="BF253" s="76">
        <v>0</v>
      </c>
      <c r="BG253" s="76">
        <v>2060</v>
      </c>
      <c r="BH253" s="76">
        <v>17472</v>
      </c>
      <c r="BI253" s="76">
        <v>0</v>
      </c>
      <c r="BJ253" s="76">
        <v>93</v>
      </c>
      <c r="BK253" s="76">
        <v>19625</v>
      </c>
      <c r="BL253" s="76">
        <v>3319</v>
      </c>
      <c r="BM253" s="76">
        <v>0</v>
      </c>
      <c r="BN253" s="76">
        <v>1195</v>
      </c>
      <c r="BO253" s="76">
        <v>2892</v>
      </c>
      <c r="BP253" s="76">
        <v>7406</v>
      </c>
      <c r="BQ253" s="76">
        <v>12219</v>
      </c>
      <c r="BR253" s="76">
        <v>131344</v>
      </c>
      <c r="BS253" s="76">
        <v>55917</v>
      </c>
      <c r="BT253" s="76">
        <v>0</v>
      </c>
      <c r="BU253" s="76">
        <v>0</v>
      </c>
      <c r="BV253" s="76">
        <v>23648</v>
      </c>
      <c r="BW253" s="76">
        <v>0</v>
      </c>
      <c r="BX253" s="76">
        <v>0</v>
      </c>
      <c r="BY253" s="76">
        <v>0</v>
      </c>
      <c r="BZ253" s="76">
        <v>79565</v>
      </c>
      <c r="CA253" s="76">
        <v>6806</v>
      </c>
      <c r="CB253" s="76">
        <v>0</v>
      </c>
      <c r="CC253" s="76">
        <v>44973</v>
      </c>
      <c r="CD253" s="76">
        <v>44973</v>
      </c>
      <c r="CE253" s="76">
        <v>0</v>
      </c>
      <c r="CF253" s="76">
        <v>0</v>
      </c>
      <c r="CG253" s="76">
        <v>0</v>
      </c>
      <c r="CH253" s="76">
        <v>0</v>
      </c>
      <c r="CI253" s="76">
        <v>44973</v>
      </c>
      <c r="CJ253" s="76">
        <v>0</v>
      </c>
      <c r="CK253" s="76">
        <v>0</v>
      </c>
      <c r="CL253" s="76">
        <v>0</v>
      </c>
      <c r="CM253" s="76">
        <v>0</v>
      </c>
      <c r="CN253" s="76">
        <v>0</v>
      </c>
      <c r="CO253" s="76">
        <v>0</v>
      </c>
      <c r="CP253" s="76">
        <v>0</v>
      </c>
      <c r="CQ253" s="76">
        <v>0</v>
      </c>
      <c r="CR253" s="76">
        <v>0</v>
      </c>
      <c r="CS253" s="76">
        <v>0</v>
      </c>
      <c r="CT253" s="76">
        <v>0</v>
      </c>
      <c r="CU253" s="76">
        <v>0</v>
      </c>
      <c r="CV253" s="76">
        <v>110</v>
      </c>
      <c r="CW253" s="76">
        <v>0</v>
      </c>
      <c r="CX253" s="76">
        <v>1190</v>
      </c>
      <c r="CY253" s="76">
        <v>-1080</v>
      </c>
      <c r="CZ253" s="76">
        <v>0</v>
      </c>
      <c r="DA253" s="76">
        <v>0</v>
      </c>
      <c r="DB253" s="76">
        <v>0</v>
      </c>
      <c r="DC253" s="76">
        <v>0</v>
      </c>
      <c r="DD253" s="76">
        <v>110</v>
      </c>
      <c r="DE253" s="76">
        <v>0</v>
      </c>
      <c r="DF253" s="76">
        <v>1190</v>
      </c>
      <c r="DG253" s="76">
        <v>-1080</v>
      </c>
      <c r="DH253" s="76">
        <v>0</v>
      </c>
      <c r="DI253" s="76">
        <v>0</v>
      </c>
      <c r="DJ253" s="76">
        <v>0</v>
      </c>
      <c r="DK253" s="76">
        <v>0</v>
      </c>
      <c r="DL253" s="76">
        <v>0</v>
      </c>
      <c r="DM253" s="76">
        <v>0</v>
      </c>
      <c r="DN253" s="76">
        <v>0</v>
      </c>
      <c r="DO253" s="76">
        <v>0</v>
      </c>
      <c r="DP253" s="76">
        <v>0</v>
      </c>
      <c r="DQ253" s="76">
        <v>0</v>
      </c>
      <c r="DR253" s="76">
        <v>0</v>
      </c>
      <c r="DS253" s="76">
        <v>0</v>
      </c>
      <c r="DT253" s="76">
        <v>66</v>
      </c>
      <c r="DU253" s="76">
        <v>0</v>
      </c>
      <c r="DV253" s="76">
        <v>26</v>
      </c>
      <c r="DW253" s="76">
        <v>40</v>
      </c>
      <c r="DX253" s="76">
        <v>0</v>
      </c>
      <c r="DY253" s="76">
        <v>0</v>
      </c>
      <c r="DZ253" s="76">
        <v>0</v>
      </c>
      <c r="EA253" s="76">
        <v>0</v>
      </c>
      <c r="EB253" s="76">
        <v>63</v>
      </c>
      <c r="EC253" s="76">
        <v>0</v>
      </c>
      <c r="ED253" s="76">
        <v>56</v>
      </c>
      <c r="EE253" s="76">
        <v>7</v>
      </c>
      <c r="EF253" s="76">
        <v>129</v>
      </c>
      <c r="EG253" s="76">
        <v>0</v>
      </c>
      <c r="EH253" s="76">
        <v>82</v>
      </c>
      <c r="EI253" s="76">
        <v>47</v>
      </c>
      <c r="EJ253" s="76">
        <v>239</v>
      </c>
      <c r="EK253" s="76">
        <v>0</v>
      </c>
      <c r="EL253" s="76">
        <v>1272</v>
      </c>
      <c r="EM253" s="76">
        <v>-1033</v>
      </c>
      <c r="EN253" s="76">
        <v>1780</v>
      </c>
      <c r="EO253" s="76">
        <v>1237</v>
      </c>
      <c r="EP253" s="76">
        <v>1219</v>
      </c>
      <c r="EQ253" s="76">
        <v>1237</v>
      </c>
      <c r="ER253" s="76">
        <v>147118</v>
      </c>
      <c r="ES253" s="76">
        <v>0</v>
      </c>
      <c r="ET253" s="76">
        <v>147118</v>
      </c>
      <c r="EU253" s="76">
        <v>4361</v>
      </c>
      <c r="EV253" s="76">
        <v>-1203</v>
      </c>
      <c r="EW253" s="76">
        <v>0</v>
      </c>
      <c r="EX253" s="76">
        <v>0</v>
      </c>
      <c r="EY253" s="76">
        <v>0</v>
      </c>
      <c r="EZ253" s="76">
        <v>150276</v>
      </c>
      <c r="FA253" s="76">
        <v>30292</v>
      </c>
      <c r="FB253" s="76">
        <v>5155</v>
      </c>
      <c r="FC253" s="76">
        <v>879</v>
      </c>
      <c r="FD253" s="76">
        <v>0</v>
      </c>
      <c r="FE253" s="76">
        <v>-305</v>
      </c>
      <c r="FF253" s="76">
        <v>0</v>
      </c>
      <c r="FG253" s="76">
        <v>0</v>
      </c>
      <c r="FH253" s="76">
        <v>36021</v>
      </c>
      <c r="FI253" s="76">
        <v>114255</v>
      </c>
      <c r="FJ253" s="76">
        <v>116826</v>
      </c>
      <c r="FK253" s="76">
        <v>0</v>
      </c>
      <c r="FL253" s="76">
        <v>0</v>
      </c>
      <c r="FM253" s="76">
        <v>0</v>
      </c>
      <c r="FN253" s="76">
        <v>4214</v>
      </c>
      <c r="FO253" s="76">
        <v>1189</v>
      </c>
      <c r="FP253" s="76">
        <v>3025</v>
      </c>
      <c r="FQ253" s="76">
        <v>0</v>
      </c>
      <c r="FR253" s="76">
        <v>0</v>
      </c>
      <c r="FS253" s="76">
        <v>0</v>
      </c>
      <c r="FT253" s="76">
        <v>0</v>
      </c>
      <c r="FU253" s="76">
        <v>0</v>
      </c>
      <c r="FV253" s="76">
        <v>0</v>
      </c>
      <c r="FW253" s="76">
        <v>0</v>
      </c>
      <c r="FX253" s="76">
        <v>0</v>
      </c>
      <c r="FY253" s="76">
        <v>0</v>
      </c>
      <c r="FZ253" s="76">
        <v>0</v>
      </c>
      <c r="GA253" s="76">
        <v>0</v>
      </c>
      <c r="GB253" s="76">
        <v>0</v>
      </c>
      <c r="GC253" s="76">
        <v>4214</v>
      </c>
      <c r="GD253" s="76">
        <v>1189</v>
      </c>
      <c r="GE253" s="76">
        <v>3025</v>
      </c>
      <c r="GF253" s="76">
        <v>0</v>
      </c>
      <c r="GG253" s="76">
        <v>0</v>
      </c>
      <c r="GH253" s="76">
        <v>0</v>
      </c>
      <c r="GI253" s="76">
        <v>0</v>
      </c>
      <c r="GJ253" s="76">
        <v>0</v>
      </c>
      <c r="GK253" s="76">
        <v>93</v>
      </c>
      <c r="GL253" s="76">
        <v>93</v>
      </c>
      <c r="GM253" s="76">
        <v>267</v>
      </c>
      <c r="GN253" s="76">
        <v>526</v>
      </c>
      <c r="GO253" s="76">
        <v>0</v>
      </c>
      <c r="GP253" s="76">
        <v>0</v>
      </c>
      <c r="GQ253" s="76">
        <v>0</v>
      </c>
      <c r="GR253" s="76">
        <v>1174</v>
      </c>
      <c r="GS253" s="76">
        <v>0</v>
      </c>
      <c r="GT253" s="76">
        <v>0</v>
      </c>
      <c r="GU253" s="76">
        <v>0</v>
      </c>
      <c r="GV253" s="76">
        <v>0</v>
      </c>
      <c r="GW253" s="76">
        <v>925</v>
      </c>
      <c r="GX253" s="76">
        <v>2892</v>
      </c>
      <c r="GY253" s="76">
        <v>0</v>
      </c>
      <c r="GZ253" s="76">
        <v>0</v>
      </c>
      <c r="HA253" s="76">
        <v>0</v>
      </c>
      <c r="HB253" s="76">
        <v>0</v>
      </c>
      <c r="HC253" s="76">
        <v>0</v>
      </c>
      <c r="HD253" s="76">
        <v>0</v>
      </c>
      <c r="HE253" s="76">
        <v>0</v>
      </c>
      <c r="HF253" s="76">
        <v>0</v>
      </c>
      <c r="HG253" s="76">
        <v>3663</v>
      </c>
      <c r="HH253" s="76">
        <v>99</v>
      </c>
      <c r="HI253" s="76">
        <v>0</v>
      </c>
      <c r="HJ253" s="76">
        <v>0</v>
      </c>
      <c r="HK253" s="76">
        <v>241</v>
      </c>
      <c r="HL253" s="76">
        <v>-140</v>
      </c>
      <c r="HM253" s="76">
        <v>3863</v>
      </c>
      <c r="HN253" s="76">
        <v>600</v>
      </c>
      <c r="HO253" s="76">
        <v>5403</v>
      </c>
      <c r="HP253" s="76">
        <v>879</v>
      </c>
      <c r="HQ253" s="76">
        <v>41</v>
      </c>
      <c r="HR253" s="76">
        <v>-53</v>
      </c>
      <c r="HS253" s="76">
        <v>0</v>
      </c>
      <c r="HT253" s="76">
        <v>5838</v>
      </c>
      <c r="HU253" s="76">
        <v>9</v>
      </c>
      <c r="HV253" s="76">
        <v>0</v>
      </c>
      <c r="HW253" s="76">
        <v>0</v>
      </c>
      <c r="HX253" s="76">
        <v>14</v>
      </c>
    </row>
    <row r="254" spans="1:232" x14ac:dyDescent="0.2">
      <c r="A254" s="74" t="s">
        <v>695</v>
      </c>
      <c r="B254" s="74" t="s">
        <v>696</v>
      </c>
      <c r="C254" s="75" t="s">
        <v>200</v>
      </c>
      <c r="D254" s="75">
        <v>12</v>
      </c>
      <c r="E254" s="76">
        <v>349446</v>
      </c>
      <c r="F254" s="76">
        <v>-34511</v>
      </c>
      <c r="G254" s="76">
        <v>-183540</v>
      </c>
      <c r="H254" s="76">
        <v>131395</v>
      </c>
      <c r="I254" s="76">
        <v>11788</v>
      </c>
      <c r="J254" s="76">
        <v>5523</v>
      </c>
      <c r="K254" s="76">
        <v>0</v>
      </c>
      <c r="L254" s="76">
        <v>0</v>
      </c>
      <c r="M254" s="76">
        <v>2806</v>
      </c>
      <c r="N254" s="76">
        <v>-65228</v>
      </c>
      <c r="O254" s="76">
        <v>4016</v>
      </c>
      <c r="P254" s="76">
        <v>-637</v>
      </c>
      <c r="Q254" s="76">
        <v>-200</v>
      </c>
      <c r="R254" s="76">
        <v>0</v>
      </c>
      <c r="S254" s="76">
        <v>89463</v>
      </c>
      <c r="T254" s="76">
        <v>0</v>
      </c>
      <c r="U254" s="76">
        <v>89463</v>
      </c>
      <c r="V254" s="76">
        <v>0</v>
      </c>
      <c r="W254" s="76">
        <v>-6180</v>
      </c>
      <c r="X254" s="76">
        <v>4489</v>
      </c>
      <c r="Y254" s="76">
        <v>0</v>
      </c>
      <c r="Z254" s="76">
        <v>87772</v>
      </c>
      <c r="AA254" s="76">
        <v>278602</v>
      </c>
      <c r="AB254" s="76">
        <v>15114</v>
      </c>
      <c r="AC254" s="76">
        <v>293716</v>
      </c>
      <c r="AD254" s="76">
        <v>2605</v>
      </c>
      <c r="AE254" s="76">
        <v>669</v>
      </c>
      <c r="AF254" s="76">
        <v>0</v>
      </c>
      <c r="AG254" s="76">
        <v>0</v>
      </c>
      <c r="AH254" s="76">
        <v>296990</v>
      </c>
      <c r="AI254" s="76">
        <v>56343</v>
      </c>
      <c r="AJ254" s="76">
        <v>13920</v>
      </c>
      <c r="AK254" s="76">
        <v>37632</v>
      </c>
      <c r="AL254" s="76">
        <v>11032</v>
      </c>
      <c r="AM254" s="76">
        <v>21935</v>
      </c>
      <c r="AN254" s="76">
        <v>1423</v>
      </c>
      <c r="AO254" s="76">
        <v>35132</v>
      </c>
      <c r="AP254" s="76">
        <v>0</v>
      </c>
      <c r="AQ254" s="76">
        <v>285</v>
      </c>
      <c r="AR254" s="76">
        <v>177702</v>
      </c>
      <c r="AS254" s="76">
        <v>119288</v>
      </c>
      <c r="AT254" s="76">
        <v>1704</v>
      </c>
      <c r="AU254" s="76">
        <v>3381345</v>
      </c>
      <c r="AV254" s="76">
        <v>0</v>
      </c>
      <c r="AW254" s="76">
        <v>38373</v>
      </c>
      <c r="AX254" s="76">
        <v>0</v>
      </c>
      <c r="AY254" s="76">
        <v>12810</v>
      </c>
      <c r="AZ254" s="76">
        <v>89410</v>
      </c>
      <c r="BA254" s="76">
        <v>0</v>
      </c>
      <c r="BB254" s="76">
        <v>0</v>
      </c>
      <c r="BC254" s="76">
        <v>0</v>
      </c>
      <c r="BD254" s="76">
        <v>14890</v>
      </c>
      <c r="BE254" s="76">
        <v>3536828</v>
      </c>
      <c r="BF254" s="76">
        <v>27991</v>
      </c>
      <c r="BG254" s="76">
        <v>6003</v>
      </c>
      <c r="BH254" s="76">
        <v>11049</v>
      </c>
      <c r="BI254" s="76">
        <v>31176</v>
      </c>
      <c r="BJ254" s="76">
        <v>76516</v>
      </c>
      <c r="BK254" s="76">
        <v>152735</v>
      </c>
      <c r="BL254" s="76">
        <v>25191</v>
      </c>
      <c r="BM254" s="76">
        <v>0</v>
      </c>
      <c r="BN254" s="76">
        <v>3075</v>
      </c>
      <c r="BO254" s="76">
        <v>67721</v>
      </c>
      <c r="BP254" s="76">
        <v>95987</v>
      </c>
      <c r="BQ254" s="76">
        <v>56748</v>
      </c>
      <c r="BR254" s="76">
        <v>3593576</v>
      </c>
      <c r="BS254" s="76">
        <v>1148961</v>
      </c>
      <c r="BT254" s="76">
        <v>425000</v>
      </c>
      <c r="BU254" s="76">
        <v>2449</v>
      </c>
      <c r="BV254" s="76">
        <v>288469</v>
      </c>
      <c r="BW254" s="76">
        <v>10865</v>
      </c>
      <c r="BX254" s="76">
        <v>96932</v>
      </c>
      <c r="BY254" s="76">
        <v>41009</v>
      </c>
      <c r="BZ254" s="76">
        <v>2013685</v>
      </c>
      <c r="CA254" s="76">
        <v>34147</v>
      </c>
      <c r="CB254" s="76">
        <v>1819</v>
      </c>
      <c r="CC254" s="76">
        <v>1543925</v>
      </c>
      <c r="CD254" s="76">
        <v>1006699</v>
      </c>
      <c r="CE254" s="76">
        <v>581528</v>
      </c>
      <c r="CF254" s="76">
        <v>0</v>
      </c>
      <c r="CG254" s="76">
        <v>-44302</v>
      </c>
      <c r="CH254" s="76">
        <v>0</v>
      </c>
      <c r="CI254" s="76">
        <v>1543925</v>
      </c>
      <c r="CJ254" s="76">
        <v>41974</v>
      </c>
      <c r="CK254" s="76">
        <v>34511</v>
      </c>
      <c r="CL254" s="76">
        <v>214</v>
      </c>
      <c r="CM254" s="76">
        <v>7249</v>
      </c>
      <c r="CN254" s="76">
        <v>701</v>
      </c>
      <c r="CO254" s="76">
        <v>0</v>
      </c>
      <c r="CP254" s="76">
        <v>0</v>
      </c>
      <c r="CQ254" s="76">
        <v>701</v>
      </c>
      <c r="CR254" s="76">
        <v>231</v>
      </c>
      <c r="CS254" s="76">
        <v>0</v>
      </c>
      <c r="CT254" s="76">
        <v>221</v>
      </c>
      <c r="CU254" s="76">
        <v>10</v>
      </c>
      <c r="CV254" s="76">
        <v>0</v>
      </c>
      <c r="CW254" s="76">
        <v>0</v>
      </c>
      <c r="CX254" s="76">
        <v>1360</v>
      </c>
      <c r="CY254" s="76">
        <v>-1360</v>
      </c>
      <c r="CZ254" s="76">
        <v>2559</v>
      </c>
      <c r="DA254" s="76">
        <v>0</v>
      </c>
      <c r="DB254" s="76">
        <v>0</v>
      </c>
      <c r="DC254" s="76">
        <v>2559</v>
      </c>
      <c r="DD254" s="76">
        <v>45465</v>
      </c>
      <c r="DE254" s="76">
        <v>34511</v>
      </c>
      <c r="DF254" s="76">
        <v>1795</v>
      </c>
      <c r="DG254" s="76">
        <v>9159</v>
      </c>
      <c r="DH254" s="76">
        <v>0</v>
      </c>
      <c r="DI254" s="76">
        <v>0</v>
      </c>
      <c r="DJ254" s="76">
        <v>0</v>
      </c>
      <c r="DK254" s="76">
        <v>0</v>
      </c>
      <c r="DL254" s="76">
        <v>0</v>
      </c>
      <c r="DM254" s="76">
        <v>0</v>
      </c>
      <c r="DN254" s="76">
        <v>0</v>
      </c>
      <c r="DO254" s="76">
        <v>0</v>
      </c>
      <c r="DP254" s="76">
        <v>0</v>
      </c>
      <c r="DQ254" s="76">
        <v>0</v>
      </c>
      <c r="DR254" s="76">
        <v>0</v>
      </c>
      <c r="DS254" s="76">
        <v>0</v>
      </c>
      <c r="DT254" s="76">
        <v>6947</v>
      </c>
      <c r="DU254" s="76">
        <v>0</v>
      </c>
      <c r="DV254" s="76">
        <v>3187</v>
      </c>
      <c r="DW254" s="76">
        <v>3760</v>
      </c>
      <c r="DX254" s="76">
        <v>0</v>
      </c>
      <c r="DY254" s="76">
        <v>0</v>
      </c>
      <c r="DZ254" s="76">
        <v>0</v>
      </c>
      <c r="EA254" s="76">
        <v>0</v>
      </c>
      <c r="EB254" s="76">
        <v>44</v>
      </c>
      <c r="EC254" s="76">
        <v>0</v>
      </c>
      <c r="ED254" s="76">
        <v>856</v>
      </c>
      <c r="EE254" s="76">
        <v>-812</v>
      </c>
      <c r="EF254" s="76">
        <v>6991</v>
      </c>
      <c r="EG254" s="76">
        <v>0</v>
      </c>
      <c r="EH254" s="76">
        <v>4043</v>
      </c>
      <c r="EI254" s="76">
        <v>2948</v>
      </c>
      <c r="EJ254" s="76">
        <v>52456</v>
      </c>
      <c r="EK254" s="76">
        <v>34511</v>
      </c>
      <c r="EL254" s="76">
        <v>5838</v>
      </c>
      <c r="EM254" s="76">
        <v>12107</v>
      </c>
      <c r="EN254" s="76">
        <v>6714</v>
      </c>
      <c r="EO254" s="76">
        <v>3586</v>
      </c>
      <c r="EP254" s="76">
        <v>2038</v>
      </c>
      <c r="EQ254" s="76">
        <v>3549</v>
      </c>
      <c r="ER254" s="76">
        <v>3560645</v>
      </c>
      <c r="ES254" s="76">
        <v>0</v>
      </c>
      <c r="ET254" s="76">
        <v>3560645</v>
      </c>
      <c r="EU254" s="76">
        <v>214042</v>
      </c>
      <c r="EV254" s="76">
        <v>-65771</v>
      </c>
      <c r="EW254" s="76">
        <v>0</v>
      </c>
      <c r="EX254" s="76">
        <v>0</v>
      </c>
      <c r="EY254" s="76">
        <v>-18047</v>
      </c>
      <c r="EZ254" s="76">
        <v>3690869</v>
      </c>
      <c r="FA254" s="76">
        <v>285836</v>
      </c>
      <c r="FB254" s="76">
        <v>33445</v>
      </c>
      <c r="FC254" s="76">
        <v>0</v>
      </c>
      <c r="FD254" s="76">
        <v>0</v>
      </c>
      <c r="FE254" s="76">
        <v>-8622</v>
      </c>
      <c r="FF254" s="76">
        <v>0</v>
      </c>
      <c r="FG254" s="76">
        <v>-1135</v>
      </c>
      <c r="FH254" s="76">
        <v>309524</v>
      </c>
      <c r="FI254" s="76">
        <v>3381345</v>
      </c>
      <c r="FJ254" s="76">
        <v>3274809</v>
      </c>
      <c r="FK254" s="76">
        <v>12290</v>
      </c>
      <c r="FL254" s="76">
        <v>8381</v>
      </c>
      <c r="FM254" s="76">
        <v>3909</v>
      </c>
      <c r="FN254" s="76">
        <v>6523</v>
      </c>
      <c r="FO254" s="76">
        <v>2490</v>
      </c>
      <c r="FP254" s="76">
        <v>4033</v>
      </c>
      <c r="FQ254" s="76">
        <v>259</v>
      </c>
      <c r="FR254" s="76">
        <v>114</v>
      </c>
      <c r="FS254" s="76">
        <v>145</v>
      </c>
      <c r="FT254" s="76">
        <v>4942</v>
      </c>
      <c r="FU254" s="76">
        <v>3570</v>
      </c>
      <c r="FV254" s="76">
        <v>1372</v>
      </c>
      <c r="FW254" s="76">
        <v>44181</v>
      </c>
      <c r="FX254" s="76">
        <v>42664</v>
      </c>
      <c r="FY254" s="76">
        <v>1517</v>
      </c>
      <c r="FZ254" s="76">
        <v>3856</v>
      </c>
      <c r="GA254" s="76">
        <v>3044</v>
      </c>
      <c r="GB254" s="76">
        <v>812</v>
      </c>
      <c r="GC254" s="76">
        <v>72051</v>
      </c>
      <c r="GD254" s="76">
        <v>60263</v>
      </c>
      <c r="GE254" s="76">
        <v>11788</v>
      </c>
      <c r="GF254" s="76">
        <v>63645</v>
      </c>
      <c r="GG254" s="76">
        <v>0</v>
      </c>
      <c r="GH254" s="76">
        <v>883</v>
      </c>
      <c r="GI254" s="76">
        <v>0</v>
      </c>
      <c r="GJ254" s="76">
        <v>0</v>
      </c>
      <c r="GK254" s="76">
        <v>11988</v>
      </c>
      <c r="GL254" s="76">
        <v>76516</v>
      </c>
      <c r="GM254" s="76">
        <v>11335</v>
      </c>
      <c r="GN254" s="76">
        <v>8030</v>
      </c>
      <c r="GO254" s="76">
        <v>16519</v>
      </c>
      <c r="GP254" s="76">
        <v>5620</v>
      </c>
      <c r="GQ254" s="76">
        <v>29</v>
      </c>
      <c r="GR254" s="76">
        <v>16088</v>
      </c>
      <c r="GS254" s="76">
        <v>0</v>
      </c>
      <c r="GT254" s="76">
        <v>0</v>
      </c>
      <c r="GU254" s="76">
        <v>3654</v>
      </c>
      <c r="GV254" s="76">
        <v>0</v>
      </c>
      <c r="GW254" s="76">
        <v>6446</v>
      </c>
      <c r="GX254" s="76">
        <v>67721</v>
      </c>
      <c r="GY254" s="76">
        <v>16677</v>
      </c>
      <c r="GZ254" s="76">
        <v>637</v>
      </c>
      <c r="HA254" s="76">
        <v>22954</v>
      </c>
      <c r="HB254" s="76">
        <v>741</v>
      </c>
      <c r="HC254" s="76">
        <v>41009</v>
      </c>
      <c r="HD254" s="76">
        <v>0</v>
      </c>
      <c r="HE254" s="76">
        <v>1819</v>
      </c>
      <c r="HF254" s="76">
        <v>1819</v>
      </c>
      <c r="HG254" s="76">
        <v>67231</v>
      </c>
      <c r="HH254" s="76">
        <v>0</v>
      </c>
      <c r="HI254" s="76">
        <v>951</v>
      </c>
      <c r="HJ254" s="76">
        <v>70</v>
      </c>
      <c r="HK254" s="76">
        <v>854</v>
      </c>
      <c r="HL254" s="76">
        <v>-3878</v>
      </c>
      <c r="HM254" s="76">
        <v>65228</v>
      </c>
      <c r="HN254" s="76">
        <v>13166</v>
      </c>
      <c r="HO254" s="76">
        <v>36736</v>
      </c>
      <c r="HP254" s="76">
        <v>500</v>
      </c>
      <c r="HQ254" s="76">
        <v>1128</v>
      </c>
      <c r="HR254" s="76">
        <v>-174</v>
      </c>
      <c r="HS254" s="76">
        <v>-10</v>
      </c>
      <c r="HT254" s="76">
        <v>51501</v>
      </c>
      <c r="HU254" s="76">
        <v>49</v>
      </c>
      <c r="HV254" s="76">
        <v>-11</v>
      </c>
      <c r="HW254" s="76">
        <v>-48</v>
      </c>
      <c r="HX254" s="76">
        <v>2540</v>
      </c>
    </row>
    <row r="255" spans="1:232" x14ac:dyDescent="0.2">
      <c r="A255" s="71" t="s">
        <v>698</v>
      </c>
      <c r="B255" s="71" t="s">
        <v>699</v>
      </c>
      <c r="C255" s="72" t="s">
        <v>200</v>
      </c>
      <c r="D255" s="72">
        <v>12</v>
      </c>
      <c r="E255" s="73">
        <v>33320</v>
      </c>
      <c r="F255" s="73">
        <v>-3515</v>
      </c>
      <c r="G255" s="73">
        <v>-16256</v>
      </c>
      <c r="H255" s="73">
        <v>13549</v>
      </c>
      <c r="I255" s="73">
        <v>-286</v>
      </c>
      <c r="J255" s="73">
        <v>0</v>
      </c>
      <c r="K255" s="73">
        <v>0</v>
      </c>
      <c r="L255" s="73">
        <v>0</v>
      </c>
      <c r="M255" s="73">
        <v>161</v>
      </c>
      <c r="N255" s="73">
        <v>-10302</v>
      </c>
      <c r="O255" s="73">
        <v>0</v>
      </c>
      <c r="P255" s="73">
        <v>0</v>
      </c>
      <c r="Q255" s="73">
        <v>0</v>
      </c>
      <c r="R255" s="73">
        <v>0</v>
      </c>
      <c r="S255" s="73">
        <v>3122</v>
      </c>
      <c r="T255" s="73">
        <v>0</v>
      </c>
      <c r="U255" s="73">
        <v>3122</v>
      </c>
      <c r="V255" s="73">
        <v>0</v>
      </c>
      <c r="W255" s="73">
        <v>-310</v>
      </c>
      <c r="X255" s="73">
        <v>0</v>
      </c>
      <c r="Y255" s="73">
        <v>0</v>
      </c>
      <c r="Z255" s="73">
        <v>2812</v>
      </c>
      <c r="AA255" s="73">
        <v>25643</v>
      </c>
      <c r="AB255" s="73">
        <v>998</v>
      </c>
      <c r="AC255" s="73">
        <v>26641</v>
      </c>
      <c r="AD255" s="73">
        <v>181</v>
      </c>
      <c r="AE255" s="73">
        <v>0</v>
      </c>
      <c r="AF255" s="73">
        <v>0</v>
      </c>
      <c r="AG255" s="73">
        <v>12</v>
      </c>
      <c r="AH255" s="73">
        <v>26834</v>
      </c>
      <c r="AI255" s="73">
        <v>3502</v>
      </c>
      <c r="AJ255" s="73">
        <v>1323</v>
      </c>
      <c r="AK255" s="73">
        <v>3037</v>
      </c>
      <c r="AL255" s="73">
        <v>1120</v>
      </c>
      <c r="AM255" s="73">
        <v>1137</v>
      </c>
      <c r="AN255" s="73">
        <v>315</v>
      </c>
      <c r="AO255" s="73">
        <v>4676</v>
      </c>
      <c r="AP255" s="73">
        <v>0</v>
      </c>
      <c r="AQ255" s="73">
        <v>0</v>
      </c>
      <c r="AR255" s="73">
        <v>15110</v>
      </c>
      <c r="AS255" s="73">
        <v>11724</v>
      </c>
      <c r="AT255" s="73">
        <v>395</v>
      </c>
      <c r="AU255" s="73">
        <v>326228</v>
      </c>
      <c r="AV255" s="73">
        <v>0</v>
      </c>
      <c r="AW255" s="73">
        <v>2026</v>
      </c>
      <c r="AX255" s="73">
        <v>0</v>
      </c>
      <c r="AY255" s="73">
        <v>0</v>
      </c>
      <c r="AZ255" s="73">
        <v>0</v>
      </c>
      <c r="BA255" s="73">
        <v>0</v>
      </c>
      <c r="BB255" s="73">
        <v>0</v>
      </c>
      <c r="BC255" s="73">
        <v>0</v>
      </c>
      <c r="BD255" s="73">
        <v>0</v>
      </c>
      <c r="BE255" s="73">
        <v>328254</v>
      </c>
      <c r="BF255" s="73">
        <v>5326</v>
      </c>
      <c r="BG255" s="73">
        <v>407</v>
      </c>
      <c r="BH255" s="73">
        <v>242</v>
      </c>
      <c r="BI255" s="73">
        <v>0</v>
      </c>
      <c r="BJ255" s="73">
        <v>986</v>
      </c>
      <c r="BK255" s="73">
        <v>6961</v>
      </c>
      <c r="BL255" s="73">
        <v>816</v>
      </c>
      <c r="BM255" s="73">
        <v>0</v>
      </c>
      <c r="BN255" s="73">
        <v>181</v>
      </c>
      <c r="BO255" s="73">
        <v>5372</v>
      </c>
      <c r="BP255" s="73">
        <v>6369</v>
      </c>
      <c r="BQ255" s="73">
        <v>592</v>
      </c>
      <c r="BR255" s="73">
        <v>328846</v>
      </c>
      <c r="BS255" s="73">
        <v>166842</v>
      </c>
      <c r="BT255" s="73">
        <v>0</v>
      </c>
      <c r="BU255" s="73">
        <v>0</v>
      </c>
      <c r="BV255" s="73">
        <v>20912</v>
      </c>
      <c r="BW255" s="73">
        <v>0</v>
      </c>
      <c r="BX255" s="73">
        <v>0</v>
      </c>
      <c r="BY255" s="73">
        <v>859</v>
      </c>
      <c r="BZ255" s="73">
        <v>188613</v>
      </c>
      <c r="CA255" s="73">
        <v>2107</v>
      </c>
      <c r="CB255" s="73">
        <v>0</v>
      </c>
      <c r="CC255" s="73">
        <v>138126</v>
      </c>
      <c r="CD255" s="73">
        <v>-1376</v>
      </c>
      <c r="CE255" s="73">
        <v>139502</v>
      </c>
      <c r="CF255" s="73">
        <v>0</v>
      </c>
      <c r="CG255" s="73">
        <v>0</v>
      </c>
      <c r="CH255" s="73">
        <v>0</v>
      </c>
      <c r="CI255" s="73">
        <v>138126</v>
      </c>
      <c r="CJ255" s="73">
        <v>4893</v>
      </c>
      <c r="CK255" s="73">
        <v>3515</v>
      </c>
      <c r="CL255" s="73">
        <v>0</v>
      </c>
      <c r="CM255" s="73">
        <v>1378</v>
      </c>
      <c r="CN255" s="73">
        <v>648</v>
      </c>
      <c r="CO255" s="73">
        <v>0</v>
      </c>
      <c r="CP255" s="73">
        <v>645</v>
      </c>
      <c r="CQ255" s="73">
        <v>3</v>
      </c>
      <c r="CR255" s="73">
        <v>747</v>
      </c>
      <c r="CS255" s="73">
        <v>0</v>
      </c>
      <c r="CT255" s="73">
        <v>411</v>
      </c>
      <c r="CU255" s="73">
        <v>336</v>
      </c>
      <c r="CV255" s="73">
        <v>0</v>
      </c>
      <c r="CW255" s="73">
        <v>0</v>
      </c>
      <c r="CX255" s="73">
        <v>0</v>
      </c>
      <c r="CY255" s="73">
        <v>0</v>
      </c>
      <c r="CZ255" s="73">
        <v>198</v>
      </c>
      <c r="DA255" s="73">
        <v>0</v>
      </c>
      <c r="DB255" s="73">
        <v>90</v>
      </c>
      <c r="DC255" s="73">
        <v>108</v>
      </c>
      <c r="DD255" s="73">
        <v>6486</v>
      </c>
      <c r="DE255" s="73">
        <v>3515</v>
      </c>
      <c r="DF255" s="73">
        <v>1146</v>
      </c>
      <c r="DG255" s="73">
        <v>1825</v>
      </c>
      <c r="DH255" s="73">
        <v>0</v>
      </c>
      <c r="DI255" s="73">
        <v>0</v>
      </c>
      <c r="DJ255" s="73">
        <v>0</v>
      </c>
      <c r="DK255" s="73">
        <v>0</v>
      </c>
      <c r="DL255" s="73">
        <v>0</v>
      </c>
      <c r="DM255" s="73">
        <v>0</v>
      </c>
      <c r="DN255" s="73">
        <v>0</v>
      </c>
      <c r="DO255" s="73">
        <v>0</v>
      </c>
      <c r="DP255" s="73">
        <v>0</v>
      </c>
      <c r="DQ255" s="73">
        <v>0</v>
      </c>
      <c r="DR255" s="73">
        <v>0</v>
      </c>
      <c r="DS255" s="73">
        <v>0</v>
      </c>
      <c r="DT255" s="73">
        <v>0</v>
      </c>
      <c r="DU255" s="73">
        <v>0</v>
      </c>
      <c r="DV255" s="73">
        <v>0</v>
      </c>
      <c r="DW255" s="73">
        <v>0</v>
      </c>
      <c r="DX255" s="73">
        <v>0</v>
      </c>
      <c r="DY255" s="73">
        <v>0</v>
      </c>
      <c r="DZ255" s="73">
        <v>0</v>
      </c>
      <c r="EA255" s="73">
        <v>0</v>
      </c>
      <c r="EB255" s="73">
        <v>0</v>
      </c>
      <c r="EC255" s="73">
        <v>0</v>
      </c>
      <c r="ED255" s="73">
        <v>0</v>
      </c>
      <c r="EE255" s="73">
        <v>0</v>
      </c>
      <c r="EF255" s="73">
        <v>0</v>
      </c>
      <c r="EG255" s="73">
        <v>0</v>
      </c>
      <c r="EH255" s="73">
        <v>0</v>
      </c>
      <c r="EI255" s="73">
        <v>0</v>
      </c>
      <c r="EJ255" s="73">
        <v>6486</v>
      </c>
      <c r="EK255" s="73">
        <v>3515</v>
      </c>
      <c r="EL255" s="73">
        <v>1146</v>
      </c>
      <c r="EM255" s="73">
        <v>1825</v>
      </c>
      <c r="EN255" s="73">
        <v>686</v>
      </c>
      <c r="EO255" s="73">
        <v>364</v>
      </c>
      <c r="EP255" s="73">
        <v>279</v>
      </c>
      <c r="EQ255" s="73">
        <v>364</v>
      </c>
      <c r="ER255" s="73">
        <v>199720</v>
      </c>
      <c r="ES255" s="73">
        <v>140757</v>
      </c>
      <c r="ET255" s="73">
        <v>340477</v>
      </c>
      <c r="EU255" s="73">
        <v>18425</v>
      </c>
      <c r="EV255" s="73">
        <v>-1543</v>
      </c>
      <c r="EW255" s="73">
        <v>0</v>
      </c>
      <c r="EX255" s="73">
        <v>0</v>
      </c>
      <c r="EY255" s="73">
        <v>0</v>
      </c>
      <c r="EZ255" s="73">
        <v>357359</v>
      </c>
      <c r="FA255" s="73">
        <v>26839</v>
      </c>
      <c r="FB255" s="73">
        <v>4474</v>
      </c>
      <c r="FC255" s="73">
        <v>0</v>
      </c>
      <c r="FD255" s="73">
        <v>0</v>
      </c>
      <c r="FE255" s="73">
        <v>-182</v>
      </c>
      <c r="FF255" s="73">
        <v>0</v>
      </c>
      <c r="FG255" s="73">
        <v>0</v>
      </c>
      <c r="FH255" s="73">
        <v>31131</v>
      </c>
      <c r="FI255" s="73">
        <v>326228</v>
      </c>
      <c r="FJ255" s="73">
        <v>313638</v>
      </c>
      <c r="FK255" s="73">
        <v>308</v>
      </c>
      <c r="FL255" s="73">
        <v>298</v>
      </c>
      <c r="FM255" s="73">
        <v>10</v>
      </c>
      <c r="FN255" s="73">
        <v>1173</v>
      </c>
      <c r="FO255" s="73">
        <v>1469</v>
      </c>
      <c r="FP255" s="73">
        <v>-296</v>
      </c>
      <c r="FQ255" s="73">
        <v>0</v>
      </c>
      <c r="FR255" s="73">
        <v>0</v>
      </c>
      <c r="FS255" s="73">
        <v>0</v>
      </c>
      <c r="FT255" s="73">
        <v>0</v>
      </c>
      <c r="FU255" s="73">
        <v>0</v>
      </c>
      <c r="FV255" s="73">
        <v>0</v>
      </c>
      <c r="FW255" s="73">
        <v>0</v>
      </c>
      <c r="FX255" s="73">
        <v>0</v>
      </c>
      <c r="FY255" s="73">
        <v>0</v>
      </c>
      <c r="FZ255" s="73">
        <v>0</v>
      </c>
      <c r="GA255" s="73">
        <v>0</v>
      </c>
      <c r="GB255" s="73">
        <v>0</v>
      </c>
      <c r="GC255" s="73">
        <v>1481</v>
      </c>
      <c r="GD255" s="73">
        <v>1767</v>
      </c>
      <c r="GE255" s="73">
        <v>-286</v>
      </c>
      <c r="GF255" s="73">
        <v>427</v>
      </c>
      <c r="GG255" s="73">
        <v>0</v>
      </c>
      <c r="GH255" s="73">
        <v>193</v>
      </c>
      <c r="GI255" s="73">
        <v>0</v>
      </c>
      <c r="GJ255" s="73">
        <v>0</v>
      </c>
      <c r="GK255" s="73">
        <v>366</v>
      </c>
      <c r="GL255" s="73">
        <v>986</v>
      </c>
      <c r="GM255" s="73">
        <v>570</v>
      </c>
      <c r="GN255" s="73">
        <v>728</v>
      </c>
      <c r="GO255" s="73">
        <v>2974</v>
      </c>
      <c r="GP255" s="73">
        <v>0</v>
      </c>
      <c r="GQ255" s="73">
        <v>0</v>
      </c>
      <c r="GR255" s="73">
        <v>177</v>
      </c>
      <c r="GS255" s="73">
        <v>0</v>
      </c>
      <c r="GT255" s="73">
        <v>0</v>
      </c>
      <c r="GU255" s="73">
        <v>153</v>
      </c>
      <c r="GV255" s="73">
        <v>0</v>
      </c>
      <c r="GW255" s="73">
        <v>770</v>
      </c>
      <c r="GX255" s="73">
        <v>5372</v>
      </c>
      <c r="GY255" s="73">
        <v>0</v>
      </c>
      <c r="GZ255" s="73">
        <v>0</v>
      </c>
      <c r="HA255" s="73">
        <v>859</v>
      </c>
      <c r="HB255" s="73">
        <v>0</v>
      </c>
      <c r="HC255" s="73">
        <v>859</v>
      </c>
      <c r="HD255" s="73">
        <v>0</v>
      </c>
      <c r="HE255" s="73">
        <v>0</v>
      </c>
      <c r="HF255" s="73">
        <v>0</v>
      </c>
      <c r="HG255" s="73">
        <v>10617</v>
      </c>
      <c r="HH255" s="73">
        <v>462</v>
      </c>
      <c r="HI255" s="73">
        <v>84</v>
      </c>
      <c r="HJ255" s="73">
        <v>0</v>
      </c>
      <c r="HK255" s="73">
        <v>0</v>
      </c>
      <c r="HL255" s="73">
        <v>-861</v>
      </c>
      <c r="HM255" s="73">
        <v>10302</v>
      </c>
      <c r="HN255" s="73">
        <v>1427</v>
      </c>
      <c r="HO255" s="73">
        <v>4716</v>
      </c>
      <c r="HP255" s="73">
        <v>0</v>
      </c>
      <c r="HQ255" s="73">
        <v>250</v>
      </c>
      <c r="HR255" s="73">
        <v>-58</v>
      </c>
      <c r="HS255" s="73">
        <v>155</v>
      </c>
      <c r="HT255" s="73">
        <v>5644</v>
      </c>
      <c r="HU255" s="73">
        <v>0</v>
      </c>
      <c r="HV255" s="73">
        <v>0</v>
      </c>
      <c r="HW255" s="73">
        <v>0</v>
      </c>
      <c r="HX255" s="73">
        <v>0</v>
      </c>
    </row>
    <row r="256" spans="1:232" x14ac:dyDescent="0.2">
      <c r="A256" s="71" t="s">
        <v>702</v>
      </c>
      <c r="B256" s="71" t="s">
        <v>703</v>
      </c>
      <c r="C256" s="72" t="s">
        <v>200</v>
      </c>
      <c r="D256" s="72">
        <v>12</v>
      </c>
      <c r="E256" s="73">
        <v>86181</v>
      </c>
      <c r="F256" s="73">
        <v>0</v>
      </c>
      <c r="G256" s="73">
        <v>-83861</v>
      </c>
      <c r="H256" s="73">
        <v>2320</v>
      </c>
      <c r="I256" s="73">
        <v>-124</v>
      </c>
      <c r="J256" s="73">
        <v>0</v>
      </c>
      <c r="K256" s="73">
        <v>0</v>
      </c>
      <c r="L256" s="73">
        <v>0</v>
      </c>
      <c r="M256" s="73">
        <v>90</v>
      </c>
      <c r="N256" s="73">
        <v>-187</v>
      </c>
      <c r="O256" s="73">
        <v>0</v>
      </c>
      <c r="P256" s="73">
        <v>0</v>
      </c>
      <c r="Q256" s="73">
        <v>0</v>
      </c>
      <c r="R256" s="73">
        <v>0</v>
      </c>
      <c r="S256" s="73">
        <v>2099</v>
      </c>
      <c r="T256" s="73">
        <v>0</v>
      </c>
      <c r="U256" s="73">
        <v>2099</v>
      </c>
      <c r="V256" s="73">
        <v>0</v>
      </c>
      <c r="W256" s="73">
        <v>0</v>
      </c>
      <c r="X256" s="73">
        <v>0</v>
      </c>
      <c r="Y256" s="73">
        <v>0</v>
      </c>
      <c r="Z256" s="73">
        <v>2099</v>
      </c>
      <c r="AA256" s="73">
        <v>12328</v>
      </c>
      <c r="AB256" s="73">
        <v>14049</v>
      </c>
      <c r="AC256" s="73">
        <v>26377</v>
      </c>
      <c r="AD256" s="73">
        <v>1400</v>
      </c>
      <c r="AE256" s="73">
        <v>0</v>
      </c>
      <c r="AF256" s="73">
        <v>6785</v>
      </c>
      <c r="AG256" s="73">
        <v>0</v>
      </c>
      <c r="AH256" s="73">
        <v>34562</v>
      </c>
      <c r="AI256" s="73">
        <v>18856</v>
      </c>
      <c r="AJ256" s="73">
        <v>7691</v>
      </c>
      <c r="AK256" s="73">
        <v>867</v>
      </c>
      <c r="AL256" s="73">
        <v>882</v>
      </c>
      <c r="AM256" s="73">
        <v>0</v>
      </c>
      <c r="AN256" s="73">
        <v>1034</v>
      </c>
      <c r="AO256" s="73">
        <v>3274</v>
      </c>
      <c r="AP256" s="73">
        <v>0</v>
      </c>
      <c r="AQ256" s="73">
        <v>371</v>
      </c>
      <c r="AR256" s="73">
        <v>32975</v>
      </c>
      <c r="AS256" s="73">
        <v>1587</v>
      </c>
      <c r="AT256" s="73">
        <v>1801</v>
      </c>
      <c r="AU256" s="73">
        <v>81431</v>
      </c>
      <c r="AV256" s="73">
        <v>0</v>
      </c>
      <c r="AW256" s="73">
        <v>888</v>
      </c>
      <c r="AX256" s="73">
        <v>0</v>
      </c>
      <c r="AY256" s="73">
        <v>0</v>
      </c>
      <c r="AZ256" s="73">
        <v>0</v>
      </c>
      <c r="BA256" s="73">
        <v>0</v>
      </c>
      <c r="BB256" s="73">
        <v>0</v>
      </c>
      <c r="BC256" s="73">
        <v>0</v>
      </c>
      <c r="BD256" s="73">
        <v>193</v>
      </c>
      <c r="BE256" s="73">
        <v>82512</v>
      </c>
      <c r="BF256" s="73">
        <v>0</v>
      </c>
      <c r="BG256" s="73">
        <v>9843</v>
      </c>
      <c r="BH256" s="73">
        <v>17838</v>
      </c>
      <c r="BI256" s="73">
        <v>0</v>
      </c>
      <c r="BJ256" s="73">
        <v>1468</v>
      </c>
      <c r="BK256" s="73">
        <v>29149</v>
      </c>
      <c r="BL256" s="73">
        <v>0</v>
      </c>
      <c r="BM256" s="73">
        <v>0</v>
      </c>
      <c r="BN256" s="73">
        <v>1444</v>
      </c>
      <c r="BO256" s="73">
        <v>19136</v>
      </c>
      <c r="BP256" s="73">
        <v>20580</v>
      </c>
      <c r="BQ256" s="73">
        <v>8569</v>
      </c>
      <c r="BR256" s="73">
        <v>91081</v>
      </c>
      <c r="BS256" s="73">
        <v>0</v>
      </c>
      <c r="BT256" s="73">
        <v>0</v>
      </c>
      <c r="BU256" s="73">
        <v>0</v>
      </c>
      <c r="BV256" s="73">
        <v>71076</v>
      </c>
      <c r="BW256" s="73">
        <v>0</v>
      </c>
      <c r="BX256" s="73">
        <v>0</v>
      </c>
      <c r="BY256" s="73">
        <v>0</v>
      </c>
      <c r="BZ256" s="73">
        <v>71076</v>
      </c>
      <c r="CA256" s="73">
        <v>9012</v>
      </c>
      <c r="CB256" s="73">
        <v>1046</v>
      </c>
      <c r="CC256" s="73">
        <v>9947</v>
      </c>
      <c r="CD256" s="73">
        <v>9119</v>
      </c>
      <c r="CE256" s="73">
        <v>0</v>
      </c>
      <c r="CF256" s="73">
        <v>828</v>
      </c>
      <c r="CG256" s="73">
        <v>0</v>
      </c>
      <c r="CH256" s="73">
        <v>0</v>
      </c>
      <c r="CI256" s="73">
        <v>9947</v>
      </c>
      <c r="CJ256" s="73">
        <v>0</v>
      </c>
      <c r="CK256" s="73">
        <v>0</v>
      </c>
      <c r="CL256" s="73">
        <v>0</v>
      </c>
      <c r="CM256" s="73">
        <v>0</v>
      </c>
      <c r="CN256" s="73">
        <v>25621</v>
      </c>
      <c r="CO256" s="73">
        <v>0</v>
      </c>
      <c r="CP256" s="73">
        <v>24899</v>
      </c>
      <c r="CQ256" s="73">
        <v>722</v>
      </c>
      <c r="CR256" s="73">
        <v>0</v>
      </c>
      <c r="CS256" s="73">
        <v>0</v>
      </c>
      <c r="CT256" s="73">
        <v>0</v>
      </c>
      <c r="CU256" s="73">
        <v>0</v>
      </c>
      <c r="CV256" s="73">
        <v>0</v>
      </c>
      <c r="CW256" s="73">
        <v>0</v>
      </c>
      <c r="CX256" s="73">
        <v>0</v>
      </c>
      <c r="CY256" s="73">
        <v>0</v>
      </c>
      <c r="CZ256" s="73">
        <v>0</v>
      </c>
      <c r="DA256" s="73">
        <v>0</v>
      </c>
      <c r="DB256" s="73">
        <v>0</v>
      </c>
      <c r="DC256" s="73">
        <v>0</v>
      </c>
      <c r="DD256" s="73">
        <v>25621</v>
      </c>
      <c r="DE256" s="73">
        <v>0</v>
      </c>
      <c r="DF256" s="73">
        <v>24899</v>
      </c>
      <c r="DG256" s="73">
        <v>722</v>
      </c>
      <c r="DH256" s="73">
        <v>0</v>
      </c>
      <c r="DI256" s="73">
        <v>0</v>
      </c>
      <c r="DJ256" s="73">
        <v>0</v>
      </c>
      <c r="DK256" s="73">
        <v>0</v>
      </c>
      <c r="DL256" s="73">
        <v>0</v>
      </c>
      <c r="DM256" s="73">
        <v>0</v>
      </c>
      <c r="DN256" s="73">
        <v>0</v>
      </c>
      <c r="DO256" s="73">
        <v>0</v>
      </c>
      <c r="DP256" s="73">
        <v>0</v>
      </c>
      <c r="DQ256" s="73">
        <v>0</v>
      </c>
      <c r="DR256" s="73">
        <v>0</v>
      </c>
      <c r="DS256" s="73">
        <v>0</v>
      </c>
      <c r="DT256" s="73">
        <v>0</v>
      </c>
      <c r="DU256" s="73">
        <v>0</v>
      </c>
      <c r="DV256" s="73">
        <v>0</v>
      </c>
      <c r="DW256" s="73">
        <v>0</v>
      </c>
      <c r="DX256" s="73">
        <v>8236</v>
      </c>
      <c r="DY256" s="73">
        <v>0</v>
      </c>
      <c r="DZ256" s="73">
        <v>9306</v>
      </c>
      <c r="EA256" s="73">
        <v>-1070</v>
      </c>
      <c r="EB256" s="73">
        <v>17762</v>
      </c>
      <c r="EC256" s="73">
        <v>0</v>
      </c>
      <c r="ED256" s="73">
        <v>16681</v>
      </c>
      <c r="EE256" s="73">
        <v>1081</v>
      </c>
      <c r="EF256" s="73">
        <v>25998</v>
      </c>
      <c r="EG256" s="73">
        <v>0</v>
      </c>
      <c r="EH256" s="73">
        <v>25987</v>
      </c>
      <c r="EI256" s="73">
        <v>11</v>
      </c>
      <c r="EJ256" s="73">
        <v>51619</v>
      </c>
      <c r="EK256" s="73">
        <v>0</v>
      </c>
      <c r="EL256" s="73">
        <v>50886</v>
      </c>
      <c r="EM256" s="73">
        <v>733</v>
      </c>
      <c r="EN256" s="73">
        <v>1623</v>
      </c>
      <c r="EO256" s="73">
        <v>573</v>
      </c>
      <c r="EP256" s="73">
        <v>117</v>
      </c>
      <c r="EQ256" s="73">
        <v>573</v>
      </c>
      <c r="ER256" s="73">
        <v>107119</v>
      </c>
      <c r="ES256" s="73">
        <v>0</v>
      </c>
      <c r="ET256" s="73">
        <v>107119</v>
      </c>
      <c r="EU256" s="73">
        <v>3157</v>
      </c>
      <c r="EV256" s="73">
        <v>-2949</v>
      </c>
      <c r="EW256" s="73">
        <v>0</v>
      </c>
      <c r="EX256" s="73">
        <v>0</v>
      </c>
      <c r="EY256" s="73">
        <v>0</v>
      </c>
      <c r="EZ256" s="73">
        <v>107327</v>
      </c>
      <c r="FA256" s="73">
        <v>25287</v>
      </c>
      <c r="FB256" s="73">
        <v>3006</v>
      </c>
      <c r="FC256" s="73">
        <v>0</v>
      </c>
      <c r="FD256" s="73">
        <v>0</v>
      </c>
      <c r="FE256" s="73">
        <v>-2397</v>
      </c>
      <c r="FF256" s="73">
        <v>0</v>
      </c>
      <c r="FG256" s="73">
        <v>0</v>
      </c>
      <c r="FH256" s="73">
        <v>25896</v>
      </c>
      <c r="FI256" s="73">
        <v>81431</v>
      </c>
      <c r="FJ256" s="73">
        <v>81832</v>
      </c>
      <c r="FK256" s="73">
        <v>0</v>
      </c>
      <c r="FL256" s="73">
        <v>0</v>
      </c>
      <c r="FM256" s="73">
        <v>0</v>
      </c>
      <c r="FN256" s="73">
        <v>0</v>
      </c>
      <c r="FO256" s="73">
        <v>0</v>
      </c>
      <c r="FP256" s="73">
        <v>0</v>
      </c>
      <c r="FQ256" s="73">
        <v>0</v>
      </c>
      <c r="FR256" s="73">
        <v>0</v>
      </c>
      <c r="FS256" s="73">
        <v>0</v>
      </c>
      <c r="FT256" s="73">
        <v>0</v>
      </c>
      <c r="FU256" s="73">
        <v>0</v>
      </c>
      <c r="FV256" s="73">
        <v>0</v>
      </c>
      <c r="FW256" s="73">
        <v>1120</v>
      </c>
      <c r="FX256" s="73">
        <v>1244</v>
      </c>
      <c r="FY256" s="73">
        <v>-124</v>
      </c>
      <c r="FZ256" s="73">
        <v>0</v>
      </c>
      <c r="GA256" s="73">
        <v>0</v>
      </c>
      <c r="GB256" s="73">
        <v>0</v>
      </c>
      <c r="GC256" s="73">
        <v>1120</v>
      </c>
      <c r="GD256" s="73">
        <v>1244</v>
      </c>
      <c r="GE256" s="73">
        <v>-124</v>
      </c>
      <c r="GF256" s="73">
        <v>0</v>
      </c>
      <c r="GG256" s="73">
        <v>39</v>
      </c>
      <c r="GH256" s="73">
        <v>600</v>
      </c>
      <c r="GI256" s="73">
        <v>0</v>
      </c>
      <c r="GJ256" s="73">
        <v>0</v>
      </c>
      <c r="GK256" s="73">
        <v>829</v>
      </c>
      <c r="GL256" s="73">
        <v>1468</v>
      </c>
      <c r="GM256" s="73">
        <v>1230</v>
      </c>
      <c r="GN256" s="73">
        <v>2492</v>
      </c>
      <c r="GO256" s="73">
        <v>3820</v>
      </c>
      <c r="GP256" s="73">
        <v>0</v>
      </c>
      <c r="GQ256" s="73">
        <v>0</v>
      </c>
      <c r="GR256" s="73">
        <v>10017</v>
      </c>
      <c r="GS256" s="73">
        <v>0</v>
      </c>
      <c r="GT256" s="73">
        <v>0</v>
      </c>
      <c r="GU256" s="73">
        <v>0</v>
      </c>
      <c r="GV256" s="73">
        <v>0</v>
      </c>
      <c r="GW256" s="73">
        <v>1577</v>
      </c>
      <c r="GX256" s="73">
        <v>19136</v>
      </c>
      <c r="GY256" s="73">
        <v>0</v>
      </c>
      <c r="GZ256" s="73">
        <v>0</v>
      </c>
      <c r="HA256" s="73">
        <v>0</v>
      </c>
      <c r="HB256" s="73">
        <v>0</v>
      </c>
      <c r="HC256" s="73">
        <v>0</v>
      </c>
      <c r="HD256" s="73">
        <v>0</v>
      </c>
      <c r="HE256" s="73">
        <v>1046</v>
      </c>
      <c r="HF256" s="73">
        <v>1046</v>
      </c>
      <c r="HG256" s="73">
        <v>0</v>
      </c>
      <c r="HH256" s="73">
        <v>0</v>
      </c>
      <c r="HI256" s="73">
        <v>187</v>
      </c>
      <c r="HJ256" s="73">
        <v>0</v>
      </c>
      <c r="HK256" s="73">
        <v>0</v>
      </c>
      <c r="HL256" s="73">
        <v>0</v>
      </c>
      <c r="HM256" s="73">
        <v>187</v>
      </c>
      <c r="HN256" s="73">
        <v>3157</v>
      </c>
      <c r="HO256" s="73">
        <v>3562</v>
      </c>
      <c r="HP256" s="73">
        <v>0</v>
      </c>
      <c r="HQ256" s="73">
        <v>10</v>
      </c>
      <c r="HR256" s="73">
        <v>0</v>
      </c>
      <c r="HS256" s="73">
        <v>0</v>
      </c>
      <c r="HT256" s="73">
        <v>2202</v>
      </c>
      <c r="HU256" s="73">
        <v>83</v>
      </c>
      <c r="HV256" s="73">
        <v>0</v>
      </c>
      <c r="HW256" s="73">
        <v>0</v>
      </c>
      <c r="HX256" s="73">
        <v>504</v>
      </c>
    </row>
    <row r="257" spans="1:232" x14ac:dyDescent="0.2">
      <c r="A257" s="74" t="s">
        <v>704</v>
      </c>
      <c r="B257" s="74" t="s">
        <v>705</v>
      </c>
      <c r="C257" s="75" t="s">
        <v>200</v>
      </c>
      <c r="D257" s="75">
        <v>15</v>
      </c>
      <c r="E257" s="76">
        <v>26027</v>
      </c>
      <c r="F257" s="76">
        <v>-868</v>
      </c>
      <c r="G257" s="76">
        <v>-17858</v>
      </c>
      <c r="H257" s="76">
        <v>7301</v>
      </c>
      <c r="I257" s="76">
        <v>72</v>
      </c>
      <c r="J257" s="76">
        <v>0</v>
      </c>
      <c r="K257" s="76">
        <v>0</v>
      </c>
      <c r="L257" s="76">
        <v>0</v>
      </c>
      <c r="M257" s="76">
        <v>30</v>
      </c>
      <c r="N257" s="76">
        <v>-4234</v>
      </c>
      <c r="O257" s="76">
        <v>56</v>
      </c>
      <c r="P257" s="76">
        <v>0</v>
      </c>
      <c r="Q257" s="76">
        <v>0</v>
      </c>
      <c r="R257" s="76">
        <v>0</v>
      </c>
      <c r="S257" s="76">
        <v>3225</v>
      </c>
      <c r="T257" s="76">
        <v>0</v>
      </c>
      <c r="U257" s="76">
        <v>3225</v>
      </c>
      <c r="V257" s="76">
        <v>0</v>
      </c>
      <c r="W257" s="76">
        <v>0</v>
      </c>
      <c r="X257" s="76">
        <v>0</v>
      </c>
      <c r="Y257" s="76">
        <v>0</v>
      </c>
      <c r="Z257" s="76">
        <v>3225</v>
      </c>
      <c r="AA257" s="76">
        <v>18620</v>
      </c>
      <c r="AB257" s="76">
        <v>3540</v>
      </c>
      <c r="AC257" s="76">
        <v>22160</v>
      </c>
      <c r="AD257" s="76">
        <v>1277</v>
      </c>
      <c r="AE257" s="76">
        <v>0</v>
      </c>
      <c r="AF257" s="76">
        <v>0</v>
      </c>
      <c r="AG257" s="76">
        <v>0</v>
      </c>
      <c r="AH257" s="76">
        <v>23437</v>
      </c>
      <c r="AI257" s="76">
        <v>2719</v>
      </c>
      <c r="AJ257" s="76">
        <v>3442</v>
      </c>
      <c r="AK257" s="76">
        <v>3550</v>
      </c>
      <c r="AL257" s="76">
        <v>1551</v>
      </c>
      <c r="AM257" s="76">
        <v>280</v>
      </c>
      <c r="AN257" s="76">
        <v>98</v>
      </c>
      <c r="AO257" s="76">
        <v>3496</v>
      </c>
      <c r="AP257" s="76">
        <v>0</v>
      </c>
      <c r="AQ257" s="76">
        <v>730</v>
      </c>
      <c r="AR257" s="76">
        <v>15866</v>
      </c>
      <c r="AS257" s="76">
        <v>7571</v>
      </c>
      <c r="AT257" s="76">
        <v>454</v>
      </c>
      <c r="AU257" s="76">
        <v>157158</v>
      </c>
      <c r="AV257" s="76">
        <v>0</v>
      </c>
      <c r="AW257" s="76">
        <v>338</v>
      </c>
      <c r="AX257" s="76">
        <v>0</v>
      </c>
      <c r="AY257" s="76">
        <v>0</v>
      </c>
      <c r="AZ257" s="76">
        <v>7865</v>
      </c>
      <c r="BA257" s="76">
        <v>0</v>
      </c>
      <c r="BB257" s="76">
        <v>0</v>
      </c>
      <c r="BC257" s="76">
        <v>0</v>
      </c>
      <c r="BD257" s="76">
        <v>0</v>
      </c>
      <c r="BE257" s="76">
        <v>165361</v>
      </c>
      <c r="BF257" s="76">
        <v>2875</v>
      </c>
      <c r="BG257" s="76">
        <v>383</v>
      </c>
      <c r="BH257" s="76">
        <v>821</v>
      </c>
      <c r="BI257" s="76">
        <v>0</v>
      </c>
      <c r="BJ257" s="76">
        <v>1635</v>
      </c>
      <c r="BK257" s="76">
        <v>5714</v>
      </c>
      <c r="BL257" s="76">
        <v>592</v>
      </c>
      <c r="BM257" s="76">
        <v>0</v>
      </c>
      <c r="BN257" s="76">
        <v>1089</v>
      </c>
      <c r="BO257" s="76">
        <v>3546</v>
      </c>
      <c r="BP257" s="76">
        <v>5227</v>
      </c>
      <c r="BQ257" s="76">
        <v>487</v>
      </c>
      <c r="BR257" s="76">
        <v>165848</v>
      </c>
      <c r="BS257" s="76">
        <v>72582</v>
      </c>
      <c r="BT257" s="76">
        <v>0</v>
      </c>
      <c r="BU257" s="76">
        <v>0</v>
      </c>
      <c r="BV257" s="76">
        <v>74127</v>
      </c>
      <c r="BW257" s="76">
        <v>0</v>
      </c>
      <c r="BX257" s="76">
        <v>0</v>
      </c>
      <c r="BY257" s="76">
        <v>0</v>
      </c>
      <c r="BZ257" s="76">
        <v>146709</v>
      </c>
      <c r="CA257" s="76">
        <v>0</v>
      </c>
      <c r="CB257" s="76">
        <v>0</v>
      </c>
      <c r="CC257" s="76">
        <v>19139</v>
      </c>
      <c r="CD257" s="76">
        <v>19138</v>
      </c>
      <c r="CE257" s="76">
        <v>0</v>
      </c>
      <c r="CF257" s="76">
        <v>0</v>
      </c>
      <c r="CG257" s="76">
        <v>0</v>
      </c>
      <c r="CH257" s="76">
        <v>1</v>
      </c>
      <c r="CI257" s="76">
        <v>19139</v>
      </c>
      <c r="CJ257" s="76">
        <v>1030</v>
      </c>
      <c r="CK257" s="76">
        <v>868</v>
      </c>
      <c r="CL257" s="76">
        <v>0</v>
      </c>
      <c r="CM257" s="76">
        <v>162</v>
      </c>
      <c r="CN257" s="76">
        <v>306</v>
      </c>
      <c r="CO257" s="76">
        <v>0</v>
      </c>
      <c r="CP257" s="76">
        <v>306</v>
      </c>
      <c r="CQ257" s="76">
        <v>0</v>
      </c>
      <c r="CR257" s="76">
        <v>13</v>
      </c>
      <c r="CS257" s="76">
        <v>0</v>
      </c>
      <c r="CT257" s="76">
        <v>295</v>
      </c>
      <c r="CU257" s="76">
        <v>-282</v>
      </c>
      <c r="CV257" s="76">
        <v>951</v>
      </c>
      <c r="CW257" s="76">
        <v>0</v>
      </c>
      <c r="CX257" s="76">
        <v>1302</v>
      </c>
      <c r="CY257" s="76">
        <v>-351</v>
      </c>
      <c r="CZ257" s="76">
        <v>81</v>
      </c>
      <c r="DA257" s="76">
        <v>0</v>
      </c>
      <c r="DB257" s="76">
        <v>38</v>
      </c>
      <c r="DC257" s="76">
        <v>43</v>
      </c>
      <c r="DD257" s="76">
        <v>2381</v>
      </c>
      <c r="DE257" s="76">
        <v>868</v>
      </c>
      <c r="DF257" s="76">
        <v>1941</v>
      </c>
      <c r="DG257" s="76">
        <v>-428</v>
      </c>
      <c r="DH257" s="76">
        <v>0</v>
      </c>
      <c r="DI257" s="76">
        <v>0</v>
      </c>
      <c r="DJ257" s="76">
        <v>0</v>
      </c>
      <c r="DK257" s="76">
        <v>0</v>
      </c>
      <c r="DL257" s="76">
        <v>0</v>
      </c>
      <c r="DM257" s="76">
        <v>0</v>
      </c>
      <c r="DN257" s="76">
        <v>0</v>
      </c>
      <c r="DO257" s="76">
        <v>0</v>
      </c>
      <c r="DP257" s="76">
        <v>0</v>
      </c>
      <c r="DQ257" s="76">
        <v>0</v>
      </c>
      <c r="DR257" s="76">
        <v>0</v>
      </c>
      <c r="DS257" s="76">
        <v>0</v>
      </c>
      <c r="DT257" s="76">
        <v>208</v>
      </c>
      <c r="DU257" s="76">
        <v>0</v>
      </c>
      <c r="DV257" s="76">
        <v>50</v>
      </c>
      <c r="DW257" s="76">
        <v>158</v>
      </c>
      <c r="DX257" s="76">
        <v>0</v>
      </c>
      <c r="DY257" s="76">
        <v>0</v>
      </c>
      <c r="DZ257" s="76">
        <v>0</v>
      </c>
      <c r="EA257" s="76">
        <v>0</v>
      </c>
      <c r="EB257" s="76">
        <v>0</v>
      </c>
      <c r="EC257" s="76">
        <v>0</v>
      </c>
      <c r="ED257" s="76">
        <v>0</v>
      </c>
      <c r="EE257" s="76">
        <v>0</v>
      </c>
      <c r="EF257" s="76">
        <v>208</v>
      </c>
      <c r="EG257" s="76">
        <v>0</v>
      </c>
      <c r="EH257" s="76">
        <v>50</v>
      </c>
      <c r="EI257" s="76">
        <v>158</v>
      </c>
      <c r="EJ257" s="76">
        <v>2589</v>
      </c>
      <c r="EK257" s="76">
        <v>868</v>
      </c>
      <c r="EL257" s="76">
        <v>1991</v>
      </c>
      <c r="EM257" s="76">
        <v>-270</v>
      </c>
      <c r="EN257" s="76">
        <v>399</v>
      </c>
      <c r="EO257" s="76">
        <v>343</v>
      </c>
      <c r="EP257" s="76">
        <v>16</v>
      </c>
      <c r="EQ257" s="76">
        <v>343</v>
      </c>
      <c r="ER257" s="76">
        <v>188531</v>
      </c>
      <c r="ES257" s="76">
        <v>0</v>
      </c>
      <c r="ET257" s="76">
        <v>188531</v>
      </c>
      <c r="EU257" s="76">
        <v>8062</v>
      </c>
      <c r="EV257" s="76">
        <v>-1175</v>
      </c>
      <c r="EW257" s="76">
        <v>0</v>
      </c>
      <c r="EX257" s="76">
        <v>0</v>
      </c>
      <c r="EY257" s="76">
        <v>-793</v>
      </c>
      <c r="EZ257" s="76">
        <v>194625</v>
      </c>
      <c r="FA257" s="76">
        <v>34792</v>
      </c>
      <c r="FB257" s="76">
        <v>3467</v>
      </c>
      <c r="FC257" s="76">
        <v>0</v>
      </c>
      <c r="FD257" s="76">
        <v>0</v>
      </c>
      <c r="FE257" s="76">
        <v>-758</v>
      </c>
      <c r="FF257" s="76">
        <v>0</v>
      </c>
      <c r="FG257" s="76">
        <v>-34</v>
      </c>
      <c r="FH257" s="76">
        <v>37467</v>
      </c>
      <c r="FI257" s="76">
        <v>157158</v>
      </c>
      <c r="FJ257" s="76">
        <v>153739</v>
      </c>
      <c r="FK257" s="76">
        <v>17</v>
      </c>
      <c r="FL257" s="76">
        <v>19</v>
      </c>
      <c r="FM257" s="76">
        <v>-2</v>
      </c>
      <c r="FN257" s="76">
        <v>0</v>
      </c>
      <c r="FO257" s="76">
        <v>0</v>
      </c>
      <c r="FP257" s="76">
        <v>0</v>
      </c>
      <c r="FQ257" s="76">
        <v>0</v>
      </c>
      <c r="FR257" s="76">
        <v>0</v>
      </c>
      <c r="FS257" s="76">
        <v>0</v>
      </c>
      <c r="FT257" s="76">
        <v>538</v>
      </c>
      <c r="FU257" s="76">
        <v>468</v>
      </c>
      <c r="FV257" s="76">
        <v>70</v>
      </c>
      <c r="FW257" s="76">
        <v>0</v>
      </c>
      <c r="FX257" s="76">
        <v>0</v>
      </c>
      <c r="FY257" s="76">
        <v>0</v>
      </c>
      <c r="FZ257" s="76">
        <v>4</v>
      </c>
      <c r="GA257" s="76">
        <v>0</v>
      </c>
      <c r="GB257" s="76">
        <v>4</v>
      </c>
      <c r="GC257" s="76">
        <v>559</v>
      </c>
      <c r="GD257" s="76">
        <v>487</v>
      </c>
      <c r="GE257" s="76">
        <v>72</v>
      </c>
      <c r="GF257" s="76">
        <v>523</v>
      </c>
      <c r="GG257" s="76">
        <v>0</v>
      </c>
      <c r="GH257" s="76">
        <v>292</v>
      </c>
      <c r="GI257" s="76">
        <v>0</v>
      </c>
      <c r="GJ257" s="76">
        <v>0</v>
      </c>
      <c r="GK257" s="76">
        <v>820</v>
      </c>
      <c r="GL257" s="76">
        <v>1635</v>
      </c>
      <c r="GM257" s="76">
        <v>1684</v>
      </c>
      <c r="GN257" s="76">
        <v>600</v>
      </c>
      <c r="GO257" s="76">
        <v>0</v>
      </c>
      <c r="GP257" s="76">
        <v>126</v>
      </c>
      <c r="GQ257" s="76">
        <v>0</v>
      </c>
      <c r="GR257" s="76">
        <v>1036</v>
      </c>
      <c r="GS257" s="76">
        <v>0</v>
      </c>
      <c r="GT257" s="76">
        <v>0</v>
      </c>
      <c r="GU257" s="76">
        <v>0</v>
      </c>
      <c r="GV257" s="76">
        <v>0</v>
      </c>
      <c r="GW257" s="76">
        <v>100</v>
      </c>
      <c r="GX257" s="76">
        <v>3546</v>
      </c>
      <c r="GY257" s="76">
        <v>0</v>
      </c>
      <c r="GZ257" s="76">
        <v>0</v>
      </c>
      <c r="HA257" s="76">
        <v>0</v>
      </c>
      <c r="HB257" s="76">
        <v>0</v>
      </c>
      <c r="HC257" s="76">
        <v>0</v>
      </c>
      <c r="HD257" s="76">
        <v>0</v>
      </c>
      <c r="HE257" s="76">
        <v>0</v>
      </c>
      <c r="HF257" s="76">
        <v>0</v>
      </c>
      <c r="HG257" s="76">
        <v>4447</v>
      </c>
      <c r="HH257" s="76">
        <v>58</v>
      </c>
      <c r="HI257" s="76">
        <v>0</v>
      </c>
      <c r="HJ257" s="76">
        <v>0</v>
      </c>
      <c r="HK257" s="76">
        <v>0</v>
      </c>
      <c r="HL257" s="76">
        <v>-271</v>
      </c>
      <c r="HM257" s="76">
        <v>4234</v>
      </c>
      <c r="HN257" s="76">
        <v>1005</v>
      </c>
      <c r="HO257" s="76">
        <v>3624</v>
      </c>
      <c r="HP257" s="76">
        <v>0</v>
      </c>
      <c r="HQ257" s="76">
        <v>84</v>
      </c>
      <c r="HR257" s="76">
        <v>-11</v>
      </c>
      <c r="HS257" s="76">
        <v>-28</v>
      </c>
      <c r="HT257" s="76">
        <v>3503</v>
      </c>
      <c r="HU257" s="76">
        <v>26</v>
      </c>
      <c r="HV257" s="76">
        <v>0</v>
      </c>
      <c r="HW257" s="76">
        <v>5</v>
      </c>
      <c r="HX257" s="76">
        <v>91</v>
      </c>
    </row>
    <row r="258" spans="1:232" x14ac:dyDescent="0.2">
      <c r="A258" s="74" t="s">
        <v>0</v>
      </c>
      <c r="B258" s="74" t="s">
        <v>1</v>
      </c>
      <c r="C258" s="75" t="s">
        <v>200</v>
      </c>
      <c r="D258" s="75">
        <v>12</v>
      </c>
      <c r="E258" s="76">
        <v>32067</v>
      </c>
      <c r="F258" s="76">
        <v>-2002</v>
      </c>
      <c r="G258" s="76">
        <v>-17354</v>
      </c>
      <c r="H258" s="76">
        <v>12711</v>
      </c>
      <c r="I258" s="76">
        <v>80</v>
      </c>
      <c r="J258" s="76">
        <v>2540</v>
      </c>
      <c r="K258" s="76">
        <v>0</v>
      </c>
      <c r="L258" s="76">
        <v>0</v>
      </c>
      <c r="M258" s="76">
        <v>96</v>
      </c>
      <c r="N258" s="76">
        <v>-3213</v>
      </c>
      <c r="O258" s="76">
        <v>0</v>
      </c>
      <c r="P258" s="76">
        <v>0</v>
      </c>
      <c r="Q258" s="76">
        <v>0</v>
      </c>
      <c r="R258" s="76">
        <v>0</v>
      </c>
      <c r="S258" s="76">
        <v>12214</v>
      </c>
      <c r="T258" s="76">
        <v>0</v>
      </c>
      <c r="U258" s="76">
        <v>12214</v>
      </c>
      <c r="V258" s="76">
        <v>480</v>
      </c>
      <c r="W258" s="76">
        <v>-83</v>
      </c>
      <c r="X258" s="76">
        <v>0</v>
      </c>
      <c r="Y258" s="76">
        <v>0</v>
      </c>
      <c r="Z258" s="76">
        <v>12611</v>
      </c>
      <c r="AA258" s="76">
        <v>24870</v>
      </c>
      <c r="AB258" s="76">
        <v>929</v>
      </c>
      <c r="AC258" s="76">
        <v>25799</v>
      </c>
      <c r="AD258" s="76">
        <v>187</v>
      </c>
      <c r="AE258" s="76">
        <v>15</v>
      </c>
      <c r="AF258" s="76">
        <v>1185</v>
      </c>
      <c r="AG258" s="76">
        <v>0</v>
      </c>
      <c r="AH258" s="76">
        <v>27186</v>
      </c>
      <c r="AI258" s="76">
        <v>4894</v>
      </c>
      <c r="AJ258" s="76">
        <v>753</v>
      </c>
      <c r="AK258" s="76">
        <v>4311</v>
      </c>
      <c r="AL258" s="76">
        <v>1370</v>
      </c>
      <c r="AM258" s="76">
        <v>0</v>
      </c>
      <c r="AN258" s="76">
        <v>92</v>
      </c>
      <c r="AO258" s="76">
        <v>4909</v>
      </c>
      <c r="AP258" s="76">
        <v>117</v>
      </c>
      <c r="AQ258" s="76">
        <v>0</v>
      </c>
      <c r="AR258" s="76">
        <v>16446</v>
      </c>
      <c r="AS258" s="76">
        <v>10740</v>
      </c>
      <c r="AT258" s="76">
        <v>154</v>
      </c>
      <c r="AU258" s="76">
        <v>139436</v>
      </c>
      <c r="AV258" s="76">
        <v>0</v>
      </c>
      <c r="AW258" s="76">
        <v>4169</v>
      </c>
      <c r="AX258" s="76">
        <v>0</v>
      </c>
      <c r="AY258" s="76">
        <v>0</v>
      </c>
      <c r="AZ258" s="76">
        <v>5550</v>
      </c>
      <c r="BA258" s="76">
        <v>0</v>
      </c>
      <c r="BB258" s="76">
        <v>0</v>
      </c>
      <c r="BC258" s="76">
        <v>0</v>
      </c>
      <c r="BD258" s="76">
        <v>0</v>
      </c>
      <c r="BE258" s="76">
        <v>149155</v>
      </c>
      <c r="BF258" s="76">
        <v>969</v>
      </c>
      <c r="BG258" s="76">
        <v>3376</v>
      </c>
      <c r="BH258" s="76">
        <v>27583</v>
      </c>
      <c r="BI258" s="76">
        <v>0</v>
      </c>
      <c r="BJ258" s="76">
        <v>0</v>
      </c>
      <c r="BK258" s="76">
        <v>31928</v>
      </c>
      <c r="BL258" s="76">
        <v>0</v>
      </c>
      <c r="BM258" s="76">
        <v>0</v>
      </c>
      <c r="BN258" s="76">
        <v>0</v>
      </c>
      <c r="BO258" s="76">
        <v>4729</v>
      </c>
      <c r="BP258" s="76">
        <v>4729</v>
      </c>
      <c r="BQ258" s="76">
        <v>27199</v>
      </c>
      <c r="BR258" s="76">
        <v>176354</v>
      </c>
      <c r="BS258" s="76">
        <v>80000</v>
      </c>
      <c r="BT258" s="76">
        <v>0</v>
      </c>
      <c r="BU258" s="76">
        <v>0</v>
      </c>
      <c r="BV258" s="76">
        <v>10297</v>
      </c>
      <c r="BW258" s="76">
        <v>0</v>
      </c>
      <c r="BX258" s="76">
        <v>0</v>
      </c>
      <c r="BY258" s="76">
        <v>-551</v>
      </c>
      <c r="BZ258" s="76">
        <v>89746</v>
      </c>
      <c r="CA258" s="76">
        <v>6178</v>
      </c>
      <c r="CB258" s="76">
        <v>0</v>
      </c>
      <c r="CC258" s="76">
        <v>80430</v>
      </c>
      <c r="CD258" s="76">
        <v>75596</v>
      </c>
      <c r="CE258" s="76">
        <v>4834</v>
      </c>
      <c r="CF258" s="76">
        <v>0</v>
      </c>
      <c r="CG258" s="76">
        <v>0</v>
      </c>
      <c r="CH258" s="76">
        <v>0</v>
      </c>
      <c r="CI258" s="76">
        <v>80430</v>
      </c>
      <c r="CJ258" s="76">
        <v>2748</v>
      </c>
      <c r="CK258" s="76">
        <v>2002</v>
      </c>
      <c r="CL258" s="76">
        <v>0</v>
      </c>
      <c r="CM258" s="76">
        <v>746</v>
      </c>
      <c r="CN258" s="76">
        <v>310</v>
      </c>
      <c r="CO258" s="76">
        <v>0</v>
      </c>
      <c r="CP258" s="76">
        <v>287</v>
      </c>
      <c r="CQ258" s="76">
        <v>23</v>
      </c>
      <c r="CR258" s="76">
        <v>0</v>
      </c>
      <c r="CS258" s="76">
        <v>0</v>
      </c>
      <c r="CT258" s="76">
        <v>0</v>
      </c>
      <c r="CU258" s="76">
        <v>0</v>
      </c>
      <c r="CV258" s="76">
        <v>0</v>
      </c>
      <c r="CW258" s="76">
        <v>0</v>
      </c>
      <c r="CX258" s="76">
        <v>0</v>
      </c>
      <c r="CY258" s="76">
        <v>0</v>
      </c>
      <c r="CZ258" s="76">
        <v>426</v>
      </c>
      <c r="DA258" s="76">
        <v>0</v>
      </c>
      <c r="DB258" s="76">
        <v>320</v>
      </c>
      <c r="DC258" s="76">
        <v>106</v>
      </c>
      <c r="DD258" s="76">
        <v>3484</v>
      </c>
      <c r="DE258" s="76">
        <v>2002</v>
      </c>
      <c r="DF258" s="76">
        <v>607</v>
      </c>
      <c r="DG258" s="76">
        <v>875</v>
      </c>
      <c r="DH258" s="76">
        <v>0</v>
      </c>
      <c r="DI258" s="76">
        <v>0</v>
      </c>
      <c r="DJ258" s="76">
        <v>0</v>
      </c>
      <c r="DK258" s="76">
        <v>0</v>
      </c>
      <c r="DL258" s="76">
        <v>0</v>
      </c>
      <c r="DM258" s="76">
        <v>0</v>
      </c>
      <c r="DN258" s="76">
        <v>0</v>
      </c>
      <c r="DO258" s="76">
        <v>0</v>
      </c>
      <c r="DP258" s="76">
        <v>0</v>
      </c>
      <c r="DQ258" s="76">
        <v>0</v>
      </c>
      <c r="DR258" s="76">
        <v>0</v>
      </c>
      <c r="DS258" s="76">
        <v>0</v>
      </c>
      <c r="DT258" s="76">
        <v>0</v>
      </c>
      <c r="DU258" s="76">
        <v>0</v>
      </c>
      <c r="DV258" s="76">
        <v>0</v>
      </c>
      <c r="DW258" s="76">
        <v>0</v>
      </c>
      <c r="DX258" s="76">
        <v>0</v>
      </c>
      <c r="DY258" s="76">
        <v>0</v>
      </c>
      <c r="DZ258" s="76">
        <v>0</v>
      </c>
      <c r="EA258" s="76">
        <v>0</v>
      </c>
      <c r="EB258" s="76">
        <v>1397</v>
      </c>
      <c r="EC258" s="76">
        <v>0</v>
      </c>
      <c r="ED258" s="76">
        <v>301</v>
      </c>
      <c r="EE258" s="76">
        <v>1096</v>
      </c>
      <c r="EF258" s="76">
        <v>1397</v>
      </c>
      <c r="EG258" s="76">
        <v>0</v>
      </c>
      <c r="EH258" s="76">
        <v>301</v>
      </c>
      <c r="EI258" s="76">
        <v>1096</v>
      </c>
      <c r="EJ258" s="76">
        <v>4881</v>
      </c>
      <c r="EK258" s="76">
        <v>2002</v>
      </c>
      <c r="EL258" s="76">
        <v>908</v>
      </c>
      <c r="EM258" s="76">
        <v>1971</v>
      </c>
      <c r="EN258" s="76">
        <v>536</v>
      </c>
      <c r="EO258" s="76">
        <v>231</v>
      </c>
      <c r="EP258" s="76">
        <v>239</v>
      </c>
      <c r="EQ258" s="76">
        <v>177</v>
      </c>
      <c r="ER258" s="76">
        <v>141372</v>
      </c>
      <c r="ES258" s="76">
        <v>0</v>
      </c>
      <c r="ET258" s="76">
        <v>141372</v>
      </c>
      <c r="EU258" s="76">
        <v>24299</v>
      </c>
      <c r="EV258" s="76">
        <v>-328</v>
      </c>
      <c r="EW258" s="76">
        <v>0</v>
      </c>
      <c r="EX258" s="76">
        <v>0</v>
      </c>
      <c r="EY258" s="76">
        <v>0</v>
      </c>
      <c r="EZ258" s="76">
        <v>165343</v>
      </c>
      <c r="FA258" s="76">
        <v>21243</v>
      </c>
      <c r="FB258" s="76">
        <v>4734</v>
      </c>
      <c r="FC258" s="76">
        <v>117</v>
      </c>
      <c r="FD258" s="76">
        <v>0</v>
      </c>
      <c r="FE258" s="76">
        <v>-187</v>
      </c>
      <c r="FF258" s="76">
        <v>0</v>
      </c>
      <c r="FG258" s="76">
        <v>0</v>
      </c>
      <c r="FH258" s="76">
        <v>25907</v>
      </c>
      <c r="FI258" s="76">
        <v>139436</v>
      </c>
      <c r="FJ258" s="76">
        <v>120129</v>
      </c>
      <c r="FK258" s="76">
        <v>0</v>
      </c>
      <c r="FL258" s="76">
        <v>0</v>
      </c>
      <c r="FM258" s="76">
        <v>0</v>
      </c>
      <c r="FN258" s="76">
        <v>245</v>
      </c>
      <c r="FO258" s="76">
        <v>124</v>
      </c>
      <c r="FP258" s="76">
        <v>121</v>
      </c>
      <c r="FQ258" s="76">
        <v>249</v>
      </c>
      <c r="FR258" s="76">
        <v>352</v>
      </c>
      <c r="FS258" s="76">
        <v>-103</v>
      </c>
      <c r="FT258" s="76">
        <v>0</v>
      </c>
      <c r="FU258" s="76">
        <v>0</v>
      </c>
      <c r="FV258" s="76">
        <v>0</v>
      </c>
      <c r="FW258" s="76">
        <v>0</v>
      </c>
      <c r="FX258" s="76">
        <v>0</v>
      </c>
      <c r="FY258" s="76">
        <v>0</v>
      </c>
      <c r="FZ258" s="76">
        <v>63</v>
      </c>
      <c r="GA258" s="76">
        <v>1</v>
      </c>
      <c r="GB258" s="76">
        <v>62</v>
      </c>
      <c r="GC258" s="76">
        <v>557</v>
      </c>
      <c r="GD258" s="76">
        <v>477</v>
      </c>
      <c r="GE258" s="76">
        <v>80</v>
      </c>
      <c r="GF258" s="76">
        <v>0</v>
      </c>
      <c r="GG258" s="76">
        <v>0</v>
      </c>
      <c r="GH258" s="76">
        <v>0</v>
      </c>
      <c r="GI258" s="76">
        <v>0</v>
      </c>
      <c r="GJ258" s="76">
        <v>0</v>
      </c>
      <c r="GK258" s="76">
        <v>0</v>
      </c>
      <c r="GL258" s="76">
        <v>0</v>
      </c>
      <c r="GM258" s="76">
        <v>910</v>
      </c>
      <c r="GN258" s="76">
        <v>753</v>
      </c>
      <c r="GO258" s="76">
        <v>577</v>
      </c>
      <c r="GP258" s="76">
        <v>0</v>
      </c>
      <c r="GQ258" s="76">
        <v>93</v>
      </c>
      <c r="GR258" s="76">
        <v>187</v>
      </c>
      <c r="GS258" s="76">
        <v>0</v>
      </c>
      <c r="GT258" s="76">
        <v>0</v>
      </c>
      <c r="GU258" s="76">
        <v>0</v>
      </c>
      <c r="GV258" s="76">
        <v>0</v>
      </c>
      <c r="GW258" s="76">
        <v>2209</v>
      </c>
      <c r="GX258" s="76">
        <v>4729</v>
      </c>
      <c r="GY258" s="76">
        <v>0</v>
      </c>
      <c r="GZ258" s="76">
        <v>242</v>
      </c>
      <c r="HA258" s="76">
        <v>0</v>
      </c>
      <c r="HB258" s="76">
        <v>-793</v>
      </c>
      <c r="HC258" s="76">
        <v>-551</v>
      </c>
      <c r="HD258" s="76">
        <v>0</v>
      </c>
      <c r="HE258" s="76">
        <v>0</v>
      </c>
      <c r="HF258" s="76">
        <v>0</v>
      </c>
      <c r="HG258" s="76">
        <v>3226</v>
      </c>
      <c r="HH258" s="76">
        <v>122</v>
      </c>
      <c r="HI258" s="76">
        <v>205</v>
      </c>
      <c r="HJ258" s="76">
        <v>0</v>
      </c>
      <c r="HK258" s="76">
        <v>0</v>
      </c>
      <c r="HL258" s="76">
        <v>-340</v>
      </c>
      <c r="HM258" s="76">
        <v>3213</v>
      </c>
      <c r="HN258" s="76">
        <v>5434</v>
      </c>
      <c r="HO258" s="76">
        <v>4909</v>
      </c>
      <c r="HP258" s="76">
        <v>151</v>
      </c>
      <c r="HQ258" s="76">
        <v>295</v>
      </c>
      <c r="HR258" s="76">
        <v>-33</v>
      </c>
      <c r="HS258" s="76">
        <v>0</v>
      </c>
      <c r="HT258" s="76">
        <v>6185</v>
      </c>
      <c r="HU258" s="76">
        <v>0</v>
      </c>
      <c r="HV258" s="76">
        <v>0</v>
      </c>
      <c r="HW258" s="76">
        <v>0</v>
      </c>
      <c r="HX258" s="76">
        <v>0</v>
      </c>
    </row>
    <row r="259" spans="1:232" x14ac:dyDescent="0.2">
      <c r="A259" s="71" t="s">
        <v>709</v>
      </c>
      <c r="B259" s="71" t="s">
        <v>708</v>
      </c>
      <c r="C259" s="72" t="s">
        <v>200</v>
      </c>
      <c r="D259" s="72">
        <v>12</v>
      </c>
      <c r="E259" s="73">
        <v>17134</v>
      </c>
      <c r="F259" s="73">
        <v>-678</v>
      </c>
      <c r="G259" s="73">
        <v>-12054</v>
      </c>
      <c r="H259" s="73">
        <v>4402</v>
      </c>
      <c r="I259" s="73">
        <v>241</v>
      </c>
      <c r="J259" s="73">
        <v>4</v>
      </c>
      <c r="K259" s="73">
        <v>0</v>
      </c>
      <c r="L259" s="73">
        <v>0</v>
      </c>
      <c r="M259" s="73">
        <v>47</v>
      </c>
      <c r="N259" s="73">
        <v>-2906</v>
      </c>
      <c r="O259" s="73">
        <v>5</v>
      </c>
      <c r="P259" s="73">
        <v>0</v>
      </c>
      <c r="Q259" s="73">
        <v>0</v>
      </c>
      <c r="R259" s="73">
        <v>0</v>
      </c>
      <c r="S259" s="73">
        <v>1793</v>
      </c>
      <c r="T259" s="73">
        <v>0</v>
      </c>
      <c r="U259" s="73">
        <v>1793</v>
      </c>
      <c r="V259" s="73">
        <v>0</v>
      </c>
      <c r="W259" s="73">
        <v>0</v>
      </c>
      <c r="X259" s="73">
        <v>0</v>
      </c>
      <c r="Y259" s="73">
        <v>0</v>
      </c>
      <c r="Z259" s="73">
        <v>1793</v>
      </c>
      <c r="AA259" s="73">
        <v>11610</v>
      </c>
      <c r="AB259" s="73">
        <v>1715</v>
      </c>
      <c r="AC259" s="73">
        <v>13325</v>
      </c>
      <c r="AD259" s="73">
        <v>854</v>
      </c>
      <c r="AE259" s="73">
        <v>0</v>
      </c>
      <c r="AF259" s="73">
        <v>3</v>
      </c>
      <c r="AG259" s="73">
        <v>0</v>
      </c>
      <c r="AH259" s="73">
        <v>14182</v>
      </c>
      <c r="AI259" s="73">
        <v>2587</v>
      </c>
      <c r="AJ259" s="73">
        <v>1847</v>
      </c>
      <c r="AK259" s="73">
        <v>2270</v>
      </c>
      <c r="AL259" s="73">
        <v>606</v>
      </c>
      <c r="AM259" s="73">
        <v>0</v>
      </c>
      <c r="AN259" s="73">
        <v>118</v>
      </c>
      <c r="AO259" s="73">
        <v>2086</v>
      </c>
      <c r="AP259" s="73">
        <v>0</v>
      </c>
      <c r="AQ259" s="73">
        <v>48</v>
      </c>
      <c r="AR259" s="73">
        <v>9562</v>
      </c>
      <c r="AS259" s="73">
        <v>4620</v>
      </c>
      <c r="AT259" s="73">
        <v>66</v>
      </c>
      <c r="AU259" s="73">
        <v>131242</v>
      </c>
      <c r="AV259" s="73">
        <v>0</v>
      </c>
      <c r="AW259" s="73">
        <v>4080</v>
      </c>
      <c r="AX259" s="73">
        <v>0</v>
      </c>
      <c r="AY259" s="73">
        <v>0</v>
      </c>
      <c r="AZ259" s="73">
        <v>1700</v>
      </c>
      <c r="BA259" s="73">
        <v>0</v>
      </c>
      <c r="BB259" s="73">
        <v>0</v>
      </c>
      <c r="BC259" s="73">
        <v>0</v>
      </c>
      <c r="BD259" s="73">
        <v>1700</v>
      </c>
      <c r="BE259" s="73">
        <v>138722</v>
      </c>
      <c r="BF259" s="73">
        <v>313</v>
      </c>
      <c r="BG259" s="73">
        <v>1161</v>
      </c>
      <c r="BH259" s="73">
        <v>7438</v>
      </c>
      <c r="BI259" s="73">
        <v>0</v>
      </c>
      <c r="BJ259" s="73">
        <v>0</v>
      </c>
      <c r="BK259" s="73">
        <v>8912</v>
      </c>
      <c r="BL259" s="73">
        <v>117</v>
      </c>
      <c r="BM259" s="73">
        <v>0</v>
      </c>
      <c r="BN259" s="73">
        <v>854</v>
      </c>
      <c r="BO259" s="73">
        <v>3475</v>
      </c>
      <c r="BP259" s="73">
        <v>4446</v>
      </c>
      <c r="BQ259" s="73">
        <v>4466</v>
      </c>
      <c r="BR259" s="73">
        <v>143188</v>
      </c>
      <c r="BS259" s="73">
        <v>63337</v>
      </c>
      <c r="BT259" s="73">
        <v>0</v>
      </c>
      <c r="BU259" s="73">
        <v>0</v>
      </c>
      <c r="BV259" s="73">
        <v>56658</v>
      </c>
      <c r="BW259" s="73">
        <v>0</v>
      </c>
      <c r="BX259" s="73">
        <v>0</v>
      </c>
      <c r="BY259" s="73">
        <v>194</v>
      </c>
      <c r="BZ259" s="73">
        <v>120189</v>
      </c>
      <c r="CA259" s="73">
        <v>0</v>
      </c>
      <c r="CB259" s="73">
        <v>0</v>
      </c>
      <c r="CC259" s="73">
        <v>22999</v>
      </c>
      <c r="CD259" s="73">
        <v>22999</v>
      </c>
      <c r="CE259" s="73">
        <v>0</v>
      </c>
      <c r="CF259" s="73">
        <v>0</v>
      </c>
      <c r="CG259" s="73">
        <v>0</v>
      </c>
      <c r="CH259" s="73">
        <v>0</v>
      </c>
      <c r="CI259" s="73">
        <v>22999</v>
      </c>
      <c r="CJ259" s="73">
        <v>876</v>
      </c>
      <c r="CK259" s="73">
        <v>678</v>
      </c>
      <c r="CL259" s="73">
        <v>0</v>
      </c>
      <c r="CM259" s="73">
        <v>198</v>
      </c>
      <c r="CN259" s="73">
        <v>59</v>
      </c>
      <c r="CO259" s="73">
        <v>0</v>
      </c>
      <c r="CP259" s="73">
        <v>104</v>
      </c>
      <c r="CQ259" s="73">
        <v>-45</v>
      </c>
      <c r="CR259" s="73">
        <v>0</v>
      </c>
      <c r="CS259" s="73">
        <v>0</v>
      </c>
      <c r="CT259" s="73">
        <v>61</v>
      </c>
      <c r="CU259" s="73">
        <v>-61</v>
      </c>
      <c r="CV259" s="73">
        <v>0</v>
      </c>
      <c r="CW259" s="73">
        <v>0</v>
      </c>
      <c r="CX259" s="73">
        <v>0</v>
      </c>
      <c r="CY259" s="73">
        <v>0</v>
      </c>
      <c r="CZ259" s="73">
        <v>113</v>
      </c>
      <c r="DA259" s="73">
        <v>0</v>
      </c>
      <c r="DB259" s="73">
        <v>207</v>
      </c>
      <c r="DC259" s="73">
        <v>-94</v>
      </c>
      <c r="DD259" s="73">
        <v>1048</v>
      </c>
      <c r="DE259" s="73">
        <v>678</v>
      </c>
      <c r="DF259" s="73">
        <v>372</v>
      </c>
      <c r="DG259" s="73">
        <v>-2</v>
      </c>
      <c r="DH259" s="73">
        <v>0</v>
      </c>
      <c r="DI259" s="73">
        <v>0</v>
      </c>
      <c r="DJ259" s="73">
        <v>0</v>
      </c>
      <c r="DK259" s="73">
        <v>0</v>
      </c>
      <c r="DL259" s="73">
        <v>0</v>
      </c>
      <c r="DM259" s="73">
        <v>0</v>
      </c>
      <c r="DN259" s="73">
        <v>0</v>
      </c>
      <c r="DO259" s="73">
        <v>0</v>
      </c>
      <c r="DP259" s="73">
        <v>0</v>
      </c>
      <c r="DQ259" s="73">
        <v>0</v>
      </c>
      <c r="DR259" s="73">
        <v>0</v>
      </c>
      <c r="DS259" s="73">
        <v>0</v>
      </c>
      <c r="DT259" s="73">
        <v>0</v>
      </c>
      <c r="DU259" s="73">
        <v>0</v>
      </c>
      <c r="DV259" s="73">
        <v>0</v>
      </c>
      <c r="DW259" s="73">
        <v>0</v>
      </c>
      <c r="DX259" s="73">
        <v>0</v>
      </c>
      <c r="DY259" s="73">
        <v>0</v>
      </c>
      <c r="DZ259" s="73">
        <v>0</v>
      </c>
      <c r="EA259" s="73">
        <v>0</v>
      </c>
      <c r="EB259" s="73">
        <v>1904</v>
      </c>
      <c r="EC259" s="73">
        <v>0</v>
      </c>
      <c r="ED259" s="73">
        <v>2120</v>
      </c>
      <c r="EE259" s="73">
        <v>-216</v>
      </c>
      <c r="EF259" s="73">
        <v>1904</v>
      </c>
      <c r="EG259" s="73">
        <v>0</v>
      </c>
      <c r="EH259" s="73">
        <v>2120</v>
      </c>
      <c r="EI259" s="73">
        <v>-216</v>
      </c>
      <c r="EJ259" s="73">
        <v>2952</v>
      </c>
      <c r="EK259" s="73">
        <v>678</v>
      </c>
      <c r="EL259" s="73">
        <v>2492</v>
      </c>
      <c r="EM259" s="73">
        <v>-218</v>
      </c>
      <c r="EN259" s="73">
        <v>252</v>
      </c>
      <c r="EO259" s="73">
        <v>63</v>
      </c>
      <c r="EP259" s="73">
        <v>151</v>
      </c>
      <c r="EQ259" s="73">
        <v>63</v>
      </c>
      <c r="ER259" s="73">
        <v>149441</v>
      </c>
      <c r="ES259" s="73">
        <v>0</v>
      </c>
      <c r="ET259" s="73">
        <v>149441</v>
      </c>
      <c r="EU259" s="73">
        <v>8365</v>
      </c>
      <c r="EV259" s="73">
        <v>-997</v>
      </c>
      <c r="EW259" s="73">
        <v>0</v>
      </c>
      <c r="EX259" s="73">
        <v>0</v>
      </c>
      <c r="EY259" s="73">
        <v>0</v>
      </c>
      <c r="EZ259" s="73">
        <v>156809</v>
      </c>
      <c r="FA259" s="73">
        <v>24091</v>
      </c>
      <c r="FB259" s="73">
        <v>2086</v>
      </c>
      <c r="FC259" s="73">
        <v>0</v>
      </c>
      <c r="FD259" s="73">
        <v>0</v>
      </c>
      <c r="FE259" s="73">
        <v>-610</v>
      </c>
      <c r="FF259" s="73">
        <v>0</v>
      </c>
      <c r="FG259" s="73">
        <v>0</v>
      </c>
      <c r="FH259" s="73">
        <v>25567</v>
      </c>
      <c r="FI259" s="73">
        <v>131242</v>
      </c>
      <c r="FJ259" s="73">
        <v>125350</v>
      </c>
      <c r="FK259" s="73">
        <v>116</v>
      </c>
      <c r="FL259" s="73">
        <v>76</v>
      </c>
      <c r="FM259" s="73">
        <v>40</v>
      </c>
      <c r="FN259" s="73">
        <v>0</v>
      </c>
      <c r="FO259" s="73">
        <v>0</v>
      </c>
      <c r="FP259" s="73">
        <v>0</v>
      </c>
      <c r="FQ259" s="73">
        <v>0</v>
      </c>
      <c r="FR259" s="73">
        <v>0</v>
      </c>
      <c r="FS259" s="73">
        <v>0</v>
      </c>
      <c r="FT259" s="73">
        <v>0</v>
      </c>
      <c r="FU259" s="73">
        <v>0</v>
      </c>
      <c r="FV259" s="73">
        <v>0</v>
      </c>
      <c r="FW259" s="73">
        <v>0</v>
      </c>
      <c r="FX259" s="73">
        <v>0</v>
      </c>
      <c r="FY259" s="73">
        <v>0</v>
      </c>
      <c r="FZ259" s="73">
        <v>428</v>
      </c>
      <c r="GA259" s="73">
        <v>227</v>
      </c>
      <c r="GB259" s="73">
        <v>201</v>
      </c>
      <c r="GC259" s="73">
        <v>544</v>
      </c>
      <c r="GD259" s="73">
        <v>303</v>
      </c>
      <c r="GE259" s="73">
        <v>241</v>
      </c>
      <c r="GF259" s="73">
        <v>0</v>
      </c>
      <c r="GG259" s="73">
        <v>0</v>
      </c>
      <c r="GH259" s="73">
        <v>0</v>
      </c>
      <c r="GI259" s="73">
        <v>0</v>
      </c>
      <c r="GJ259" s="73">
        <v>0</v>
      </c>
      <c r="GK259" s="73">
        <v>0</v>
      </c>
      <c r="GL259" s="73">
        <v>0</v>
      </c>
      <c r="GM259" s="73">
        <v>615</v>
      </c>
      <c r="GN259" s="73">
        <v>467</v>
      </c>
      <c r="GO259" s="73">
        <v>331</v>
      </c>
      <c r="GP259" s="73">
        <v>1</v>
      </c>
      <c r="GQ259" s="73">
        <v>0</v>
      </c>
      <c r="GR259" s="73">
        <v>1776</v>
      </c>
      <c r="GS259" s="73">
        <v>0</v>
      </c>
      <c r="GT259" s="73">
        <v>0</v>
      </c>
      <c r="GU259" s="73">
        <v>0</v>
      </c>
      <c r="GV259" s="73">
        <v>0</v>
      </c>
      <c r="GW259" s="73">
        <v>285</v>
      </c>
      <c r="GX259" s="73">
        <v>3475</v>
      </c>
      <c r="GY259" s="73">
        <v>127</v>
      </c>
      <c r="GZ259" s="73">
        <v>0</v>
      </c>
      <c r="HA259" s="73">
        <v>0</v>
      </c>
      <c r="HB259" s="73">
        <v>67</v>
      </c>
      <c r="HC259" s="73">
        <v>194</v>
      </c>
      <c r="HD259" s="73">
        <v>0</v>
      </c>
      <c r="HE259" s="73">
        <v>0</v>
      </c>
      <c r="HF259" s="73">
        <v>0</v>
      </c>
      <c r="HG259" s="73">
        <v>3091</v>
      </c>
      <c r="HH259" s="73">
        <v>4</v>
      </c>
      <c r="HI259" s="73">
        <v>0</v>
      </c>
      <c r="HJ259" s="73">
        <v>0</v>
      </c>
      <c r="HK259" s="73">
        <v>0</v>
      </c>
      <c r="HL259" s="73">
        <v>-189</v>
      </c>
      <c r="HM259" s="73">
        <v>2906</v>
      </c>
      <c r="HN259" s="73">
        <v>786</v>
      </c>
      <c r="HO259" s="73">
        <v>2431</v>
      </c>
      <c r="HP259" s="73">
        <v>0</v>
      </c>
      <c r="HQ259" s="73">
        <v>46</v>
      </c>
      <c r="HR259" s="73">
        <v>-8</v>
      </c>
      <c r="HS259" s="73">
        <v>-5</v>
      </c>
      <c r="HT259" s="73">
        <v>2787</v>
      </c>
      <c r="HU259" s="73">
        <v>0</v>
      </c>
      <c r="HV259" s="73">
        <v>0</v>
      </c>
      <c r="HW259" s="73">
        <v>-94</v>
      </c>
      <c r="HX259" s="73">
        <v>141</v>
      </c>
    </row>
    <row r="260" spans="1:232" x14ac:dyDescent="0.2">
      <c r="A260" s="74" t="s">
        <v>710</v>
      </c>
      <c r="B260" s="74" t="s">
        <v>711</v>
      </c>
      <c r="C260" s="75" t="s">
        <v>200</v>
      </c>
      <c r="D260" s="75">
        <v>12</v>
      </c>
      <c r="E260" s="76">
        <v>51534</v>
      </c>
      <c r="F260" s="76">
        <v>-452</v>
      </c>
      <c r="G260" s="76">
        <v>-34054</v>
      </c>
      <c r="H260" s="76">
        <v>17028</v>
      </c>
      <c r="I260" s="76">
        <v>3035</v>
      </c>
      <c r="J260" s="76">
        <v>0</v>
      </c>
      <c r="K260" s="76">
        <v>0</v>
      </c>
      <c r="L260" s="76">
        <v>0</v>
      </c>
      <c r="M260" s="76">
        <v>59</v>
      </c>
      <c r="N260" s="76">
        <v>-11445</v>
      </c>
      <c r="O260" s="76">
        <v>0</v>
      </c>
      <c r="P260" s="76">
        <v>-2215</v>
      </c>
      <c r="Q260" s="76">
        <v>0</v>
      </c>
      <c r="R260" s="76">
        <v>0</v>
      </c>
      <c r="S260" s="76">
        <v>6462</v>
      </c>
      <c r="T260" s="76">
        <v>0</v>
      </c>
      <c r="U260" s="76">
        <v>6462</v>
      </c>
      <c r="V260" s="76">
        <v>0</v>
      </c>
      <c r="W260" s="76">
        <v>0</v>
      </c>
      <c r="X260" s="76">
        <v>823</v>
      </c>
      <c r="Y260" s="76">
        <v>0</v>
      </c>
      <c r="Z260" s="76">
        <v>7285</v>
      </c>
      <c r="AA260" s="76">
        <v>43952</v>
      </c>
      <c r="AB260" s="76">
        <v>4167</v>
      </c>
      <c r="AC260" s="76">
        <v>48119</v>
      </c>
      <c r="AD260" s="76">
        <v>2436</v>
      </c>
      <c r="AE260" s="76">
        <v>0</v>
      </c>
      <c r="AF260" s="76">
        <v>0</v>
      </c>
      <c r="AG260" s="76">
        <v>200</v>
      </c>
      <c r="AH260" s="76">
        <v>50755</v>
      </c>
      <c r="AI260" s="76">
        <v>9774</v>
      </c>
      <c r="AJ260" s="76">
        <v>3541</v>
      </c>
      <c r="AK260" s="76">
        <v>7547</v>
      </c>
      <c r="AL260" s="76">
        <v>2055</v>
      </c>
      <c r="AM260" s="76">
        <v>2207</v>
      </c>
      <c r="AN260" s="76">
        <v>322</v>
      </c>
      <c r="AO260" s="76">
        <v>8377</v>
      </c>
      <c r="AP260" s="76">
        <v>231</v>
      </c>
      <c r="AQ260" s="76">
        <v>0</v>
      </c>
      <c r="AR260" s="76">
        <v>34054</v>
      </c>
      <c r="AS260" s="76">
        <v>16701</v>
      </c>
      <c r="AT260" s="76">
        <v>479</v>
      </c>
      <c r="AU260" s="76">
        <v>521934</v>
      </c>
      <c r="AV260" s="76">
        <v>0</v>
      </c>
      <c r="AW260" s="76">
        <v>2678</v>
      </c>
      <c r="AX260" s="76">
        <v>0</v>
      </c>
      <c r="AY260" s="76">
        <v>0</v>
      </c>
      <c r="AZ260" s="76">
        <v>0</v>
      </c>
      <c r="BA260" s="76">
        <v>0</v>
      </c>
      <c r="BB260" s="76">
        <v>0</v>
      </c>
      <c r="BC260" s="76">
        <v>0</v>
      </c>
      <c r="BD260" s="76">
        <v>0</v>
      </c>
      <c r="BE260" s="76">
        <v>524612</v>
      </c>
      <c r="BF260" s="76">
        <v>1109</v>
      </c>
      <c r="BG260" s="76">
        <v>1852</v>
      </c>
      <c r="BH260" s="76">
        <v>6850</v>
      </c>
      <c r="BI260" s="76">
        <v>1829</v>
      </c>
      <c r="BJ260" s="76">
        <v>7231</v>
      </c>
      <c r="BK260" s="76">
        <v>18871</v>
      </c>
      <c r="BL260" s="76">
        <v>7256</v>
      </c>
      <c r="BM260" s="76">
        <v>0</v>
      </c>
      <c r="BN260" s="76">
        <v>0</v>
      </c>
      <c r="BO260" s="76">
        <v>15932</v>
      </c>
      <c r="BP260" s="76">
        <v>23188</v>
      </c>
      <c r="BQ260" s="76">
        <v>-4317</v>
      </c>
      <c r="BR260" s="76">
        <v>520295</v>
      </c>
      <c r="BS260" s="76">
        <v>205434</v>
      </c>
      <c r="BT260" s="76">
        <v>21574</v>
      </c>
      <c r="BU260" s="76">
        <v>0</v>
      </c>
      <c r="BV260" s="76">
        <v>203734</v>
      </c>
      <c r="BW260" s="76">
        <v>0</v>
      </c>
      <c r="BX260" s="76">
        <v>42109</v>
      </c>
      <c r="BY260" s="76">
        <v>10339</v>
      </c>
      <c r="BZ260" s="76">
        <v>483190</v>
      </c>
      <c r="CA260" s="76">
        <v>0</v>
      </c>
      <c r="CB260" s="76">
        <v>0</v>
      </c>
      <c r="CC260" s="76">
        <v>37105</v>
      </c>
      <c r="CD260" s="76">
        <v>68499</v>
      </c>
      <c r="CE260" s="76">
        <v>0</v>
      </c>
      <c r="CF260" s="76">
        <v>0</v>
      </c>
      <c r="CG260" s="76">
        <v>-31394</v>
      </c>
      <c r="CH260" s="76">
        <v>0</v>
      </c>
      <c r="CI260" s="76">
        <v>37105</v>
      </c>
      <c r="CJ260" s="76">
        <v>778</v>
      </c>
      <c r="CK260" s="76">
        <v>613</v>
      </c>
      <c r="CL260" s="76">
        <v>0</v>
      </c>
      <c r="CM260" s="76">
        <v>165</v>
      </c>
      <c r="CN260" s="76">
        <v>0</v>
      </c>
      <c r="CO260" s="76">
        <v>0</v>
      </c>
      <c r="CP260" s="76">
        <v>0</v>
      </c>
      <c r="CQ260" s="76">
        <v>0</v>
      </c>
      <c r="CR260" s="76">
        <v>0</v>
      </c>
      <c r="CS260" s="76">
        <v>0</v>
      </c>
      <c r="CT260" s="76">
        <v>0</v>
      </c>
      <c r="CU260" s="76">
        <v>0</v>
      </c>
      <c r="CV260" s="76">
        <v>0</v>
      </c>
      <c r="CW260" s="76">
        <v>0</v>
      </c>
      <c r="CX260" s="76">
        <v>0</v>
      </c>
      <c r="CY260" s="76">
        <v>0</v>
      </c>
      <c r="CZ260" s="76">
        <v>1</v>
      </c>
      <c r="DA260" s="76">
        <v>-161</v>
      </c>
      <c r="DB260" s="76">
        <v>0</v>
      </c>
      <c r="DC260" s="76">
        <v>162</v>
      </c>
      <c r="DD260" s="76">
        <v>779</v>
      </c>
      <c r="DE260" s="76">
        <v>452</v>
      </c>
      <c r="DF260" s="76">
        <v>0</v>
      </c>
      <c r="DG260" s="76">
        <v>327</v>
      </c>
      <c r="DH260" s="76">
        <v>0</v>
      </c>
      <c r="DI260" s="76">
        <v>0</v>
      </c>
      <c r="DJ260" s="76">
        <v>0</v>
      </c>
      <c r="DK260" s="76">
        <v>0</v>
      </c>
      <c r="DL260" s="76">
        <v>0</v>
      </c>
      <c r="DM260" s="76">
        <v>0</v>
      </c>
      <c r="DN260" s="76">
        <v>0</v>
      </c>
      <c r="DO260" s="76">
        <v>0</v>
      </c>
      <c r="DP260" s="76">
        <v>0</v>
      </c>
      <c r="DQ260" s="76">
        <v>0</v>
      </c>
      <c r="DR260" s="76">
        <v>0</v>
      </c>
      <c r="DS260" s="76">
        <v>0</v>
      </c>
      <c r="DT260" s="76">
        <v>0</v>
      </c>
      <c r="DU260" s="76">
        <v>0</v>
      </c>
      <c r="DV260" s="76">
        <v>0</v>
      </c>
      <c r="DW260" s="76">
        <v>0</v>
      </c>
      <c r="DX260" s="76">
        <v>0</v>
      </c>
      <c r="DY260" s="76">
        <v>0</v>
      </c>
      <c r="DZ260" s="76">
        <v>0</v>
      </c>
      <c r="EA260" s="76">
        <v>0</v>
      </c>
      <c r="EB260" s="76">
        <v>0</v>
      </c>
      <c r="EC260" s="76">
        <v>0</v>
      </c>
      <c r="ED260" s="76">
        <v>0</v>
      </c>
      <c r="EE260" s="76">
        <v>0</v>
      </c>
      <c r="EF260" s="76">
        <v>0</v>
      </c>
      <c r="EG260" s="76">
        <v>0</v>
      </c>
      <c r="EH260" s="76">
        <v>0</v>
      </c>
      <c r="EI260" s="76">
        <v>0</v>
      </c>
      <c r="EJ260" s="76">
        <v>779</v>
      </c>
      <c r="EK260" s="76">
        <v>452</v>
      </c>
      <c r="EL260" s="76">
        <v>0</v>
      </c>
      <c r="EM260" s="76">
        <v>327</v>
      </c>
      <c r="EN260" s="76">
        <v>2042</v>
      </c>
      <c r="EO260" s="76">
        <v>466</v>
      </c>
      <c r="EP260" s="76">
        <v>190</v>
      </c>
      <c r="EQ260" s="76">
        <v>466</v>
      </c>
      <c r="ER260" s="76">
        <v>602232</v>
      </c>
      <c r="ES260" s="76">
        <v>0</v>
      </c>
      <c r="ET260" s="76">
        <v>602232</v>
      </c>
      <c r="EU260" s="76">
        <v>14132</v>
      </c>
      <c r="EV260" s="76">
        <v>-4625</v>
      </c>
      <c r="EW260" s="76">
        <v>0</v>
      </c>
      <c r="EX260" s="76">
        <v>0</v>
      </c>
      <c r="EY260" s="76">
        <v>-1458</v>
      </c>
      <c r="EZ260" s="76">
        <v>610281</v>
      </c>
      <c r="FA260" s="76">
        <v>81943</v>
      </c>
      <c r="FB260" s="76">
        <v>8149</v>
      </c>
      <c r="FC260" s="76">
        <v>231</v>
      </c>
      <c r="FD260" s="76">
        <v>0</v>
      </c>
      <c r="FE260" s="76">
        <v>-878</v>
      </c>
      <c r="FF260" s="76">
        <v>0</v>
      </c>
      <c r="FG260" s="76">
        <v>-1098</v>
      </c>
      <c r="FH260" s="76">
        <v>88347</v>
      </c>
      <c r="FI260" s="76">
        <v>521934</v>
      </c>
      <c r="FJ260" s="76">
        <v>520289</v>
      </c>
      <c r="FK260" s="76">
        <v>3546</v>
      </c>
      <c r="FL260" s="76">
        <v>1658</v>
      </c>
      <c r="FM260" s="76">
        <v>1888</v>
      </c>
      <c r="FN260" s="76">
        <v>452</v>
      </c>
      <c r="FO260" s="76">
        <v>216</v>
      </c>
      <c r="FP260" s="76">
        <v>236</v>
      </c>
      <c r="FQ260" s="76">
        <v>154</v>
      </c>
      <c r="FR260" s="76">
        <v>142</v>
      </c>
      <c r="FS260" s="76">
        <v>12</v>
      </c>
      <c r="FT260" s="76">
        <v>1572</v>
      </c>
      <c r="FU260" s="76">
        <v>673</v>
      </c>
      <c r="FV260" s="76">
        <v>899</v>
      </c>
      <c r="FW260" s="76">
        <v>0</v>
      </c>
      <c r="FX260" s="76">
        <v>0</v>
      </c>
      <c r="FY260" s="76">
        <v>0</v>
      </c>
      <c r="FZ260" s="76">
        <v>0</v>
      </c>
      <c r="GA260" s="76">
        <v>0</v>
      </c>
      <c r="GB260" s="76">
        <v>0</v>
      </c>
      <c r="GC260" s="76">
        <v>5724</v>
      </c>
      <c r="GD260" s="76">
        <v>2689</v>
      </c>
      <c r="GE260" s="76">
        <v>3035</v>
      </c>
      <c r="GF260" s="76">
        <v>7007</v>
      </c>
      <c r="GG260" s="76">
        <v>0</v>
      </c>
      <c r="GH260" s="76">
        <v>51</v>
      </c>
      <c r="GI260" s="76">
        <v>0</v>
      </c>
      <c r="GJ260" s="76">
        <v>0</v>
      </c>
      <c r="GK260" s="76">
        <v>173</v>
      </c>
      <c r="GL260" s="76">
        <v>7231</v>
      </c>
      <c r="GM260" s="76">
        <v>243</v>
      </c>
      <c r="GN260" s="76">
        <v>1229</v>
      </c>
      <c r="GO260" s="76">
        <v>6254</v>
      </c>
      <c r="GP260" s="76">
        <v>701</v>
      </c>
      <c r="GQ260" s="76">
        <v>272</v>
      </c>
      <c r="GR260" s="76">
        <v>992</v>
      </c>
      <c r="GS260" s="76">
        <v>0</v>
      </c>
      <c r="GT260" s="76">
        <v>0</v>
      </c>
      <c r="GU260" s="76">
        <v>1329</v>
      </c>
      <c r="GV260" s="76">
        <v>0</v>
      </c>
      <c r="GW260" s="76">
        <v>4912</v>
      </c>
      <c r="GX260" s="76">
        <v>15932</v>
      </c>
      <c r="GY260" s="76">
        <v>1872</v>
      </c>
      <c r="GZ260" s="76">
        <v>190</v>
      </c>
      <c r="HA260" s="76">
        <v>8277</v>
      </c>
      <c r="HB260" s="76">
        <v>0</v>
      </c>
      <c r="HC260" s="76">
        <v>10339</v>
      </c>
      <c r="HD260" s="76">
        <v>0</v>
      </c>
      <c r="HE260" s="76">
        <v>0</v>
      </c>
      <c r="HF260" s="76">
        <v>0</v>
      </c>
      <c r="HG260" s="76">
        <v>10886</v>
      </c>
      <c r="HH260" s="76">
        <v>264</v>
      </c>
      <c r="HI260" s="76">
        <v>469</v>
      </c>
      <c r="HJ260" s="76">
        <v>10</v>
      </c>
      <c r="HK260" s="76">
        <v>0</v>
      </c>
      <c r="HL260" s="76">
        <v>-184</v>
      </c>
      <c r="HM260" s="76">
        <v>11445</v>
      </c>
      <c r="HN260" s="76">
        <v>2410</v>
      </c>
      <c r="HO260" s="76">
        <v>8482</v>
      </c>
      <c r="HP260" s="76">
        <v>231</v>
      </c>
      <c r="HQ260" s="76">
        <v>145</v>
      </c>
      <c r="HR260" s="76">
        <v>-59</v>
      </c>
      <c r="HS260" s="76">
        <v>81</v>
      </c>
      <c r="HT260" s="76">
        <v>10329</v>
      </c>
      <c r="HU260" s="76">
        <v>0</v>
      </c>
      <c r="HV260" s="76">
        <v>0</v>
      </c>
      <c r="HW260" s="76">
        <v>0</v>
      </c>
      <c r="HX260" s="76">
        <v>0</v>
      </c>
    </row>
    <row r="261" spans="1:232" x14ac:dyDescent="0.2">
      <c r="A261" s="74" t="s">
        <v>712</v>
      </c>
      <c r="B261" s="74" t="s">
        <v>713</v>
      </c>
      <c r="C261" s="75" t="s">
        <v>200</v>
      </c>
      <c r="D261" s="75">
        <v>12</v>
      </c>
      <c r="E261" s="76">
        <v>23514</v>
      </c>
      <c r="F261" s="76">
        <v>-1324</v>
      </c>
      <c r="G261" s="76">
        <v>-14931</v>
      </c>
      <c r="H261" s="76">
        <v>7259</v>
      </c>
      <c r="I261" s="76">
        <v>3302</v>
      </c>
      <c r="J261" s="76">
        <v>0</v>
      </c>
      <c r="K261" s="76">
        <v>0</v>
      </c>
      <c r="L261" s="76">
        <v>0</v>
      </c>
      <c r="M261" s="76">
        <v>9</v>
      </c>
      <c r="N261" s="76">
        <v>-2835</v>
      </c>
      <c r="O261" s="76">
        <v>0</v>
      </c>
      <c r="P261" s="76">
        <v>-1368</v>
      </c>
      <c r="Q261" s="76">
        <v>0</v>
      </c>
      <c r="R261" s="76">
        <v>0</v>
      </c>
      <c r="S261" s="76">
        <v>6367</v>
      </c>
      <c r="T261" s="76">
        <v>0</v>
      </c>
      <c r="U261" s="76">
        <v>6367</v>
      </c>
      <c r="V261" s="76">
        <v>0</v>
      </c>
      <c r="W261" s="76">
        <v>0</v>
      </c>
      <c r="X261" s="76">
        <v>1596</v>
      </c>
      <c r="Y261" s="76">
        <v>0</v>
      </c>
      <c r="Z261" s="76">
        <v>7963</v>
      </c>
      <c r="AA261" s="76">
        <v>18238</v>
      </c>
      <c r="AB261" s="76">
        <v>2602</v>
      </c>
      <c r="AC261" s="76">
        <v>20840</v>
      </c>
      <c r="AD261" s="76">
        <v>966</v>
      </c>
      <c r="AE261" s="76">
        <v>0</v>
      </c>
      <c r="AF261" s="76">
        <v>0</v>
      </c>
      <c r="AG261" s="76">
        <v>57</v>
      </c>
      <c r="AH261" s="76">
        <v>21863</v>
      </c>
      <c r="AI261" s="76">
        <v>4171</v>
      </c>
      <c r="AJ261" s="76">
        <v>2141</v>
      </c>
      <c r="AK261" s="76">
        <v>2944</v>
      </c>
      <c r="AL261" s="76">
        <v>732</v>
      </c>
      <c r="AM261" s="76">
        <v>1078</v>
      </c>
      <c r="AN261" s="76">
        <v>211</v>
      </c>
      <c r="AO261" s="76">
        <v>3654</v>
      </c>
      <c r="AP261" s="76">
        <v>0</v>
      </c>
      <c r="AQ261" s="76">
        <v>0</v>
      </c>
      <c r="AR261" s="76">
        <v>14931</v>
      </c>
      <c r="AS261" s="76">
        <v>6932</v>
      </c>
      <c r="AT261" s="76">
        <v>448</v>
      </c>
      <c r="AU261" s="76">
        <v>235191</v>
      </c>
      <c r="AV261" s="76">
        <v>0</v>
      </c>
      <c r="AW261" s="76">
        <v>990</v>
      </c>
      <c r="AX261" s="76">
        <v>0</v>
      </c>
      <c r="AY261" s="76">
        <v>0</v>
      </c>
      <c r="AZ261" s="76">
        <v>0</v>
      </c>
      <c r="BA261" s="76">
        <v>0</v>
      </c>
      <c r="BB261" s="76">
        <v>0</v>
      </c>
      <c r="BC261" s="76">
        <v>0</v>
      </c>
      <c r="BD261" s="76">
        <v>0</v>
      </c>
      <c r="BE261" s="76">
        <v>236181</v>
      </c>
      <c r="BF261" s="76">
        <v>2058</v>
      </c>
      <c r="BG261" s="76">
        <v>710</v>
      </c>
      <c r="BH261" s="76">
        <v>6741</v>
      </c>
      <c r="BI261" s="76">
        <v>572</v>
      </c>
      <c r="BJ261" s="76">
        <v>157</v>
      </c>
      <c r="BK261" s="76">
        <v>10238</v>
      </c>
      <c r="BL261" s="76">
        <v>1408</v>
      </c>
      <c r="BM261" s="76">
        <v>0</v>
      </c>
      <c r="BN261" s="76">
        <v>0</v>
      </c>
      <c r="BO261" s="76">
        <v>7921</v>
      </c>
      <c r="BP261" s="76">
        <v>9329</v>
      </c>
      <c r="BQ261" s="76">
        <v>909</v>
      </c>
      <c r="BR261" s="76">
        <v>237090</v>
      </c>
      <c r="BS261" s="76">
        <v>64423</v>
      </c>
      <c r="BT261" s="76">
        <v>0</v>
      </c>
      <c r="BU261" s="76">
        <v>0</v>
      </c>
      <c r="BV261" s="76">
        <v>76378</v>
      </c>
      <c r="BW261" s="76">
        <v>0</v>
      </c>
      <c r="BX261" s="76">
        <v>5588</v>
      </c>
      <c r="BY261" s="76">
        <v>440</v>
      </c>
      <c r="BZ261" s="76">
        <v>146829</v>
      </c>
      <c r="CA261" s="76">
        <v>0</v>
      </c>
      <c r="CB261" s="76">
        <v>0</v>
      </c>
      <c r="CC261" s="76">
        <v>90261</v>
      </c>
      <c r="CD261" s="76">
        <v>93941</v>
      </c>
      <c r="CE261" s="76">
        <v>0</v>
      </c>
      <c r="CF261" s="76">
        <v>0</v>
      </c>
      <c r="CG261" s="76">
        <v>-3680</v>
      </c>
      <c r="CH261" s="76">
        <v>0</v>
      </c>
      <c r="CI261" s="76">
        <v>90261</v>
      </c>
      <c r="CJ261" s="76">
        <v>1651</v>
      </c>
      <c r="CK261" s="76">
        <v>1322</v>
      </c>
      <c r="CL261" s="76">
        <v>0</v>
      </c>
      <c r="CM261" s="76">
        <v>329</v>
      </c>
      <c r="CN261" s="76">
        <v>0</v>
      </c>
      <c r="CO261" s="76">
        <v>0</v>
      </c>
      <c r="CP261" s="76">
        <v>0</v>
      </c>
      <c r="CQ261" s="76">
        <v>0</v>
      </c>
      <c r="CR261" s="76">
        <v>0</v>
      </c>
      <c r="CS261" s="76">
        <v>0</v>
      </c>
      <c r="CT261" s="76">
        <v>0</v>
      </c>
      <c r="CU261" s="76">
        <v>0</v>
      </c>
      <c r="CV261" s="76">
        <v>0</v>
      </c>
      <c r="CW261" s="76">
        <v>0</v>
      </c>
      <c r="CX261" s="76">
        <v>0</v>
      </c>
      <c r="CY261" s="76">
        <v>0</v>
      </c>
      <c r="CZ261" s="76">
        <v>0</v>
      </c>
      <c r="DA261" s="76">
        <v>2</v>
      </c>
      <c r="DB261" s="76">
        <v>0</v>
      </c>
      <c r="DC261" s="76">
        <v>-2</v>
      </c>
      <c r="DD261" s="76">
        <v>1651</v>
      </c>
      <c r="DE261" s="76">
        <v>1324</v>
      </c>
      <c r="DF261" s="76">
        <v>0</v>
      </c>
      <c r="DG261" s="76">
        <v>327</v>
      </c>
      <c r="DH261" s="76">
        <v>0</v>
      </c>
      <c r="DI261" s="76">
        <v>0</v>
      </c>
      <c r="DJ261" s="76">
        <v>0</v>
      </c>
      <c r="DK261" s="76">
        <v>0</v>
      </c>
      <c r="DL261" s="76">
        <v>0</v>
      </c>
      <c r="DM261" s="76">
        <v>0</v>
      </c>
      <c r="DN261" s="76">
        <v>0</v>
      </c>
      <c r="DO261" s="76">
        <v>0</v>
      </c>
      <c r="DP261" s="76">
        <v>0</v>
      </c>
      <c r="DQ261" s="76">
        <v>0</v>
      </c>
      <c r="DR261" s="76">
        <v>0</v>
      </c>
      <c r="DS261" s="76">
        <v>0</v>
      </c>
      <c r="DT261" s="76">
        <v>0</v>
      </c>
      <c r="DU261" s="76">
        <v>0</v>
      </c>
      <c r="DV261" s="76">
        <v>0</v>
      </c>
      <c r="DW261" s="76">
        <v>0</v>
      </c>
      <c r="DX261" s="76">
        <v>0</v>
      </c>
      <c r="DY261" s="76">
        <v>0</v>
      </c>
      <c r="DZ261" s="76">
        <v>0</v>
      </c>
      <c r="EA261" s="76">
        <v>0</v>
      </c>
      <c r="EB261" s="76">
        <v>0</v>
      </c>
      <c r="EC261" s="76">
        <v>0</v>
      </c>
      <c r="ED261" s="76">
        <v>0</v>
      </c>
      <c r="EE261" s="76">
        <v>0</v>
      </c>
      <c r="EF261" s="76">
        <v>0</v>
      </c>
      <c r="EG261" s="76">
        <v>0</v>
      </c>
      <c r="EH261" s="76">
        <v>0</v>
      </c>
      <c r="EI261" s="76">
        <v>0</v>
      </c>
      <c r="EJ261" s="76">
        <v>1651</v>
      </c>
      <c r="EK261" s="76">
        <v>1324</v>
      </c>
      <c r="EL261" s="76">
        <v>0</v>
      </c>
      <c r="EM261" s="76">
        <v>327</v>
      </c>
      <c r="EN261" s="76">
        <v>764</v>
      </c>
      <c r="EO261" s="76">
        <v>284</v>
      </c>
      <c r="EP261" s="76">
        <v>54</v>
      </c>
      <c r="EQ261" s="76">
        <v>284</v>
      </c>
      <c r="ER261" s="76">
        <v>258617</v>
      </c>
      <c r="ES261" s="76">
        <v>0</v>
      </c>
      <c r="ET261" s="76">
        <v>258617</v>
      </c>
      <c r="EU261" s="76">
        <v>16426</v>
      </c>
      <c r="EV261" s="76">
        <v>-3215</v>
      </c>
      <c r="EW261" s="76">
        <v>0</v>
      </c>
      <c r="EX261" s="76">
        <v>0</v>
      </c>
      <c r="EY261" s="76">
        <v>-2842</v>
      </c>
      <c r="EZ261" s="76">
        <v>268986</v>
      </c>
      <c r="FA261" s="76">
        <v>30611</v>
      </c>
      <c r="FB261" s="76">
        <v>3621</v>
      </c>
      <c r="FC261" s="76">
        <v>0</v>
      </c>
      <c r="FD261" s="76">
        <v>0</v>
      </c>
      <c r="FE261" s="76">
        <v>-645</v>
      </c>
      <c r="FF261" s="76">
        <v>0</v>
      </c>
      <c r="FG261" s="76">
        <v>208</v>
      </c>
      <c r="FH261" s="76">
        <v>33795</v>
      </c>
      <c r="FI261" s="76">
        <v>235191</v>
      </c>
      <c r="FJ261" s="76">
        <v>228006</v>
      </c>
      <c r="FK261" s="76">
        <v>714</v>
      </c>
      <c r="FL261" s="76">
        <v>513</v>
      </c>
      <c r="FM261" s="76">
        <v>201</v>
      </c>
      <c r="FN261" s="76">
        <v>90</v>
      </c>
      <c r="FO261" s="76">
        <v>93</v>
      </c>
      <c r="FP261" s="76">
        <v>-3</v>
      </c>
      <c r="FQ261" s="76">
        <v>210</v>
      </c>
      <c r="FR261" s="76">
        <v>210</v>
      </c>
      <c r="FS261" s="76">
        <v>0</v>
      </c>
      <c r="FT261" s="76">
        <v>0</v>
      </c>
      <c r="FU261" s="76">
        <v>0</v>
      </c>
      <c r="FV261" s="76">
        <v>0</v>
      </c>
      <c r="FW261" s="76">
        <v>4010</v>
      </c>
      <c r="FX261" s="76">
        <v>906</v>
      </c>
      <c r="FY261" s="76">
        <v>3104</v>
      </c>
      <c r="FZ261" s="76">
        <v>0</v>
      </c>
      <c r="GA261" s="76">
        <v>0</v>
      </c>
      <c r="GB261" s="76">
        <v>0</v>
      </c>
      <c r="GC261" s="76">
        <v>5024</v>
      </c>
      <c r="GD261" s="76">
        <v>1722</v>
      </c>
      <c r="GE261" s="76">
        <v>3302</v>
      </c>
      <c r="GF261" s="76">
        <v>0</v>
      </c>
      <c r="GG261" s="76">
        <v>0</v>
      </c>
      <c r="GH261" s="76">
        <v>0</v>
      </c>
      <c r="GI261" s="76">
        <v>0</v>
      </c>
      <c r="GJ261" s="76">
        <v>0</v>
      </c>
      <c r="GK261" s="76">
        <v>157</v>
      </c>
      <c r="GL261" s="76">
        <v>157</v>
      </c>
      <c r="GM261" s="76">
        <v>103</v>
      </c>
      <c r="GN261" s="76">
        <v>479</v>
      </c>
      <c r="GO261" s="76">
        <v>5691</v>
      </c>
      <c r="GP261" s="76">
        <v>93</v>
      </c>
      <c r="GQ261" s="76">
        <v>103</v>
      </c>
      <c r="GR261" s="76">
        <v>397</v>
      </c>
      <c r="GS261" s="76">
        <v>0</v>
      </c>
      <c r="GT261" s="76">
        <v>0</v>
      </c>
      <c r="GU261" s="76">
        <v>0</v>
      </c>
      <c r="GV261" s="76">
        <v>0</v>
      </c>
      <c r="GW261" s="76">
        <v>1055</v>
      </c>
      <c r="GX261" s="76">
        <v>7921</v>
      </c>
      <c r="GY261" s="76">
        <v>300</v>
      </c>
      <c r="GZ261" s="76">
        <v>140</v>
      </c>
      <c r="HA261" s="76">
        <v>0</v>
      </c>
      <c r="HB261" s="76">
        <v>0</v>
      </c>
      <c r="HC261" s="76">
        <v>440</v>
      </c>
      <c r="HD261" s="76">
        <v>0</v>
      </c>
      <c r="HE261" s="76">
        <v>0</v>
      </c>
      <c r="HF261" s="76">
        <v>0</v>
      </c>
      <c r="HG261" s="76">
        <v>2461</v>
      </c>
      <c r="HH261" s="76">
        <v>193</v>
      </c>
      <c r="HI261" s="76">
        <v>376</v>
      </c>
      <c r="HJ261" s="76">
        <v>0</v>
      </c>
      <c r="HK261" s="76">
        <v>0</v>
      </c>
      <c r="HL261" s="76">
        <v>-195</v>
      </c>
      <c r="HM261" s="76">
        <v>2835</v>
      </c>
      <c r="HN261" s="76">
        <v>714</v>
      </c>
      <c r="HO261" s="76">
        <v>3781</v>
      </c>
      <c r="HP261" s="76">
        <v>0</v>
      </c>
      <c r="HQ261" s="76">
        <v>384</v>
      </c>
      <c r="HR261" s="76">
        <v>-105</v>
      </c>
      <c r="HS261" s="76">
        <v>-91</v>
      </c>
      <c r="HT261" s="76">
        <v>4211</v>
      </c>
      <c r="HU261" s="76">
        <v>0</v>
      </c>
      <c r="HV261" s="76">
        <v>0</v>
      </c>
      <c r="HW261" s="76">
        <v>0</v>
      </c>
      <c r="HX261" s="76">
        <v>0</v>
      </c>
    </row>
    <row r="262" spans="1:232" x14ac:dyDescent="0.2">
      <c r="A262" s="71" t="s">
        <v>714</v>
      </c>
      <c r="B262" s="71" t="s">
        <v>715</v>
      </c>
      <c r="C262" s="72" t="s">
        <v>200</v>
      </c>
      <c r="D262" s="72">
        <v>12</v>
      </c>
      <c r="E262" s="73">
        <v>13770</v>
      </c>
      <c r="F262" s="73">
        <v>-712</v>
      </c>
      <c r="G262" s="73">
        <v>-8114</v>
      </c>
      <c r="H262" s="73">
        <v>4944</v>
      </c>
      <c r="I262" s="73">
        <v>344</v>
      </c>
      <c r="J262" s="73">
        <v>0</v>
      </c>
      <c r="K262" s="73">
        <v>0</v>
      </c>
      <c r="L262" s="73">
        <v>0</v>
      </c>
      <c r="M262" s="73">
        <v>14</v>
      </c>
      <c r="N262" s="73">
        <v>-1933</v>
      </c>
      <c r="O262" s="73">
        <v>0</v>
      </c>
      <c r="P262" s="73">
        <v>0</v>
      </c>
      <c r="Q262" s="73">
        <v>0</v>
      </c>
      <c r="R262" s="73">
        <v>0</v>
      </c>
      <c r="S262" s="73">
        <v>3369</v>
      </c>
      <c r="T262" s="73">
        <v>0</v>
      </c>
      <c r="U262" s="73">
        <v>3369</v>
      </c>
      <c r="V262" s="73">
        <v>0</v>
      </c>
      <c r="W262" s="73">
        <v>0</v>
      </c>
      <c r="X262" s="73">
        <v>0</v>
      </c>
      <c r="Y262" s="73">
        <v>0</v>
      </c>
      <c r="Z262" s="73">
        <v>3369</v>
      </c>
      <c r="AA262" s="73">
        <v>11787</v>
      </c>
      <c r="AB262" s="73">
        <v>810</v>
      </c>
      <c r="AC262" s="73">
        <v>12597</v>
      </c>
      <c r="AD262" s="73">
        <v>225</v>
      </c>
      <c r="AE262" s="73">
        <v>0</v>
      </c>
      <c r="AF262" s="73">
        <v>0</v>
      </c>
      <c r="AG262" s="73">
        <v>217</v>
      </c>
      <c r="AH262" s="73">
        <v>13039</v>
      </c>
      <c r="AI262" s="73">
        <v>2534</v>
      </c>
      <c r="AJ262" s="73">
        <v>845</v>
      </c>
      <c r="AK262" s="73">
        <v>1890</v>
      </c>
      <c r="AL262" s="73">
        <v>643</v>
      </c>
      <c r="AM262" s="73">
        <v>489</v>
      </c>
      <c r="AN262" s="73">
        <v>82</v>
      </c>
      <c r="AO262" s="73">
        <v>1631</v>
      </c>
      <c r="AP262" s="73">
        <v>0</v>
      </c>
      <c r="AQ262" s="73">
        <v>0</v>
      </c>
      <c r="AR262" s="73">
        <v>8114</v>
      </c>
      <c r="AS262" s="73">
        <v>4925</v>
      </c>
      <c r="AT262" s="73">
        <v>308</v>
      </c>
      <c r="AU262" s="73">
        <v>98614</v>
      </c>
      <c r="AV262" s="73">
        <v>0</v>
      </c>
      <c r="AW262" s="73">
        <v>107</v>
      </c>
      <c r="AX262" s="73">
        <v>0</v>
      </c>
      <c r="AY262" s="73">
        <v>0</v>
      </c>
      <c r="AZ262" s="73">
        <v>0</v>
      </c>
      <c r="BA262" s="73">
        <v>0</v>
      </c>
      <c r="BB262" s="73">
        <v>0</v>
      </c>
      <c r="BC262" s="73">
        <v>0</v>
      </c>
      <c r="BD262" s="73">
        <v>0</v>
      </c>
      <c r="BE262" s="73">
        <v>98721</v>
      </c>
      <c r="BF262" s="73">
        <v>148</v>
      </c>
      <c r="BG262" s="73">
        <v>381</v>
      </c>
      <c r="BH262" s="73">
        <v>4787</v>
      </c>
      <c r="BI262" s="73">
        <v>0</v>
      </c>
      <c r="BJ262" s="73">
        <v>495</v>
      </c>
      <c r="BK262" s="73">
        <v>5811</v>
      </c>
      <c r="BL262" s="73">
        <v>4118</v>
      </c>
      <c r="BM262" s="73">
        <v>0</v>
      </c>
      <c r="BN262" s="73">
        <v>0</v>
      </c>
      <c r="BO262" s="73">
        <v>2636</v>
      </c>
      <c r="BP262" s="73">
        <v>6754</v>
      </c>
      <c r="BQ262" s="73">
        <v>-943</v>
      </c>
      <c r="BR262" s="73">
        <v>97778</v>
      </c>
      <c r="BS262" s="73">
        <v>54699</v>
      </c>
      <c r="BT262" s="73">
        <v>0</v>
      </c>
      <c r="BU262" s="73">
        <v>0</v>
      </c>
      <c r="BV262" s="73">
        <v>19791</v>
      </c>
      <c r="BW262" s="73">
        <v>0</v>
      </c>
      <c r="BX262" s="73">
        <v>0</v>
      </c>
      <c r="BY262" s="73">
        <v>50</v>
      </c>
      <c r="BZ262" s="73">
        <v>74540</v>
      </c>
      <c r="CA262" s="73">
        <v>1041</v>
      </c>
      <c r="CB262" s="73">
        <v>0</v>
      </c>
      <c r="CC262" s="73">
        <v>22197</v>
      </c>
      <c r="CD262" s="73">
        <v>22197</v>
      </c>
      <c r="CE262" s="73">
        <v>0</v>
      </c>
      <c r="CF262" s="73">
        <v>0</v>
      </c>
      <c r="CG262" s="73">
        <v>0</v>
      </c>
      <c r="CH262" s="73">
        <v>0</v>
      </c>
      <c r="CI262" s="73">
        <v>22197</v>
      </c>
      <c r="CJ262" s="73">
        <v>731</v>
      </c>
      <c r="CK262" s="73">
        <v>552</v>
      </c>
      <c r="CL262" s="73">
        <v>0</v>
      </c>
      <c r="CM262" s="73">
        <v>179</v>
      </c>
      <c r="CN262" s="73">
        <v>0</v>
      </c>
      <c r="CO262" s="73">
        <v>0</v>
      </c>
      <c r="CP262" s="73">
        <v>0</v>
      </c>
      <c r="CQ262" s="73">
        <v>0</v>
      </c>
      <c r="CR262" s="73">
        <v>0</v>
      </c>
      <c r="CS262" s="73">
        <v>0</v>
      </c>
      <c r="CT262" s="73">
        <v>0</v>
      </c>
      <c r="CU262" s="73">
        <v>0</v>
      </c>
      <c r="CV262" s="73">
        <v>0</v>
      </c>
      <c r="CW262" s="73">
        <v>0</v>
      </c>
      <c r="CX262" s="73">
        <v>0</v>
      </c>
      <c r="CY262" s="73">
        <v>0</v>
      </c>
      <c r="CZ262" s="73">
        <v>0</v>
      </c>
      <c r="DA262" s="73">
        <v>160</v>
      </c>
      <c r="DB262" s="73">
        <v>0</v>
      </c>
      <c r="DC262" s="73">
        <v>-160</v>
      </c>
      <c r="DD262" s="73">
        <v>731</v>
      </c>
      <c r="DE262" s="73">
        <v>712</v>
      </c>
      <c r="DF262" s="73">
        <v>0</v>
      </c>
      <c r="DG262" s="73">
        <v>19</v>
      </c>
      <c r="DH262" s="73">
        <v>0</v>
      </c>
      <c r="DI262" s="73">
        <v>0</v>
      </c>
      <c r="DJ262" s="73">
        <v>0</v>
      </c>
      <c r="DK262" s="73">
        <v>0</v>
      </c>
      <c r="DL262" s="73">
        <v>0</v>
      </c>
      <c r="DM262" s="73">
        <v>0</v>
      </c>
      <c r="DN262" s="73">
        <v>0</v>
      </c>
      <c r="DO262" s="73">
        <v>0</v>
      </c>
      <c r="DP262" s="73">
        <v>0</v>
      </c>
      <c r="DQ262" s="73">
        <v>0</v>
      </c>
      <c r="DR262" s="73">
        <v>0</v>
      </c>
      <c r="DS262" s="73">
        <v>0</v>
      </c>
      <c r="DT262" s="73">
        <v>0</v>
      </c>
      <c r="DU262" s="73">
        <v>0</v>
      </c>
      <c r="DV262" s="73">
        <v>0</v>
      </c>
      <c r="DW262" s="73">
        <v>0</v>
      </c>
      <c r="DX262" s="73">
        <v>0</v>
      </c>
      <c r="DY262" s="73">
        <v>0</v>
      </c>
      <c r="DZ262" s="73">
        <v>0</v>
      </c>
      <c r="EA262" s="73">
        <v>0</v>
      </c>
      <c r="EB262" s="73">
        <v>0</v>
      </c>
      <c r="EC262" s="73">
        <v>0</v>
      </c>
      <c r="ED262" s="73">
        <v>0</v>
      </c>
      <c r="EE262" s="73">
        <v>0</v>
      </c>
      <c r="EF262" s="73">
        <v>0</v>
      </c>
      <c r="EG262" s="73">
        <v>0</v>
      </c>
      <c r="EH262" s="73">
        <v>0</v>
      </c>
      <c r="EI262" s="73">
        <v>0</v>
      </c>
      <c r="EJ262" s="73">
        <v>731</v>
      </c>
      <c r="EK262" s="73">
        <v>712</v>
      </c>
      <c r="EL262" s="73">
        <v>0</v>
      </c>
      <c r="EM262" s="73">
        <v>19</v>
      </c>
      <c r="EN262" s="73">
        <v>381</v>
      </c>
      <c r="EO262" s="73">
        <v>139</v>
      </c>
      <c r="EP262" s="73">
        <v>0</v>
      </c>
      <c r="EQ262" s="73">
        <v>139</v>
      </c>
      <c r="ER262" s="73">
        <v>111676</v>
      </c>
      <c r="ES262" s="73">
        <v>0</v>
      </c>
      <c r="ET262" s="73">
        <v>111676</v>
      </c>
      <c r="EU262" s="73">
        <v>4547</v>
      </c>
      <c r="EV262" s="73">
        <v>-776</v>
      </c>
      <c r="EW262" s="73">
        <v>0</v>
      </c>
      <c r="EX262" s="73">
        <v>0</v>
      </c>
      <c r="EY262" s="73">
        <v>-200</v>
      </c>
      <c r="EZ262" s="73">
        <v>115247</v>
      </c>
      <c r="FA262" s="73">
        <v>15395</v>
      </c>
      <c r="FB262" s="73">
        <v>1502</v>
      </c>
      <c r="FC262" s="73">
        <v>0</v>
      </c>
      <c r="FD262" s="73">
        <v>0</v>
      </c>
      <c r="FE262" s="73">
        <v>-264</v>
      </c>
      <c r="FF262" s="73">
        <v>0</v>
      </c>
      <c r="FG262" s="73">
        <v>0</v>
      </c>
      <c r="FH262" s="73">
        <v>16633</v>
      </c>
      <c r="FI262" s="73">
        <v>98614</v>
      </c>
      <c r="FJ262" s="73">
        <v>96281</v>
      </c>
      <c r="FK262" s="73">
        <v>194</v>
      </c>
      <c r="FL262" s="73">
        <v>166</v>
      </c>
      <c r="FM262" s="73">
        <v>28</v>
      </c>
      <c r="FN262" s="73">
        <v>147</v>
      </c>
      <c r="FO262" s="73">
        <v>31</v>
      </c>
      <c r="FP262" s="73">
        <v>116</v>
      </c>
      <c r="FQ262" s="73">
        <v>0</v>
      </c>
      <c r="FR262" s="73">
        <v>0</v>
      </c>
      <c r="FS262" s="73">
        <v>0</v>
      </c>
      <c r="FT262" s="73">
        <v>410</v>
      </c>
      <c r="FU262" s="73">
        <v>210</v>
      </c>
      <c r="FV262" s="73">
        <v>200</v>
      </c>
      <c r="FW262" s="73">
        <v>0</v>
      </c>
      <c r="FX262" s="73">
        <v>0</v>
      </c>
      <c r="FY262" s="73">
        <v>0</v>
      </c>
      <c r="FZ262" s="73">
        <v>0</v>
      </c>
      <c r="GA262" s="73">
        <v>0</v>
      </c>
      <c r="GB262" s="73">
        <v>0</v>
      </c>
      <c r="GC262" s="73">
        <v>751</v>
      </c>
      <c r="GD262" s="73">
        <v>407</v>
      </c>
      <c r="GE262" s="73">
        <v>344</v>
      </c>
      <c r="GF262" s="73">
        <v>493</v>
      </c>
      <c r="GG262" s="73">
        <v>0</v>
      </c>
      <c r="GH262" s="73">
        <v>0</v>
      </c>
      <c r="GI262" s="73">
        <v>0</v>
      </c>
      <c r="GJ262" s="73">
        <v>0</v>
      </c>
      <c r="GK262" s="73">
        <v>2</v>
      </c>
      <c r="GL262" s="73">
        <v>495</v>
      </c>
      <c r="GM262" s="73">
        <v>437</v>
      </c>
      <c r="GN262" s="73">
        <v>332</v>
      </c>
      <c r="GO262" s="73">
        <v>783</v>
      </c>
      <c r="GP262" s="73">
        <v>0</v>
      </c>
      <c r="GQ262" s="73">
        <v>0</v>
      </c>
      <c r="GR262" s="73">
        <v>160</v>
      </c>
      <c r="GS262" s="73">
        <v>0</v>
      </c>
      <c r="GT262" s="73">
        <v>0</v>
      </c>
      <c r="GU262" s="73">
        <v>158</v>
      </c>
      <c r="GV262" s="73">
        <v>0</v>
      </c>
      <c r="GW262" s="73">
        <v>766</v>
      </c>
      <c r="GX262" s="73">
        <v>2636</v>
      </c>
      <c r="GY262" s="73">
        <v>50</v>
      </c>
      <c r="GZ262" s="73">
        <v>0</v>
      </c>
      <c r="HA262" s="73">
        <v>0</v>
      </c>
      <c r="HB262" s="73">
        <v>0</v>
      </c>
      <c r="HC262" s="73">
        <v>50</v>
      </c>
      <c r="HD262" s="73">
        <v>0</v>
      </c>
      <c r="HE262" s="73">
        <v>0</v>
      </c>
      <c r="HF262" s="73">
        <v>0</v>
      </c>
      <c r="HG262" s="73">
        <v>1943</v>
      </c>
      <c r="HH262" s="73">
        <v>6</v>
      </c>
      <c r="HI262" s="73">
        <v>105</v>
      </c>
      <c r="HJ262" s="73">
        <v>0</v>
      </c>
      <c r="HK262" s="73">
        <v>0</v>
      </c>
      <c r="HL262" s="73">
        <v>-121</v>
      </c>
      <c r="HM262" s="73">
        <v>1933</v>
      </c>
      <c r="HN262" s="73">
        <v>2703</v>
      </c>
      <c r="HO262" s="73">
        <v>1666</v>
      </c>
      <c r="HP262" s="73">
        <v>0</v>
      </c>
      <c r="HQ262" s="73">
        <v>23</v>
      </c>
      <c r="HR262" s="73">
        <v>-9</v>
      </c>
      <c r="HS262" s="73">
        <v>-25</v>
      </c>
      <c r="HT262" s="73">
        <v>2567</v>
      </c>
      <c r="HU262" s="73">
        <v>0</v>
      </c>
      <c r="HV262" s="73">
        <v>0</v>
      </c>
      <c r="HW262" s="73">
        <v>0</v>
      </c>
      <c r="HX262" s="73">
        <v>0</v>
      </c>
    </row>
    <row r="263" spans="1:232" x14ac:dyDescent="0.2">
      <c r="A263" s="74" t="s">
        <v>862</v>
      </c>
      <c r="B263" s="74" t="s">
        <v>863</v>
      </c>
      <c r="C263" s="75" t="s">
        <v>200</v>
      </c>
      <c r="D263" s="75">
        <v>12</v>
      </c>
      <c r="E263" s="76">
        <v>5566</v>
      </c>
      <c r="F263" s="76">
        <v>-280</v>
      </c>
      <c r="G263" s="76">
        <v>-3970</v>
      </c>
      <c r="H263" s="76">
        <v>1316</v>
      </c>
      <c r="I263" s="76">
        <v>179</v>
      </c>
      <c r="J263" s="76">
        <v>464</v>
      </c>
      <c r="K263" s="76">
        <v>0</v>
      </c>
      <c r="L263" s="76">
        <v>0</v>
      </c>
      <c r="M263" s="76">
        <v>512</v>
      </c>
      <c r="N263" s="76">
        <v>-1542</v>
      </c>
      <c r="O263" s="76">
        <v>0</v>
      </c>
      <c r="P263" s="76">
        <v>0</v>
      </c>
      <c r="Q263" s="76">
        <v>0</v>
      </c>
      <c r="R263" s="76">
        <v>0</v>
      </c>
      <c r="S263" s="76">
        <v>929</v>
      </c>
      <c r="T263" s="76">
        <v>0</v>
      </c>
      <c r="U263" s="76">
        <v>929</v>
      </c>
      <c r="V263" s="76">
        <v>0</v>
      </c>
      <c r="W263" s="76">
        <v>0</v>
      </c>
      <c r="X263" s="76">
        <v>0</v>
      </c>
      <c r="Y263" s="76">
        <v>0</v>
      </c>
      <c r="Z263" s="76">
        <v>929</v>
      </c>
      <c r="AA263" s="76">
        <v>4228</v>
      </c>
      <c r="AB263" s="76">
        <v>798</v>
      </c>
      <c r="AC263" s="76">
        <v>5026</v>
      </c>
      <c r="AD263" s="76">
        <v>159</v>
      </c>
      <c r="AE263" s="76">
        <v>0</v>
      </c>
      <c r="AF263" s="76">
        <v>0</v>
      </c>
      <c r="AG263" s="76">
        <v>42</v>
      </c>
      <c r="AH263" s="76">
        <v>5227</v>
      </c>
      <c r="AI263" s="76">
        <v>1010</v>
      </c>
      <c r="AJ263" s="76">
        <v>713</v>
      </c>
      <c r="AK263" s="76">
        <v>791</v>
      </c>
      <c r="AL263" s="76">
        <v>107</v>
      </c>
      <c r="AM263" s="76">
        <v>513</v>
      </c>
      <c r="AN263" s="76">
        <v>129</v>
      </c>
      <c r="AO263" s="76">
        <v>707</v>
      </c>
      <c r="AP263" s="76">
        <v>0</v>
      </c>
      <c r="AQ263" s="76">
        <v>0</v>
      </c>
      <c r="AR263" s="76">
        <v>3970</v>
      </c>
      <c r="AS263" s="76">
        <v>1257</v>
      </c>
      <c r="AT263" s="76">
        <v>114</v>
      </c>
      <c r="AU263" s="76">
        <v>40759</v>
      </c>
      <c r="AV263" s="76">
        <v>0</v>
      </c>
      <c r="AW263" s="76">
        <v>0</v>
      </c>
      <c r="AX263" s="76">
        <v>0</v>
      </c>
      <c r="AY263" s="76">
        <v>0</v>
      </c>
      <c r="AZ263" s="76">
        <v>0</v>
      </c>
      <c r="BA263" s="76">
        <v>0</v>
      </c>
      <c r="BB263" s="76">
        <v>0</v>
      </c>
      <c r="BC263" s="76">
        <v>0</v>
      </c>
      <c r="BD263" s="76">
        <v>0</v>
      </c>
      <c r="BE263" s="76">
        <v>40759</v>
      </c>
      <c r="BF263" s="76">
        <v>0</v>
      </c>
      <c r="BG263" s="76">
        <v>377</v>
      </c>
      <c r="BH263" s="76">
        <v>10044</v>
      </c>
      <c r="BI263" s="76">
        <v>0</v>
      </c>
      <c r="BJ263" s="76">
        <v>248</v>
      </c>
      <c r="BK263" s="76">
        <v>10669</v>
      </c>
      <c r="BL263" s="76">
        <v>0</v>
      </c>
      <c r="BM263" s="76">
        <v>0</v>
      </c>
      <c r="BN263" s="76">
        <v>0</v>
      </c>
      <c r="BO263" s="76">
        <v>1796</v>
      </c>
      <c r="BP263" s="76">
        <v>1796</v>
      </c>
      <c r="BQ263" s="76">
        <v>8873</v>
      </c>
      <c r="BR263" s="76">
        <v>49632</v>
      </c>
      <c r="BS263" s="76">
        <v>0</v>
      </c>
      <c r="BT263" s="76">
        <v>30967</v>
      </c>
      <c r="BU263" s="76">
        <v>0</v>
      </c>
      <c r="BV263" s="76">
        <v>14617</v>
      </c>
      <c r="BW263" s="76">
        <v>0</v>
      </c>
      <c r="BX263" s="76">
        <v>0</v>
      </c>
      <c r="BY263" s="76">
        <v>19</v>
      </c>
      <c r="BZ263" s="76">
        <v>45603</v>
      </c>
      <c r="CA263" s="76">
        <v>0</v>
      </c>
      <c r="CB263" s="76">
        <v>0</v>
      </c>
      <c r="CC263" s="76">
        <v>4029</v>
      </c>
      <c r="CD263" s="76">
        <v>4029</v>
      </c>
      <c r="CE263" s="76">
        <v>0</v>
      </c>
      <c r="CF263" s="76">
        <v>0</v>
      </c>
      <c r="CG263" s="76">
        <v>0</v>
      </c>
      <c r="CH263" s="76">
        <v>0</v>
      </c>
      <c r="CI263" s="76">
        <v>4029</v>
      </c>
      <c r="CJ263" s="76">
        <v>339</v>
      </c>
      <c r="CK263" s="76">
        <v>280</v>
      </c>
      <c r="CL263" s="76">
        <v>0</v>
      </c>
      <c r="CM263" s="76">
        <v>59</v>
      </c>
      <c r="CN263" s="76">
        <v>0</v>
      </c>
      <c r="CO263" s="76">
        <v>0</v>
      </c>
      <c r="CP263" s="76">
        <v>0</v>
      </c>
      <c r="CQ263" s="76">
        <v>0</v>
      </c>
      <c r="CR263" s="76">
        <v>0</v>
      </c>
      <c r="CS263" s="76">
        <v>0</v>
      </c>
      <c r="CT263" s="76">
        <v>0</v>
      </c>
      <c r="CU263" s="76">
        <v>0</v>
      </c>
      <c r="CV263" s="76">
        <v>0</v>
      </c>
      <c r="CW263" s="76">
        <v>0</v>
      </c>
      <c r="CX263" s="76">
        <v>0</v>
      </c>
      <c r="CY263" s="76">
        <v>0</v>
      </c>
      <c r="CZ263" s="76">
        <v>0</v>
      </c>
      <c r="DA263" s="76">
        <v>0</v>
      </c>
      <c r="DB263" s="76">
        <v>0</v>
      </c>
      <c r="DC263" s="76">
        <v>0</v>
      </c>
      <c r="DD263" s="76">
        <v>339</v>
      </c>
      <c r="DE263" s="76">
        <v>280</v>
      </c>
      <c r="DF263" s="76">
        <v>0</v>
      </c>
      <c r="DG263" s="76">
        <v>59</v>
      </c>
      <c r="DH263" s="76">
        <v>0</v>
      </c>
      <c r="DI263" s="76">
        <v>0</v>
      </c>
      <c r="DJ263" s="76">
        <v>0</v>
      </c>
      <c r="DK263" s="76">
        <v>0</v>
      </c>
      <c r="DL263" s="76">
        <v>0</v>
      </c>
      <c r="DM263" s="76">
        <v>0</v>
      </c>
      <c r="DN263" s="76">
        <v>0</v>
      </c>
      <c r="DO263" s="76">
        <v>0</v>
      </c>
      <c r="DP263" s="76">
        <v>0</v>
      </c>
      <c r="DQ263" s="76">
        <v>0</v>
      </c>
      <c r="DR263" s="76">
        <v>0</v>
      </c>
      <c r="DS263" s="76">
        <v>0</v>
      </c>
      <c r="DT263" s="76">
        <v>0</v>
      </c>
      <c r="DU263" s="76">
        <v>0</v>
      </c>
      <c r="DV263" s="76">
        <v>0</v>
      </c>
      <c r="DW263" s="76">
        <v>0</v>
      </c>
      <c r="DX263" s="76">
        <v>0</v>
      </c>
      <c r="DY263" s="76">
        <v>0</v>
      </c>
      <c r="DZ263" s="76">
        <v>0</v>
      </c>
      <c r="EA263" s="76">
        <v>0</v>
      </c>
      <c r="EB263" s="76">
        <v>0</v>
      </c>
      <c r="EC263" s="76">
        <v>0</v>
      </c>
      <c r="ED263" s="76">
        <v>0</v>
      </c>
      <c r="EE263" s="76">
        <v>0</v>
      </c>
      <c r="EF263" s="76">
        <v>0</v>
      </c>
      <c r="EG263" s="76">
        <v>0</v>
      </c>
      <c r="EH263" s="76">
        <v>0</v>
      </c>
      <c r="EI263" s="76">
        <v>0</v>
      </c>
      <c r="EJ263" s="76">
        <v>339</v>
      </c>
      <c r="EK263" s="76">
        <v>280</v>
      </c>
      <c r="EL263" s="76">
        <v>0</v>
      </c>
      <c r="EM263" s="76">
        <v>59</v>
      </c>
      <c r="EN263" s="76">
        <v>398</v>
      </c>
      <c r="EO263" s="76">
        <v>111</v>
      </c>
      <c r="EP263" s="76">
        <v>21</v>
      </c>
      <c r="EQ263" s="76">
        <v>111</v>
      </c>
      <c r="ER263" s="76">
        <v>19862</v>
      </c>
      <c r="ES263" s="76">
        <v>0</v>
      </c>
      <c r="ET263" s="76">
        <v>19862</v>
      </c>
      <c r="EU263" s="76">
        <v>209</v>
      </c>
      <c r="EV263" s="76">
        <v>-124</v>
      </c>
      <c r="EW263" s="76">
        <v>0</v>
      </c>
      <c r="EX263" s="76">
        <v>22710</v>
      </c>
      <c r="EY263" s="76">
        <v>-266</v>
      </c>
      <c r="EZ263" s="76">
        <v>42391</v>
      </c>
      <c r="FA263" s="76">
        <v>944</v>
      </c>
      <c r="FB263" s="76">
        <v>696</v>
      </c>
      <c r="FC263" s="76">
        <v>0</v>
      </c>
      <c r="FD263" s="76">
        <v>0</v>
      </c>
      <c r="FE263" s="76">
        <v>-8</v>
      </c>
      <c r="FF263" s="76">
        <v>0</v>
      </c>
      <c r="FG263" s="76">
        <v>0</v>
      </c>
      <c r="FH263" s="76">
        <v>1632</v>
      </c>
      <c r="FI263" s="76">
        <v>40759</v>
      </c>
      <c r="FJ263" s="76">
        <v>18918</v>
      </c>
      <c r="FK263" s="76">
        <v>118</v>
      </c>
      <c r="FL263" s="76">
        <v>53</v>
      </c>
      <c r="FM263" s="76">
        <v>65</v>
      </c>
      <c r="FN263" s="76">
        <v>0</v>
      </c>
      <c r="FO263" s="76">
        <v>0</v>
      </c>
      <c r="FP263" s="76">
        <v>0</v>
      </c>
      <c r="FQ263" s="76">
        <v>0</v>
      </c>
      <c r="FR263" s="76">
        <v>0</v>
      </c>
      <c r="FS263" s="76">
        <v>0</v>
      </c>
      <c r="FT263" s="76">
        <v>173</v>
      </c>
      <c r="FU263" s="76">
        <v>58</v>
      </c>
      <c r="FV263" s="76">
        <v>115</v>
      </c>
      <c r="FW263" s="76">
        <v>0</v>
      </c>
      <c r="FX263" s="76">
        <v>0</v>
      </c>
      <c r="FY263" s="76">
        <v>0</v>
      </c>
      <c r="FZ263" s="76">
        <v>0</v>
      </c>
      <c r="GA263" s="76">
        <v>0</v>
      </c>
      <c r="GB263" s="76">
        <v>0</v>
      </c>
      <c r="GC263" s="76">
        <v>291</v>
      </c>
      <c r="GD263" s="76">
        <v>111</v>
      </c>
      <c r="GE263" s="76">
        <v>180</v>
      </c>
      <c r="GF263" s="76">
        <v>206</v>
      </c>
      <c r="GG263" s="76">
        <v>0</v>
      </c>
      <c r="GH263" s="76">
        <v>0</v>
      </c>
      <c r="GI263" s="76">
        <v>0</v>
      </c>
      <c r="GJ263" s="76">
        <v>0</v>
      </c>
      <c r="GK263" s="76">
        <v>42</v>
      </c>
      <c r="GL263" s="76">
        <v>248</v>
      </c>
      <c r="GM263" s="76">
        <v>4</v>
      </c>
      <c r="GN263" s="76">
        <v>230</v>
      </c>
      <c r="GO263" s="76">
        <v>739</v>
      </c>
      <c r="GP263" s="76">
        <v>0</v>
      </c>
      <c r="GQ263" s="76">
        <v>0</v>
      </c>
      <c r="GR263" s="76">
        <v>45</v>
      </c>
      <c r="GS263" s="76">
        <v>0</v>
      </c>
      <c r="GT263" s="76">
        <v>0</v>
      </c>
      <c r="GU263" s="76">
        <v>0</v>
      </c>
      <c r="GV263" s="76">
        <v>0</v>
      </c>
      <c r="GW263" s="76">
        <v>778</v>
      </c>
      <c r="GX263" s="76">
        <v>1796</v>
      </c>
      <c r="GY263" s="76">
        <v>19</v>
      </c>
      <c r="GZ263" s="76">
        <v>0</v>
      </c>
      <c r="HA263" s="76">
        <v>0</v>
      </c>
      <c r="HB263" s="76">
        <v>0</v>
      </c>
      <c r="HC263" s="76">
        <v>19</v>
      </c>
      <c r="HD263" s="76">
        <v>0</v>
      </c>
      <c r="HE263" s="76">
        <v>0</v>
      </c>
      <c r="HF263" s="76">
        <v>0</v>
      </c>
      <c r="HG263" s="76">
        <v>1513</v>
      </c>
      <c r="HH263" s="76">
        <v>29</v>
      </c>
      <c r="HI263" s="76">
        <v>0</v>
      </c>
      <c r="HJ263" s="76">
        <v>0</v>
      </c>
      <c r="HK263" s="76">
        <v>0</v>
      </c>
      <c r="HL263" s="76">
        <v>0</v>
      </c>
      <c r="HM263" s="76">
        <v>1542</v>
      </c>
      <c r="HN263" s="76">
        <v>209</v>
      </c>
      <c r="HO263" s="76">
        <v>707</v>
      </c>
      <c r="HP263" s="76">
        <v>0</v>
      </c>
      <c r="HQ263" s="76">
        <v>0</v>
      </c>
      <c r="HR263" s="76">
        <v>-3</v>
      </c>
      <c r="HS263" s="76">
        <v>493</v>
      </c>
      <c r="HT263" s="76">
        <v>1047</v>
      </c>
      <c r="HU263" s="76">
        <v>0</v>
      </c>
      <c r="HV263" s="76">
        <v>0</v>
      </c>
      <c r="HW263" s="76">
        <v>0</v>
      </c>
      <c r="HX263" s="76">
        <v>0</v>
      </c>
    </row>
    <row r="264" spans="1:232" x14ac:dyDescent="0.2">
      <c r="A264" s="74" t="s">
        <v>718</v>
      </c>
      <c r="B264" s="74" t="s">
        <v>717</v>
      </c>
      <c r="C264" s="75" t="s">
        <v>200</v>
      </c>
      <c r="D264" s="75">
        <v>12</v>
      </c>
      <c r="E264" s="76">
        <v>102835</v>
      </c>
      <c r="F264" s="76">
        <v>-8948</v>
      </c>
      <c r="G264" s="76">
        <v>-64747</v>
      </c>
      <c r="H264" s="76">
        <v>29140</v>
      </c>
      <c r="I264" s="76">
        <v>3039</v>
      </c>
      <c r="J264" s="76">
        <v>0</v>
      </c>
      <c r="K264" s="76">
        <v>0</v>
      </c>
      <c r="L264" s="76">
        <v>0</v>
      </c>
      <c r="M264" s="76">
        <v>519</v>
      </c>
      <c r="N264" s="76">
        <v>-15529</v>
      </c>
      <c r="O264" s="76">
        <v>0</v>
      </c>
      <c r="P264" s="76">
        <v>-6796</v>
      </c>
      <c r="Q264" s="76">
        <v>0</v>
      </c>
      <c r="R264" s="76">
        <v>0</v>
      </c>
      <c r="S264" s="76">
        <v>10373</v>
      </c>
      <c r="T264" s="76">
        <v>0</v>
      </c>
      <c r="U264" s="76">
        <v>10373</v>
      </c>
      <c r="V264" s="76">
        <v>0</v>
      </c>
      <c r="W264" s="76">
        <v>730</v>
      </c>
      <c r="X264" s="76">
        <v>3140</v>
      </c>
      <c r="Y264" s="76">
        <v>0</v>
      </c>
      <c r="Z264" s="76">
        <v>14243</v>
      </c>
      <c r="AA264" s="76">
        <v>60787</v>
      </c>
      <c r="AB264" s="76">
        <v>9765</v>
      </c>
      <c r="AC264" s="76">
        <v>70552</v>
      </c>
      <c r="AD264" s="76">
        <v>3302</v>
      </c>
      <c r="AE264" s="76">
        <v>0</v>
      </c>
      <c r="AF264" s="76">
        <v>0</v>
      </c>
      <c r="AG264" s="76">
        <v>16992</v>
      </c>
      <c r="AH264" s="76">
        <v>90846</v>
      </c>
      <c r="AI264" s="76">
        <v>30066</v>
      </c>
      <c r="AJ264" s="76">
        <v>9119</v>
      </c>
      <c r="AK264" s="76">
        <v>8300</v>
      </c>
      <c r="AL264" s="76">
        <v>1800</v>
      </c>
      <c r="AM264" s="76">
        <v>2013</v>
      </c>
      <c r="AN264" s="76">
        <v>463</v>
      </c>
      <c r="AO264" s="76">
        <v>11073</v>
      </c>
      <c r="AP264" s="76">
        <v>363</v>
      </c>
      <c r="AQ264" s="76">
        <v>0</v>
      </c>
      <c r="AR264" s="76">
        <v>63197</v>
      </c>
      <c r="AS264" s="76">
        <v>27649</v>
      </c>
      <c r="AT264" s="76">
        <v>1247</v>
      </c>
      <c r="AU264" s="76">
        <v>798709</v>
      </c>
      <c r="AV264" s="76">
        <v>0</v>
      </c>
      <c r="AW264" s="76">
        <v>2260</v>
      </c>
      <c r="AX264" s="76">
        <v>0</v>
      </c>
      <c r="AY264" s="76">
        <v>0</v>
      </c>
      <c r="AZ264" s="76">
        <v>0</v>
      </c>
      <c r="BA264" s="76">
        <v>0</v>
      </c>
      <c r="BB264" s="76">
        <v>0</v>
      </c>
      <c r="BC264" s="76">
        <v>0</v>
      </c>
      <c r="BD264" s="76">
        <v>50</v>
      </c>
      <c r="BE264" s="76">
        <v>801019</v>
      </c>
      <c r="BF264" s="76">
        <v>9106</v>
      </c>
      <c r="BG264" s="76">
        <v>3795</v>
      </c>
      <c r="BH264" s="76">
        <v>8938</v>
      </c>
      <c r="BI264" s="76">
        <v>1334</v>
      </c>
      <c r="BJ264" s="76">
        <v>15095</v>
      </c>
      <c r="BK264" s="76">
        <v>38268</v>
      </c>
      <c r="BL264" s="76">
        <v>4545</v>
      </c>
      <c r="BM264" s="76">
        <v>0</v>
      </c>
      <c r="BN264" s="76">
        <v>0</v>
      </c>
      <c r="BO264" s="76">
        <v>23806</v>
      </c>
      <c r="BP264" s="76">
        <v>28351</v>
      </c>
      <c r="BQ264" s="76">
        <v>9917</v>
      </c>
      <c r="BR264" s="76">
        <v>810936</v>
      </c>
      <c r="BS264" s="76">
        <v>300567</v>
      </c>
      <c r="BT264" s="76">
        <v>80765</v>
      </c>
      <c r="BU264" s="76">
        <v>0</v>
      </c>
      <c r="BV264" s="76">
        <v>275375</v>
      </c>
      <c r="BW264" s="76">
        <v>0</v>
      </c>
      <c r="BX264" s="76">
        <v>79144</v>
      </c>
      <c r="BY264" s="76">
        <v>8604</v>
      </c>
      <c r="BZ264" s="76">
        <v>744455</v>
      </c>
      <c r="CA264" s="76">
        <v>4377</v>
      </c>
      <c r="CB264" s="76">
        <v>454</v>
      </c>
      <c r="CC264" s="76">
        <v>61650</v>
      </c>
      <c r="CD264" s="76">
        <v>120238</v>
      </c>
      <c r="CE264" s="76">
        <v>0</v>
      </c>
      <c r="CF264" s="76">
        <v>0</v>
      </c>
      <c r="CG264" s="76">
        <v>-58588</v>
      </c>
      <c r="CH264" s="76">
        <v>0</v>
      </c>
      <c r="CI264" s="76">
        <v>61650</v>
      </c>
      <c r="CJ264" s="76">
        <v>11539</v>
      </c>
      <c r="CK264" s="76">
        <v>8947</v>
      </c>
      <c r="CL264" s="76">
        <v>0</v>
      </c>
      <c r="CM264" s="76">
        <v>2592</v>
      </c>
      <c r="CN264" s="76">
        <v>0</v>
      </c>
      <c r="CO264" s="76">
        <v>0</v>
      </c>
      <c r="CP264" s="76">
        <v>0</v>
      </c>
      <c r="CQ264" s="76">
        <v>0</v>
      </c>
      <c r="CR264" s="76">
        <v>0</v>
      </c>
      <c r="CS264" s="76">
        <v>0</v>
      </c>
      <c r="CT264" s="76">
        <v>592</v>
      </c>
      <c r="CU264" s="76">
        <v>-592</v>
      </c>
      <c r="CV264" s="76">
        <v>0</v>
      </c>
      <c r="CW264" s="76">
        <v>0</v>
      </c>
      <c r="CX264" s="76">
        <v>0</v>
      </c>
      <c r="CY264" s="76">
        <v>0</v>
      </c>
      <c r="CZ264" s="76">
        <v>450</v>
      </c>
      <c r="DA264" s="76">
        <v>1</v>
      </c>
      <c r="DB264" s="76">
        <v>958</v>
      </c>
      <c r="DC264" s="76">
        <v>-509</v>
      </c>
      <c r="DD264" s="76">
        <v>11989</v>
      </c>
      <c r="DE264" s="76">
        <v>8948</v>
      </c>
      <c r="DF264" s="76">
        <v>1550</v>
      </c>
      <c r="DG264" s="76">
        <v>1491</v>
      </c>
      <c r="DH264" s="76">
        <v>0</v>
      </c>
      <c r="DI264" s="76">
        <v>0</v>
      </c>
      <c r="DJ264" s="76">
        <v>0</v>
      </c>
      <c r="DK264" s="76">
        <v>0</v>
      </c>
      <c r="DL264" s="76">
        <v>0</v>
      </c>
      <c r="DM264" s="76">
        <v>0</v>
      </c>
      <c r="DN264" s="76">
        <v>0</v>
      </c>
      <c r="DO264" s="76">
        <v>0</v>
      </c>
      <c r="DP264" s="76">
        <v>0</v>
      </c>
      <c r="DQ264" s="76">
        <v>0</v>
      </c>
      <c r="DR264" s="76">
        <v>0</v>
      </c>
      <c r="DS264" s="76">
        <v>0</v>
      </c>
      <c r="DT264" s="76">
        <v>0</v>
      </c>
      <c r="DU264" s="76">
        <v>0</v>
      </c>
      <c r="DV264" s="76">
        <v>0</v>
      </c>
      <c r="DW264" s="76">
        <v>0</v>
      </c>
      <c r="DX264" s="76">
        <v>0</v>
      </c>
      <c r="DY264" s="76">
        <v>0</v>
      </c>
      <c r="DZ264" s="76">
        <v>0</v>
      </c>
      <c r="EA264" s="76">
        <v>0</v>
      </c>
      <c r="EB264" s="76">
        <v>0</v>
      </c>
      <c r="EC264" s="76">
        <v>0</v>
      </c>
      <c r="ED264" s="76">
        <v>0</v>
      </c>
      <c r="EE264" s="76">
        <v>0</v>
      </c>
      <c r="EF264" s="76">
        <v>0</v>
      </c>
      <c r="EG264" s="76">
        <v>0</v>
      </c>
      <c r="EH264" s="76">
        <v>0</v>
      </c>
      <c r="EI264" s="76">
        <v>0</v>
      </c>
      <c r="EJ264" s="76">
        <v>11989</v>
      </c>
      <c r="EK264" s="76">
        <v>8948</v>
      </c>
      <c r="EL264" s="76">
        <v>1550</v>
      </c>
      <c r="EM264" s="76">
        <v>1491</v>
      </c>
      <c r="EN264" s="76">
        <v>3963</v>
      </c>
      <c r="EO264" s="76">
        <v>890</v>
      </c>
      <c r="EP264" s="76">
        <v>168</v>
      </c>
      <c r="EQ264" s="76">
        <v>890</v>
      </c>
      <c r="ER264" s="76">
        <v>891902</v>
      </c>
      <c r="ES264" s="76">
        <v>0</v>
      </c>
      <c r="ET264" s="76">
        <v>891902</v>
      </c>
      <c r="EU264" s="76">
        <v>52633</v>
      </c>
      <c r="EV264" s="76">
        <v>-4716</v>
      </c>
      <c r="EW264" s="76">
        <v>0</v>
      </c>
      <c r="EX264" s="76">
        <v>-26252</v>
      </c>
      <c r="EY264" s="76">
        <v>-10957</v>
      </c>
      <c r="EZ264" s="76">
        <v>902610</v>
      </c>
      <c r="FA264" s="76">
        <v>97466</v>
      </c>
      <c r="FB264" s="76">
        <v>10665</v>
      </c>
      <c r="FC264" s="76">
        <v>440</v>
      </c>
      <c r="FD264" s="76">
        <v>0</v>
      </c>
      <c r="FE264" s="76">
        <v>-1049</v>
      </c>
      <c r="FF264" s="76">
        <v>-3544</v>
      </c>
      <c r="FG264" s="76">
        <v>-77</v>
      </c>
      <c r="FH264" s="76">
        <v>103901</v>
      </c>
      <c r="FI264" s="76">
        <v>798709</v>
      </c>
      <c r="FJ264" s="76">
        <v>794436</v>
      </c>
      <c r="FK264" s="76">
        <v>2252</v>
      </c>
      <c r="FL264" s="76">
        <v>1572</v>
      </c>
      <c r="FM264" s="76">
        <v>680</v>
      </c>
      <c r="FN264" s="76">
        <v>0</v>
      </c>
      <c r="FO264" s="76">
        <v>1</v>
      </c>
      <c r="FP264" s="76">
        <v>-1</v>
      </c>
      <c r="FQ264" s="76">
        <v>145</v>
      </c>
      <c r="FR264" s="76">
        <v>139</v>
      </c>
      <c r="FS264" s="76">
        <v>6</v>
      </c>
      <c r="FT264" s="76">
        <v>17949</v>
      </c>
      <c r="FU264" s="76">
        <v>16399</v>
      </c>
      <c r="FV264" s="76">
        <v>1550</v>
      </c>
      <c r="FW264" s="76">
        <v>1110</v>
      </c>
      <c r="FX264" s="76">
        <v>306</v>
      </c>
      <c r="FY264" s="76">
        <v>804</v>
      </c>
      <c r="FZ264" s="76">
        <v>0</v>
      </c>
      <c r="GA264" s="76">
        <v>1</v>
      </c>
      <c r="GB264" s="76">
        <v>-1</v>
      </c>
      <c r="GC264" s="76">
        <v>21456</v>
      </c>
      <c r="GD264" s="76">
        <v>18418</v>
      </c>
      <c r="GE264" s="76">
        <v>3038</v>
      </c>
      <c r="GF264" s="76">
        <v>11204</v>
      </c>
      <c r="GG264" s="76">
        <v>0</v>
      </c>
      <c r="GH264" s="76">
        <v>509</v>
      </c>
      <c r="GI264" s="76">
        <v>0</v>
      </c>
      <c r="GJ264" s="76">
        <v>0</v>
      </c>
      <c r="GK264" s="76">
        <v>3382</v>
      </c>
      <c r="GL264" s="76">
        <v>15095</v>
      </c>
      <c r="GM264" s="76">
        <v>2620</v>
      </c>
      <c r="GN264" s="76">
        <v>2381</v>
      </c>
      <c r="GO264" s="76">
        <v>3074</v>
      </c>
      <c r="GP264" s="76">
        <v>810</v>
      </c>
      <c r="GQ264" s="76">
        <v>0</v>
      </c>
      <c r="GR264" s="76">
        <v>2430</v>
      </c>
      <c r="GS264" s="76">
        <v>0</v>
      </c>
      <c r="GT264" s="76">
        <v>0</v>
      </c>
      <c r="GU264" s="76">
        <v>1032</v>
      </c>
      <c r="GV264" s="76">
        <v>0</v>
      </c>
      <c r="GW264" s="76">
        <v>11459</v>
      </c>
      <c r="GX264" s="76">
        <v>23806</v>
      </c>
      <c r="GY264" s="76">
        <v>1882</v>
      </c>
      <c r="GZ264" s="76">
        <v>103</v>
      </c>
      <c r="HA264" s="76">
        <v>6619</v>
      </c>
      <c r="HB264" s="76">
        <v>0</v>
      </c>
      <c r="HC264" s="76">
        <v>8604</v>
      </c>
      <c r="HD264" s="76">
        <v>454</v>
      </c>
      <c r="HE264" s="76">
        <v>0</v>
      </c>
      <c r="HF264" s="76">
        <v>454</v>
      </c>
      <c r="HG264" s="76">
        <v>16451</v>
      </c>
      <c r="HH264" s="76">
        <v>701</v>
      </c>
      <c r="HI264" s="76">
        <v>887</v>
      </c>
      <c r="HJ264" s="76">
        <v>10</v>
      </c>
      <c r="HK264" s="76">
        <v>0</v>
      </c>
      <c r="HL264" s="76">
        <v>-2520</v>
      </c>
      <c r="HM264" s="76">
        <v>15529</v>
      </c>
      <c r="HN264" s="76">
        <v>4765</v>
      </c>
      <c r="HO264" s="76">
        <v>12503</v>
      </c>
      <c r="HP264" s="76">
        <v>363</v>
      </c>
      <c r="HQ264" s="76">
        <v>466</v>
      </c>
      <c r="HR264" s="76">
        <v>-91</v>
      </c>
      <c r="HS264" s="76">
        <v>-621</v>
      </c>
      <c r="HT264" s="76">
        <v>12351</v>
      </c>
      <c r="HU264" s="76">
        <v>0</v>
      </c>
      <c r="HV264" s="76">
        <v>0</v>
      </c>
      <c r="HW264" s="76">
        <v>0</v>
      </c>
      <c r="HX264" s="76">
        <v>0</v>
      </c>
    </row>
    <row r="265" spans="1:232" x14ac:dyDescent="0.2">
      <c r="A265" s="74" t="s">
        <v>719</v>
      </c>
      <c r="B265" s="74" t="s">
        <v>720</v>
      </c>
      <c r="C265" s="75" t="s">
        <v>200</v>
      </c>
      <c r="D265" s="75">
        <v>12</v>
      </c>
      <c r="E265" s="76">
        <v>16606</v>
      </c>
      <c r="F265" s="76">
        <v>-1389</v>
      </c>
      <c r="G265" s="76">
        <v>-7518</v>
      </c>
      <c r="H265" s="76">
        <v>7699</v>
      </c>
      <c r="I265" s="76">
        <v>385</v>
      </c>
      <c r="J265" s="76">
        <v>399</v>
      </c>
      <c r="K265" s="76">
        <v>0</v>
      </c>
      <c r="L265" s="76">
        <v>0</v>
      </c>
      <c r="M265" s="76">
        <v>10</v>
      </c>
      <c r="N265" s="76">
        <v>-4000</v>
      </c>
      <c r="O265" s="76">
        <v>-163</v>
      </c>
      <c r="P265" s="76">
        <v>5</v>
      </c>
      <c r="Q265" s="76">
        <v>0</v>
      </c>
      <c r="R265" s="76">
        <v>0</v>
      </c>
      <c r="S265" s="76">
        <v>4335</v>
      </c>
      <c r="T265" s="76">
        <v>-41</v>
      </c>
      <c r="U265" s="76">
        <v>4294</v>
      </c>
      <c r="V265" s="76">
        <v>0</v>
      </c>
      <c r="W265" s="76">
        <v>0</v>
      </c>
      <c r="X265" s="76">
        <v>0</v>
      </c>
      <c r="Y265" s="76">
        <v>0</v>
      </c>
      <c r="Z265" s="76">
        <v>4294</v>
      </c>
      <c r="AA265" s="76">
        <v>12629</v>
      </c>
      <c r="AB265" s="76">
        <v>711</v>
      </c>
      <c r="AC265" s="76">
        <v>13340</v>
      </c>
      <c r="AD265" s="76">
        <v>1252</v>
      </c>
      <c r="AE265" s="76">
        <v>0</v>
      </c>
      <c r="AF265" s="76">
        <v>0</v>
      </c>
      <c r="AG265" s="76">
        <v>43</v>
      </c>
      <c r="AH265" s="76">
        <v>14635</v>
      </c>
      <c r="AI265" s="76">
        <v>3281</v>
      </c>
      <c r="AJ265" s="76">
        <v>1117</v>
      </c>
      <c r="AK265" s="76">
        <v>1818</v>
      </c>
      <c r="AL265" s="76">
        <v>140</v>
      </c>
      <c r="AM265" s="76">
        <v>0</v>
      </c>
      <c r="AN265" s="76">
        <v>166</v>
      </c>
      <c r="AO265" s="76">
        <v>996</v>
      </c>
      <c r="AP265" s="76">
        <v>0</v>
      </c>
      <c r="AQ265" s="76">
        <v>0</v>
      </c>
      <c r="AR265" s="76">
        <v>7518</v>
      </c>
      <c r="AS265" s="76">
        <v>7117</v>
      </c>
      <c r="AT265" s="76">
        <v>83</v>
      </c>
      <c r="AU265" s="76">
        <v>185208</v>
      </c>
      <c r="AV265" s="76">
        <v>0</v>
      </c>
      <c r="AW265" s="76">
        <v>4230</v>
      </c>
      <c r="AX265" s="76">
        <v>0</v>
      </c>
      <c r="AY265" s="76">
        <v>0</v>
      </c>
      <c r="AZ265" s="76">
        <v>2257</v>
      </c>
      <c r="BA265" s="76">
        <v>0</v>
      </c>
      <c r="BB265" s="76">
        <v>5054</v>
      </c>
      <c r="BC265" s="76">
        <v>0</v>
      </c>
      <c r="BD265" s="76">
        <v>0</v>
      </c>
      <c r="BE265" s="76">
        <v>196749</v>
      </c>
      <c r="BF265" s="76">
        <v>220</v>
      </c>
      <c r="BG265" s="76">
        <v>628</v>
      </c>
      <c r="BH265" s="76">
        <v>496</v>
      </c>
      <c r="BI265" s="76">
        <v>0</v>
      </c>
      <c r="BJ265" s="76">
        <v>159</v>
      </c>
      <c r="BK265" s="76">
        <v>1503</v>
      </c>
      <c r="BL265" s="76">
        <v>420</v>
      </c>
      <c r="BM265" s="76">
        <v>0</v>
      </c>
      <c r="BN265" s="76">
        <v>1250</v>
      </c>
      <c r="BO265" s="76">
        <v>2694</v>
      </c>
      <c r="BP265" s="76">
        <v>4364</v>
      </c>
      <c r="BQ265" s="76">
        <v>-2861</v>
      </c>
      <c r="BR265" s="76">
        <v>193888</v>
      </c>
      <c r="BS265" s="76">
        <v>102632</v>
      </c>
      <c r="BT265" s="76">
        <v>0</v>
      </c>
      <c r="BU265" s="76">
        <v>0</v>
      </c>
      <c r="BV265" s="76">
        <v>43176</v>
      </c>
      <c r="BW265" s="76">
        <v>0</v>
      </c>
      <c r="BX265" s="76">
        <v>0</v>
      </c>
      <c r="BY265" s="76">
        <v>1159</v>
      </c>
      <c r="BZ265" s="76">
        <v>146967</v>
      </c>
      <c r="CA265" s="76">
        <v>0</v>
      </c>
      <c r="CB265" s="76">
        <v>0</v>
      </c>
      <c r="CC265" s="76">
        <v>46921</v>
      </c>
      <c r="CD265" s="76">
        <v>43009</v>
      </c>
      <c r="CE265" s="76">
        <v>3912</v>
      </c>
      <c r="CF265" s="76">
        <v>0</v>
      </c>
      <c r="CG265" s="76">
        <v>0</v>
      </c>
      <c r="CH265" s="76">
        <v>0</v>
      </c>
      <c r="CI265" s="76">
        <v>46921</v>
      </c>
      <c r="CJ265" s="76">
        <v>729</v>
      </c>
      <c r="CK265" s="76">
        <v>465</v>
      </c>
      <c r="CL265" s="76">
        <v>0</v>
      </c>
      <c r="CM265" s="76">
        <v>264</v>
      </c>
      <c r="CN265" s="76">
        <v>0</v>
      </c>
      <c r="CO265" s="76">
        <v>0</v>
      </c>
      <c r="CP265" s="76">
        <v>0</v>
      </c>
      <c r="CQ265" s="76">
        <v>0</v>
      </c>
      <c r="CR265" s="76">
        <v>0</v>
      </c>
      <c r="CS265" s="76">
        <v>0</v>
      </c>
      <c r="CT265" s="76">
        <v>0</v>
      </c>
      <c r="CU265" s="76">
        <v>0</v>
      </c>
      <c r="CV265" s="76">
        <v>0</v>
      </c>
      <c r="CW265" s="76">
        <v>0</v>
      </c>
      <c r="CX265" s="76">
        <v>0</v>
      </c>
      <c r="CY265" s="76">
        <v>0</v>
      </c>
      <c r="CZ265" s="76">
        <v>0</v>
      </c>
      <c r="DA265" s="76">
        <v>0</v>
      </c>
      <c r="DB265" s="76">
        <v>0</v>
      </c>
      <c r="DC265" s="76">
        <v>0</v>
      </c>
      <c r="DD265" s="76">
        <v>729</v>
      </c>
      <c r="DE265" s="76">
        <v>465</v>
      </c>
      <c r="DF265" s="76">
        <v>0</v>
      </c>
      <c r="DG265" s="76">
        <v>264</v>
      </c>
      <c r="DH265" s="76">
        <v>1117</v>
      </c>
      <c r="DI265" s="76">
        <v>914</v>
      </c>
      <c r="DJ265" s="76">
        <v>0</v>
      </c>
      <c r="DK265" s="76">
        <v>203</v>
      </c>
      <c r="DL265" s="76">
        <v>0</v>
      </c>
      <c r="DM265" s="76">
        <v>0</v>
      </c>
      <c r="DN265" s="76">
        <v>0</v>
      </c>
      <c r="DO265" s="76">
        <v>0</v>
      </c>
      <c r="DP265" s="76">
        <v>0</v>
      </c>
      <c r="DQ265" s="76">
        <v>0</v>
      </c>
      <c r="DR265" s="76">
        <v>0</v>
      </c>
      <c r="DS265" s="76">
        <v>0</v>
      </c>
      <c r="DT265" s="76">
        <v>125</v>
      </c>
      <c r="DU265" s="76">
        <v>10</v>
      </c>
      <c r="DV265" s="76">
        <v>0</v>
      </c>
      <c r="DW265" s="76">
        <v>115</v>
      </c>
      <c r="DX265" s="76">
        <v>0</v>
      </c>
      <c r="DY265" s="76">
        <v>0</v>
      </c>
      <c r="DZ265" s="76">
        <v>0</v>
      </c>
      <c r="EA265" s="76">
        <v>0</v>
      </c>
      <c r="EB265" s="76">
        <v>0</v>
      </c>
      <c r="EC265" s="76">
        <v>0</v>
      </c>
      <c r="ED265" s="76">
        <v>0</v>
      </c>
      <c r="EE265" s="76">
        <v>0</v>
      </c>
      <c r="EF265" s="76">
        <v>1242</v>
      </c>
      <c r="EG265" s="76">
        <v>924</v>
      </c>
      <c r="EH265" s="76">
        <v>0</v>
      </c>
      <c r="EI265" s="76">
        <v>318</v>
      </c>
      <c r="EJ265" s="76">
        <v>1971</v>
      </c>
      <c r="EK265" s="76">
        <v>1389</v>
      </c>
      <c r="EL265" s="76">
        <v>0</v>
      </c>
      <c r="EM265" s="76">
        <v>582</v>
      </c>
      <c r="EN265" s="76">
        <v>516</v>
      </c>
      <c r="EO265" s="76">
        <v>121</v>
      </c>
      <c r="EP265" s="76">
        <v>334</v>
      </c>
      <c r="EQ265" s="76">
        <v>121</v>
      </c>
      <c r="ER265" s="76">
        <v>190012</v>
      </c>
      <c r="ES265" s="76">
        <v>0</v>
      </c>
      <c r="ET265" s="76">
        <v>190012</v>
      </c>
      <c r="EU265" s="76">
        <v>6383</v>
      </c>
      <c r="EV265" s="76">
        <v>-383</v>
      </c>
      <c r="EW265" s="76">
        <v>0</v>
      </c>
      <c r="EX265" s="76">
        <v>0</v>
      </c>
      <c r="EY265" s="76">
        <v>-1134</v>
      </c>
      <c r="EZ265" s="76">
        <v>194878</v>
      </c>
      <c r="FA265" s="76">
        <v>8674</v>
      </c>
      <c r="FB265" s="76">
        <v>1017</v>
      </c>
      <c r="FC265" s="76">
        <v>0</v>
      </c>
      <c r="FD265" s="76">
        <v>0</v>
      </c>
      <c r="FE265" s="76">
        <v>-21</v>
      </c>
      <c r="FF265" s="76">
        <v>0</v>
      </c>
      <c r="FG265" s="76">
        <v>0</v>
      </c>
      <c r="FH265" s="76">
        <v>9670</v>
      </c>
      <c r="FI265" s="76">
        <v>185208</v>
      </c>
      <c r="FJ265" s="76">
        <v>181338</v>
      </c>
      <c r="FK265" s="76">
        <v>0</v>
      </c>
      <c r="FL265" s="76">
        <v>0</v>
      </c>
      <c r="FM265" s="76">
        <v>0</v>
      </c>
      <c r="FN265" s="76">
        <v>0</v>
      </c>
      <c r="FO265" s="76">
        <v>0</v>
      </c>
      <c r="FP265" s="76">
        <v>0</v>
      </c>
      <c r="FQ265" s="76">
        <v>0</v>
      </c>
      <c r="FR265" s="76">
        <v>0</v>
      </c>
      <c r="FS265" s="76">
        <v>0</v>
      </c>
      <c r="FT265" s="76">
        <v>0</v>
      </c>
      <c r="FU265" s="76">
        <v>0</v>
      </c>
      <c r="FV265" s="76">
        <v>0</v>
      </c>
      <c r="FW265" s="76">
        <v>0</v>
      </c>
      <c r="FX265" s="76">
        <v>0</v>
      </c>
      <c r="FY265" s="76">
        <v>0</v>
      </c>
      <c r="FZ265" s="76">
        <v>625</v>
      </c>
      <c r="GA265" s="76">
        <v>240</v>
      </c>
      <c r="GB265" s="76">
        <v>385</v>
      </c>
      <c r="GC265" s="76">
        <v>625</v>
      </c>
      <c r="GD265" s="76">
        <v>240</v>
      </c>
      <c r="GE265" s="76">
        <v>385</v>
      </c>
      <c r="GF265" s="76">
        <v>159</v>
      </c>
      <c r="GG265" s="76">
        <v>0</v>
      </c>
      <c r="GH265" s="76">
        <v>0</v>
      </c>
      <c r="GI265" s="76">
        <v>0</v>
      </c>
      <c r="GJ265" s="76">
        <v>0</v>
      </c>
      <c r="GK265" s="76">
        <v>0</v>
      </c>
      <c r="GL265" s="76">
        <v>159</v>
      </c>
      <c r="GM265" s="76">
        <v>463</v>
      </c>
      <c r="GN265" s="76">
        <v>165</v>
      </c>
      <c r="GO265" s="76">
        <v>0</v>
      </c>
      <c r="GP265" s="76">
        <v>0</v>
      </c>
      <c r="GQ265" s="76">
        <v>0</v>
      </c>
      <c r="GR265" s="76">
        <v>1947</v>
      </c>
      <c r="GS265" s="76">
        <v>0</v>
      </c>
      <c r="GT265" s="76">
        <v>0</v>
      </c>
      <c r="GU265" s="76">
        <v>119</v>
      </c>
      <c r="GV265" s="76">
        <v>0</v>
      </c>
      <c r="GW265" s="76">
        <v>0</v>
      </c>
      <c r="GX265" s="76">
        <v>2694</v>
      </c>
      <c r="GY265" s="76">
        <v>16</v>
      </c>
      <c r="GZ265" s="76">
        <v>0</v>
      </c>
      <c r="HA265" s="76">
        <v>816</v>
      </c>
      <c r="HB265" s="76">
        <v>327</v>
      </c>
      <c r="HC265" s="76">
        <v>1159</v>
      </c>
      <c r="HD265" s="76">
        <v>0</v>
      </c>
      <c r="HE265" s="76">
        <v>0</v>
      </c>
      <c r="HF265" s="76">
        <v>0</v>
      </c>
      <c r="HG265" s="76">
        <v>3906</v>
      </c>
      <c r="HH265" s="76">
        <v>116</v>
      </c>
      <c r="HI265" s="76">
        <v>47</v>
      </c>
      <c r="HJ265" s="76">
        <v>0</v>
      </c>
      <c r="HK265" s="76">
        <v>0</v>
      </c>
      <c r="HL265" s="76">
        <v>-69</v>
      </c>
      <c r="HM265" s="76">
        <v>4000</v>
      </c>
      <c r="HN265" s="76">
        <v>757</v>
      </c>
      <c r="HO265" s="76">
        <v>1134</v>
      </c>
      <c r="HP265" s="76">
        <v>0</v>
      </c>
      <c r="HQ265" s="76">
        <v>62</v>
      </c>
      <c r="HR265" s="76">
        <v>0</v>
      </c>
      <c r="HS265" s="76">
        <v>0</v>
      </c>
      <c r="HT265" s="76">
        <v>2874</v>
      </c>
      <c r="HU265" s="76">
        <v>0</v>
      </c>
      <c r="HV265" s="76">
        <v>0</v>
      </c>
      <c r="HW265" s="76">
        <v>-52</v>
      </c>
      <c r="HX265" s="76">
        <v>18</v>
      </c>
    </row>
    <row r="266" spans="1:232" x14ac:dyDescent="0.2">
      <c r="A266" s="74" t="s">
        <v>722</v>
      </c>
      <c r="B266" s="74" t="s">
        <v>723</v>
      </c>
      <c r="C266" s="75" t="s">
        <v>200</v>
      </c>
      <c r="D266" s="75">
        <v>12</v>
      </c>
      <c r="E266" s="76">
        <v>15543</v>
      </c>
      <c r="F266" s="76">
        <v>0</v>
      </c>
      <c r="G266" s="76">
        <v>-15508</v>
      </c>
      <c r="H266" s="76">
        <v>35</v>
      </c>
      <c r="I266" s="76">
        <v>0</v>
      </c>
      <c r="J266" s="76">
        <v>0</v>
      </c>
      <c r="K266" s="76">
        <v>0</v>
      </c>
      <c r="L266" s="76">
        <v>0</v>
      </c>
      <c r="M266" s="76">
        <v>0</v>
      </c>
      <c r="N266" s="76">
        <v>0</v>
      </c>
      <c r="O266" s="76">
        <v>0</v>
      </c>
      <c r="P266" s="76">
        <v>0</v>
      </c>
      <c r="Q266" s="76">
        <v>0</v>
      </c>
      <c r="R266" s="76">
        <v>0</v>
      </c>
      <c r="S266" s="76">
        <v>35</v>
      </c>
      <c r="T266" s="76">
        <v>-7</v>
      </c>
      <c r="U266" s="76">
        <v>28</v>
      </c>
      <c r="V266" s="76">
        <v>0</v>
      </c>
      <c r="W266" s="76">
        <v>0</v>
      </c>
      <c r="X266" s="76">
        <v>0</v>
      </c>
      <c r="Y266" s="76">
        <v>0</v>
      </c>
      <c r="Z266" s="76">
        <v>28</v>
      </c>
      <c r="AA266" s="76">
        <v>4748</v>
      </c>
      <c r="AB266" s="76">
        <v>10795</v>
      </c>
      <c r="AC266" s="76">
        <v>15543</v>
      </c>
      <c r="AD266" s="76">
        <v>0</v>
      </c>
      <c r="AE266" s="76">
        <v>0</v>
      </c>
      <c r="AF266" s="76">
        <v>0</v>
      </c>
      <c r="AG266" s="76">
        <v>0</v>
      </c>
      <c r="AH266" s="76">
        <v>15543</v>
      </c>
      <c r="AI266" s="76">
        <v>1590</v>
      </c>
      <c r="AJ266" s="76">
        <v>13918</v>
      </c>
      <c r="AK266" s="76">
        <v>0</v>
      </c>
      <c r="AL266" s="76">
        <v>0</v>
      </c>
      <c r="AM266" s="76">
        <v>0</v>
      </c>
      <c r="AN266" s="76">
        <v>0</v>
      </c>
      <c r="AO266" s="76">
        <v>0</v>
      </c>
      <c r="AP266" s="76">
        <v>0</v>
      </c>
      <c r="AQ266" s="76">
        <v>0</v>
      </c>
      <c r="AR266" s="76">
        <v>15508</v>
      </c>
      <c r="AS266" s="76">
        <v>35</v>
      </c>
      <c r="AT266" s="76">
        <v>0</v>
      </c>
      <c r="AU266" s="76">
        <v>0</v>
      </c>
      <c r="AV266" s="76">
        <v>0</v>
      </c>
      <c r="AW266" s="76">
        <v>51</v>
      </c>
      <c r="AX266" s="76">
        <v>0</v>
      </c>
      <c r="AY266" s="76">
        <v>0</v>
      </c>
      <c r="AZ266" s="76">
        <v>0</v>
      </c>
      <c r="BA266" s="76">
        <v>0</v>
      </c>
      <c r="BB266" s="76">
        <v>0</v>
      </c>
      <c r="BC266" s="76">
        <v>0</v>
      </c>
      <c r="BD266" s="76">
        <v>0</v>
      </c>
      <c r="BE266" s="76">
        <v>51</v>
      </c>
      <c r="BF266" s="76">
        <v>0</v>
      </c>
      <c r="BG266" s="76">
        <v>0</v>
      </c>
      <c r="BH266" s="76">
        <v>1308</v>
      </c>
      <c r="BI266" s="76">
        <v>0</v>
      </c>
      <c r="BJ266" s="76">
        <v>0</v>
      </c>
      <c r="BK266" s="76">
        <v>1308</v>
      </c>
      <c r="BL266" s="76">
        <v>0</v>
      </c>
      <c r="BM266" s="76">
        <v>0</v>
      </c>
      <c r="BN266" s="76">
        <v>0</v>
      </c>
      <c r="BO266" s="76">
        <v>1172</v>
      </c>
      <c r="BP266" s="76">
        <v>1172</v>
      </c>
      <c r="BQ266" s="76">
        <v>136</v>
      </c>
      <c r="BR266" s="76">
        <v>187</v>
      </c>
      <c r="BS266" s="76">
        <v>0</v>
      </c>
      <c r="BT266" s="76">
        <v>0</v>
      </c>
      <c r="BU266" s="76">
        <v>0</v>
      </c>
      <c r="BV266" s="76">
        <v>0</v>
      </c>
      <c r="BW266" s="76">
        <v>0</v>
      </c>
      <c r="BX266" s="76">
        <v>0</v>
      </c>
      <c r="BY266" s="76">
        <v>0</v>
      </c>
      <c r="BZ266" s="76">
        <v>0</v>
      </c>
      <c r="CA266" s="76">
        <v>0</v>
      </c>
      <c r="CB266" s="76">
        <v>10</v>
      </c>
      <c r="CC266" s="76">
        <v>177</v>
      </c>
      <c r="CD266" s="76">
        <v>77</v>
      </c>
      <c r="CE266" s="76">
        <v>0</v>
      </c>
      <c r="CF266" s="76">
        <v>0</v>
      </c>
      <c r="CG266" s="76">
        <v>0</v>
      </c>
      <c r="CH266" s="76">
        <v>100</v>
      </c>
      <c r="CI266" s="76">
        <v>177</v>
      </c>
      <c r="CJ266" s="76">
        <v>0</v>
      </c>
      <c r="CK266" s="76">
        <v>0</v>
      </c>
      <c r="CL266" s="76">
        <v>0</v>
      </c>
      <c r="CM266" s="76">
        <v>0</v>
      </c>
      <c r="CN266" s="76">
        <v>0</v>
      </c>
      <c r="CO266" s="76">
        <v>0</v>
      </c>
      <c r="CP266" s="76">
        <v>0</v>
      </c>
      <c r="CQ266" s="76">
        <v>0</v>
      </c>
      <c r="CR266" s="76">
        <v>0</v>
      </c>
      <c r="CS266" s="76">
        <v>0</v>
      </c>
      <c r="CT266" s="76">
        <v>0</v>
      </c>
      <c r="CU266" s="76">
        <v>0</v>
      </c>
      <c r="CV266" s="76">
        <v>0</v>
      </c>
      <c r="CW266" s="76">
        <v>0</v>
      </c>
      <c r="CX266" s="76">
        <v>0</v>
      </c>
      <c r="CY266" s="76">
        <v>0</v>
      </c>
      <c r="CZ266" s="76">
        <v>0</v>
      </c>
      <c r="DA266" s="76">
        <v>0</v>
      </c>
      <c r="DB266" s="76">
        <v>0</v>
      </c>
      <c r="DC266" s="76">
        <v>0</v>
      </c>
      <c r="DD266" s="76">
        <v>0</v>
      </c>
      <c r="DE266" s="76">
        <v>0</v>
      </c>
      <c r="DF266" s="76">
        <v>0</v>
      </c>
      <c r="DG266" s="76">
        <v>0</v>
      </c>
      <c r="DH266" s="76">
        <v>0</v>
      </c>
      <c r="DI266" s="76">
        <v>0</v>
      </c>
      <c r="DJ266" s="76">
        <v>0</v>
      </c>
      <c r="DK266" s="76">
        <v>0</v>
      </c>
      <c r="DL266" s="76">
        <v>0</v>
      </c>
      <c r="DM266" s="76">
        <v>0</v>
      </c>
      <c r="DN266" s="76">
        <v>0</v>
      </c>
      <c r="DO266" s="76">
        <v>0</v>
      </c>
      <c r="DP266" s="76">
        <v>0</v>
      </c>
      <c r="DQ266" s="76">
        <v>0</v>
      </c>
      <c r="DR266" s="76">
        <v>0</v>
      </c>
      <c r="DS266" s="76">
        <v>0</v>
      </c>
      <c r="DT266" s="76">
        <v>0</v>
      </c>
      <c r="DU266" s="76">
        <v>0</v>
      </c>
      <c r="DV266" s="76">
        <v>0</v>
      </c>
      <c r="DW266" s="76">
        <v>0</v>
      </c>
      <c r="DX266" s="76">
        <v>0</v>
      </c>
      <c r="DY266" s="76">
        <v>0</v>
      </c>
      <c r="DZ266" s="76">
        <v>0</v>
      </c>
      <c r="EA266" s="76">
        <v>0</v>
      </c>
      <c r="EB266" s="76">
        <v>0</v>
      </c>
      <c r="EC266" s="76">
        <v>0</v>
      </c>
      <c r="ED266" s="76">
        <v>0</v>
      </c>
      <c r="EE266" s="76">
        <v>0</v>
      </c>
      <c r="EF266" s="76">
        <v>0</v>
      </c>
      <c r="EG266" s="76">
        <v>0</v>
      </c>
      <c r="EH266" s="76">
        <v>0</v>
      </c>
      <c r="EI266" s="76">
        <v>0</v>
      </c>
      <c r="EJ266" s="76">
        <v>0</v>
      </c>
      <c r="EK266" s="76">
        <v>0</v>
      </c>
      <c r="EL266" s="76">
        <v>0</v>
      </c>
      <c r="EM266" s="76">
        <v>0</v>
      </c>
      <c r="EN266" s="76">
        <v>0</v>
      </c>
      <c r="EO266" s="76">
        <v>0</v>
      </c>
      <c r="EP266" s="76">
        <v>0</v>
      </c>
      <c r="EQ266" s="76">
        <v>0</v>
      </c>
      <c r="ER266" s="76">
        <v>0</v>
      </c>
      <c r="ES266" s="76">
        <v>0</v>
      </c>
      <c r="ET266" s="76">
        <v>0</v>
      </c>
      <c r="EU266" s="76">
        <v>0</v>
      </c>
      <c r="EV266" s="76">
        <v>0</v>
      </c>
      <c r="EW266" s="76">
        <v>0</v>
      </c>
      <c r="EX266" s="76">
        <v>0</v>
      </c>
      <c r="EY266" s="76">
        <v>0</v>
      </c>
      <c r="EZ266" s="76">
        <v>0</v>
      </c>
      <c r="FA266" s="76">
        <v>0</v>
      </c>
      <c r="FB266" s="76">
        <v>0</v>
      </c>
      <c r="FC266" s="76">
        <v>0</v>
      </c>
      <c r="FD266" s="76">
        <v>0</v>
      </c>
      <c r="FE266" s="76">
        <v>0</v>
      </c>
      <c r="FF266" s="76">
        <v>0</v>
      </c>
      <c r="FG266" s="76">
        <v>0</v>
      </c>
      <c r="FH266" s="76">
        <v>0</v>
      </c>
      <c r="FI266" s="76">
        <v>0</v>
      </c>
      <c r="FJ266" s="76">
        <v>0</v>
      </c>
      <c r="FK266" s="76">
        <v>0</v>
      </c>
      <c r="FL266" s="76">
        <v>0</v>
      </c>
      <c r="FM266" s="76">
        <v>0</v>
      </c>
      <c r="FN266" s="76">
        <v>0</v>
      </c>
      <c r="FO266" s="76">
        <v>0</v>
      </c>
      <c r="FP266" s="76">
        <v>0</v>
      </c>
      <c r="FQ266" s="76">
        <v>0</v>
      </c>
      <c r="FR266" s="76">
        <v>0</v>
      </c>
      <c r="FS266" s="76">
        <v>0</v>
      </c>
      <c r="FT266" s="76">
        <v>0</v>
      </c>
      <c r="FU266" s="76">
        <v>0</v>
      </c>
      <c r="FV266" s="76">
        <v>0</v>
      </c>
      <c r="FW266" s="76">
        <v>0</v>
      </c>
      <c r="FX266" s="76">
        <v>0</v>
      </c>
      <c r="FY266" s="76">
        <v>0</v>
      </c>
      <c r="FZ266" s="76">
        <v>0</v>
      </c>
      <c r="GA266" s="76">
        <v>0</v>
      </c>
      <c r="GB266" s="76">
        <v>0</v>
      </c>
      <c r="GC266" s="76">
        <v>0</v>
      </c>
      <c r="GD266" s="76">
        <v>0</v>
      </c>
      <c r="GE266" s="76">
        <v>0</v>
      </c>
      <c r="GF266" s="76">
        <v>0</v>
      </c>
      <c r="GG266" s="76">
        <v>0</v>
      </c>
      <c r="GH266" s="76">
        <v>0</v>
      </c>
      <c r="GI266" s="76">
        <v>0</v>
      </c>
      <c r="GJ266" s="76">
        <v>0</v>
      </c>
      <c r="GK266" s="76">
        <v>0</v>
      </c>
      <c r="GL266" s="76">
        <v>0</v>
      </c>
      <c r="GM266" s="76">
        <v>1172</v>
      </c>
      <c r="GN266" s="76">
        <v>0</v>
      </c>
      <c r="GO266" s="76">
        <v>0</v>
      </c>
      <c r="GP266" s="76">
        <v>0</v>
      </c>
      <c r="GQ266" s="76">
        <v>0</v>
      </c>
      <c r="GR266" s="76">
        <v>0</v>
      </c>
      <c r="GS266" s="76">
        <v>0</v>
      </c>
      <c r="GT266" s="76">
        <v>0</v>
      </c>
      <c r="GU266" s="76">
        <v>0</v>
      </c>
      <c r="GV266" s="76">
        <v>0</v>
      </c>
      <c r="GW266" s="76">
        <v>0</v>
      </c>
      <c r="GX266" s="76">
        <v>1172</v>
      </c>
      <c r="GY266" s="76">
        <v>0</v>
      </c>
      <c r="GZ266" s="76">
        <v>0</v>
      </c>
      <c r="HA266" s="76">
        <v>0</v>
      </c>
      <c r="HB266" s="76">
        <v>0</v>
      </c>
      <c r="HC266" s="76">
        <v>0</v>
      </c>
      <c r="HD266" s="76">
        <v>0</v>
      </c>
      <c r="HE266" s="76">
        <v>10</v>
      </c>
      <c r="HF266" s="76">
        <v>10</v>
      </c>
      <c r="HG266" s="76">
        <v>0</v>
      </c>
      <c r="HH266" s="76">
        <v>0</v>
      </c>
      <c r="HI266" s="76">
        <v>0</v>
      </c>
      <c r="HJ266" s="76">
        <v>0</v>
      </c>
      <c r="HK266" s="76">
        <v>0</v>
      </c>
      <c r="HL266" s="76">
        <v>0</v>
      </c>
      <c r="HM266" s="76">
        <v>0</v>
      </c>
      <c r="HN266" s="76">
        <v>0</v>
      </c>
      <c r="HO266" s="76">
        <v>11</v>
      </c>
      <c r="HP266" s="76">
        <v>0</v>
      </c>
      <c r="HQ266" s="76">
        <v>389</v>
      </c>
      <c r="HR266" s="76">
        <v>0</v>
      </c>
      <c r="HS266" s="76">
        <v>0</v>
      </c>
      <c r="HT266" s="76">
        <v>1953</v>
      </c>
      <c r="HU266" s="76">
        <v>0</v>
      </c>
      <c r="HV266" s="76">
        <v>0</v>
      </c>
      <c r="HW266" s="76">
        <v>0</v>
      </c>
      <c r="HX266" s="76">
        <v>0</v>
      </c>
    </row>
    <row r="267" spans="1:232" x14ac:dyDescent="0.2">
      <c r="A267" s="74" t="s">
        <v>726</v>
      </c>
      <c r="B267" s="74" t="s">
        <v>725</v>
      </c>
      <c r="C267" s="75" t="s">
        <v>200</v>
      </c>
      <c r="D267" s="75">
        <v>12</v>
      </c>
      <c r="E267" s="76">
        <v>69752</v>
      </c>
      <c r="F267" s="76">
        <v>-488</v>
      </c>
      <c r="G267" s="76">
        <v>-44753</v>
      </c>
      <c r="H267" s="76">
        <v>24511</v>
      </c>
      <c r="I267" s="76">
        <v>-602</v>
      </c>
      <c r="J267" s="76">
        <v>10817</v>
      </c>
      <c r="K267" s="76">
        <v>0</v>
      </c>
      <c r="L267" s="76">
        <v>0</v>
      </c>
      <c r="M267" s="76">
        <v>1490</v>
      </c>
      <c r="N267" s="76">
        <v>-17598</v>
      </c>
      <c r="O267" s="76">
        <v>0</v>
      </c>
      <c r="P267" s="76">
        <v>-4574</v>
      </c>
      <c r="Q267" s="76">
        <v>0</v>
      </c>
      <c r="R267" s="76">
        <v>0</v>
      </c>
      <c r="S267" s="76">
        <v>14044</v>
      </c>
      <c r="T267" s="76">
        <v>0</v>
      </c>
      <c r="U267" s="76">
        <v>14044</v>
      </c>
      <c r="V267" s="76">
        <v>0</v>
      </c>
      <c r="W267" s="76">
        <v>0</v>
      </c>
      <c r="X267" s="76">
        <v>0</v>
      </c>
      <c r="Y267" s="76">
        <v>0</v>
      </c>
      <c r="Z267" s="76">
        <v>14044</v>
      </c>
      <c r="AA267" s="76">
        <v>51819</v>
      </c>
      <c r="AB267" s="76">
        <v>6251</v>
      </c>
      <c r="AC267" s="76">
        <v>58070</v>
      </c>
      <c r="AD267" s="76">
        <v>499</v>
      </c>
      <c r="AE267" s="76">
        <v>0</v>
      </c>
      <c r="AF267" s="76">
        <v>0</v>
      </c>
      <c r="AG267" s="76">
        <v>789</v>
      </c>
      <c r="AH267" s="76">
        <v>59358</v>
      </c>
      <c r="AI267" s="76">
        <v>11374</v>
      </c>
      <c r="AJ267" s="76">
        <v>2951</v>
      </c>
      <c r="AK267" s="76">
        <v>4315</v>
      </c>
      <c r="AL267" s="76">
        <v>2553</v>
      </c>
      <c r="AM267" s="76">
        <v>0</v>
      </c>
      <c r="AN267" s="76">
        <v>-81</v>
      </c>
      <c r="AO267" s="76">
        <v>7323</v>
      </c>
      <c r="AP267" s="76">
        <v>0</v>
      </c>
      <c r="AQ267" s="76">
        <v>0</v>
      </c>
      <c r="AR267" s="76">
        <v>28435</v>
      </c>
      <c r="AS267" s="76">
        <v>30923</v>
      </c>
      <c r="AT267" s="76">
        <v>1125</v>
      </c>
      <c r="AU267" s="76">
        <v>695239</v>
      </c>
      <c r="AV267" s="76">
        <v>0</v>
      </c>
      <c r="AW267" s="76">
        <v>4279</v>
      </c>
      <c r="AX267" s="76">
        <v>0</v>
      </c>
      <c r="AY267" s="76">
        <v>0</v>
      </c>
      <c r="AZ267" s="76">
        <v>0</v>
      </c>
      <c r="BA267" s="76">
        <v>0</v>
      </c>
      <c r="BB267" s="76">
        <v>16611</v>
      </c>
      <c r="BC267" s="76">
        <v>0</v>
      </c>
      <c r="BD267" s="76">
        <v>0</v>
      </c>
      <c r="BE267" s="76">
        <v>716129</v>
      </c>
      <c r="BF267" s="76">
        <v>13245</v>
      </c>
      <c r="BG267" s="76">
        <v>31585</v>
      </c>
      <c r="BH267" s="76">
        <v>34003</v>
      </c>
      <c r="BI267" s="76">
        <v>0</v>
      </c>
      <c r="BJ267" s="76">
        <v>2567</v>
      </c>
      <c r="BK267" s="76">
        <v>81400</v>
      </c>
      <c r="BL267" s="76">
        <v>0</v>
      </c>
      <c r="BM267" s="76">
        <v>0</v>
      </c>
      <c r="BN267" s="76">
        <v>515</v>
      </c>
      <c r="BO267" s="76">
        <v>19943</v>
      </c>
      <c r="BP267" s="76">
        <v>20458</v>
      </c>
      <c r="BQ267" s="76">
        <v>60942</v>
      </c>
      <c r="BR267" s="76">
        <v>777071</v>
      </c>
      <c r="BS267" s="76">
        <v>450529</v>
      </c>
      <c r="BT267" s="76">
        <v>0</v>
      </c>
      <c r="BU267" s="76">
        <v>3023</v>
      </c>
      <c r="BV267" s="76">
        <v>37068</v>
      </c>
      <c r="BW267" s="76">
        <v>0</v>
      </c>
      <c r="BX267" s="76">
        <v>63717</v>
      </c>
      <c r="BY267" s="76">
        <v>5344</v>
      </c>
      <c r="BZ267" s="76">
        <v>559681</v>
      </c>
      <c r="CA267" s="76">
        <v>4112</v>
      </c>
      <c r="CB267" s="76">
        <v>0</v>
      </c>
      <c r="CC267" s="76">
        <v>213278</v>
      </c>
      <c r="CD267" s="76">
        <v>43210</v>
      </c>
      <c r="CE267" s="76">
        <v>170068</v>
      </c>
      <c r="CF267" s="76">
        <v>0</v>
      </c>
      <c r="CG267" s="76">
        <v>0</v>
      </c>
      <c r="CH267" s="76">
        <v>0</v>
      </c>
      <c r="CI267" s="76">
        <v>213278</v>
      </c>
      <c r="CJ267" s="76">
        <v>576</v>
      </c>
      <c r="CK267" s="76">
        <v>488</v>
      </c>
      <c r="CL267" s="76">
        <v>0</v>
      </c>
      <c r="CM267" s="76">
        <v>88</v>
      </c>
      <c r="CN267" s="76">
        <v>2408</v>
      </c>
      <c r="CO267" s="76">
        <v>0</v>
      </c>
      <c r="CP267" s="76">
        <v>2796</v>
      </c>
      <c r="CQ267" s="76">
        <v>-388</v>
      </c>
      <c r="CR267" s="76">
        <v>0</v>
      </c>
      <c r="CS267" s="76">
        <v>0</v>
      </c>
      <c r="CT267" s="76">
        <v>0</v>
      </c>
      <c r="CU267" s="76">
        <v>0</v>
      </c>
      <c r="CV267" s="76">
        <v>0</v>
      </c>
      <c r="CW267" s="76">
        <v>0</v>
      </c>
      <c r="CX267" s="76">
        <v>0</v>
      </c>
      <c r="CY267" s="76">
        <v>0</v>
      </c>
      <c r="CZ267" s="76">
        <v>7411</v>
      </c>
      <c r="DA267" s="76">
        <v>0</v>
      </c>
      <c r="DB267" s="76">
        <v>13522</v>
      </c>
      <c r="DC267" s="76">
        <v>-6111</v>
      </c>
      <c r="DD267" s="76">
        <v>10395</v>
      </c>
      <c r="DE267" s="76">
        <v>488</v>
      </c>
      <c r="DF267" s="76">
        <v>16318</v>
      </c>
      <c r="DG267" s="76">
        <v>-6411</v>
      </c>
      <c r="DH267" s="76">
        <v>0</v>
      </c>
      <c r="DI267" s="76">
        <v>0</v>
      </c>
      <c r="DJ267" s="76">
        <v>0</v>
      </c>
      <c r="DK267" s="76">
        <v>0</v>
      </c>
      <c r="DL267" s="76">
        <v>0</v>
      </c>
      <c r="DM267" s="76">
        <v>0</v>
      </c>
      <c r="DN267" s="76">
        <v>0</v>
      </c>
      <c r="DO267" s="76">
        <v>0</v>
      </c>
      <c r="DP267" s="76">
        <v>0</v>
      </c>
      <c r="DQ267" s="76">
        <v>0</v>
      </c>
      <c r="DR267" s="76">
        <v>0</v>
      </c>
      <c r="DS267" s="76">
        <v>0</v>
      </c>
      <c r="DT267" s="76">
        <v>0</v>
      </c>
      <c r="DU267" s="76">
        <v>0</v>
      </c>
      <c r="DV267" s="76">
        <v>0</v>
      </c>
      <c r="DW267" s="76">
        <v>0</v>
      </c>
      <c r="DX267" s="76">
        <v>0</v>
      </c>
      <c r="DY267" s="76">
        <v>0</v>
      </c>
      <c r="DZ267" s="76">
        <v>0</v>
      </c>
      <c r="EA267" s="76">
        <v>0</v>
      </c>
      <c r="EB267" s="76">
        <v>0</v>
      </c>
      <c r="EC267" s="76">
        <v>0</v>
      </c>
      <c r="ED267" s="76">
        <v>0</v>
      </c>
      <c r="EE267" s="76">
        <v>0</v>
      </c>
      <c r="EF267" s="76">
        <v>0</v>
      </c>
      <c r="EG267" s="76">
        <v>0</v>
      </c>
      <c r="EH267" s="76">
        <v>0</v>
      </c>
      <c r="EI267" s="76">
        <v>0</v>
      </c>
      <c r="EJ267" s="76">
        <v>10395</v>
      </c>
      <c r="EK267" s="76">
        <v>488</v>
      </c>
      <c r="EL267" s="76">
        <v>16318</v>
      </c>
      <c r="EM267" s="76">
        <v>-6411</v>
      </c>
      <c r="EN267" s="76">
        <v>1073</v>
      </c>
      <c r="EO267" s="76">
        <v>230</v>
      </c>
      <c r="EP267" s="76">
        <v>322</v>
      </c>
      <c r="EQ267" s="76">
        <v>230</v>
      </c>
      <c r="ER267" s="76">
        <v>736581</v>
      </c>
      <c r="ES267" s="76">
        <v>0</v>
      </c>
      <c r="ET267" s="76">
        <v>736581</v>
      </c>
      <c r="EU267" s="76">
        <v>15857</v>
      </c>
      <c r="EV267" s="76">
        <v>-6362</v>
      </c>
      <c r="EW267" s="76">
        <v>0</v>
      </c>
      <c r="EX267" s="76">
        <v>-16148</v>
      </c>
      <c r="EY267" s="76">
        <v>0</v>
      </c>
      <c r="EZ267" s="76">
        <v>729928</v>
      </c>
      <c r="FA267" s="76">
        <v>27446</v>
      </c>
      <c r="FB267" s="76">
        <v>7323</v>
      </c>
      <c r="FC267" s="76">
        <v>0</v>
      </c>
      <c r="FD267" s="76">
        <v>0</v>
      </c>
      <c r="FE267" s="76">
        <v>-79</v>
      </c>
      <c r="FF267" s="76">
        <v>0</v>
      </c>
      <c r="FG267" s="76">
        <v>0</v>
      </c>
      <c r="FH267" s="76">
        <v>34690</v>
      </c>
      <c r="FI267" s="76">
        <v>695238</v>
      </c>
      <c r="FJ267" s="76">
        <v>709135</v>
      </c>
      <c r="FK267" s="76">
        <v>4440</v>
      </c>
      <c r="FL267" s="76">
        <v>3681</v>
      </c>
      <c r="FM267" s="76">
        <v>759</v>
      </c>
      <c r="FN267" s="76">
        <v>1180</v>
      </c>
      <c r="FO267" s="76">
        <v>1247</v>
      </c>
      <c r="FP267" s="76">
        <v>-67</v>
      </c>
      <c r="FQ267" s="76">
        <v>0</v>
      </c>
      <c r="FR267" s="76">
        <v>0</v>
      </c>
      <c r="FS267" s="76">
        <v>0</v>
      </c>
      <c r="FT267" s="76">
        <v>0</v>
      </c>
      <c r="FU267" s="76">
        <v>0</v>
      </c>
      <c r="FV267" s="76">
        <v>0</v>
      </c>
      <c r="FW267" s="76">
        <v>0</v>
      </c>
      <c r="FX267" s="76">
        <v>0</v>
      </c>
      <c r="FY267" s="76">
        <v>0</v>
      </c>
      <c r="FZ267" s="76">
        <v>1685</v>
      </c>
      <c r="GA267" s="76">
        <v>2979</v>
      </c>
      <c r="GB267" s="76">
        <v>-1294</v>
      </c>
      <c r="GC267" s="76">
        <v>7305</v>
      </c>
      <c r="GD267" s="76">
        <v>7907</v>
      </c>
      <c r="GE267" s="76">
        <v>-602</v>
      </c>
      <c r="GF267" s="76">
        <v>867</v>
      </c>
      <c r="GG267" s="76">
        <v>0</v>
      </c>
      <c r="GH267" s="76">
        <v>0</v>
      </c>
      <c r="GI267" s="76">
        <v>0</v>
      </c>
      <c r="GJ267" s="76">
        <v>0</v>
      </c>
      <c r="GK267" s="76">
        <v>1700</v>
      </c>
      <c r="GL267" s="76">
        <v>2567</v>
      </c>
      <c r="GM267" s="76">
        <v>1488</v>
      </c>
      <c r="GN267" s="76">
        <v>0</v>
      </c>
      <c r="GO267" s="76">
        <v>1108</v>
      </c>
      <c r="GP267" s="76">
        <v>0</v>
      </c>
      <c r="GQ267" s="76">
        <v>0</v>
      </c>
      <c r="GR267" s="76">
        <v>8292</v>
      </c>
      <c r="GS267" s="76">
        <v>0</v>
      </c>
      <c r="GT267" s="76">
        <v>0</v>
      </c>
      <c r="GU267" s="76">
        <v>821</v>
      </c>
      <c r="GV267" s="76">
        <v>0</v>
      </c>
      <c r="GW267" s="76">
        <v>8234</v>
      </c>
      <c r="GX267" s="76">
        <v>19943</v>
      </c>
      <c r="GY267" s="76">
        <v>3949</v>
      </c>
      <c r="GZ267" s="76">
        <v>1395</v>
      </c>
      <c r="HA267" s="76">
        <v>0</v>
      </c>
      <c r="HB267" s="76">
        <v>0</v>
      </c>
      <c r="HC267" s="76">
        <v>5344</v>
      </c>
      <c r="HD267" s="76">
        <v>0</v>
      </c>
      <c r="HE267" s="76">
        <v>0</v>
      </c>
      <c r="HF267" s="76">
        <v>0</v>
      </c>
      <c r="HG267" s="76">
        <v>17208</v>
      </c>
      <c r="HH267" s="76">
        <v>16</v>
      </c>
      <c r="HI267" s="76">
        <v>185</v>
      </c>
      <c r="HJ267" s="76">
        <v>0</v>
      </c>
      <c r="HK267" s="76">
        <v>574</v>
      </c>
      <c r="HL267" s="76">
        <v>-385</v>
      </c>
      <c r="HM267" s="76">
        <v>17598</v>
      </c>
      <c r="HN267" s="76">
        <v>4388</v>
      </c>
      <c r="HO267" s="76">
        <v>7520</v>
      </c>
      <c r="HP267" s="76">
        <v>0</v>
      </c>
      <c r="HQ267" s="76">
        <v>7</v>
      </c>
      <c r="HR267" s="76">
        <v>-64</v>
      </c>
      <c r="HS267" s="76">
        <v>0</v>
      </c>
      <c r="HT267" s="76">
        <v>8823</v>
      </c>
      <c r="HU267" s="76">
        <v>0</v>
      </c>
      <c r="HV267" s="76">
        <v>0</v>
      </c>
      <c r="HW267" s="76">
        <v>0</v>
      </c>
      <c r="HX267" s="76">
        <v>0</v>
      </c>
    </row>
    <row r="268" spans="1:232" x14ac:dyDescent="0.2">
      <c r="A268" s="74" t="s">
        <v>728</v>
      </c>
      <c r="B268" s="74" t="s">
        <v>729</v>
      </c>
      <c r="C268" s="75" t="s">
        <v>200</v>
      </c>
      <c r="D268" s="75">
        <v>12</v>
      </c>
      <c r="E268" s="76">
        <v>63397</v>
      </c>
      <c r="F268" s="76">
        <v>0</v>
      </c>
      <c r="G268" s="76">
        <v>-40989</v>
      </c>
      <c r="H268" s="76">
        <v>22408</v>
      </c>
      <c r="I268" s="76">
        <v>371</v>
      </c>
      <c r="J268" s="76">
        <v>891</v>
      </c>
      <c r="K268" s="76">
        <v>117</v>
      </c>
      <c r="L268" s="76">
        <v>0</v>
      </c>
      <c r="M268" s="76">
        <v>1115</v>
      </c>
      <c r="N268" s="76">
        <v>-11744</v>
      </c>
      <c r="O268" s="76">
        <v>582</v>
      </c>
      <c r="P268" s="76">
        <v>0</v>
      </c>
      <c r="Q268" s="76">
        <v>0</v>
      </c>
      <c r="R268" s="76">
        <v>0</v>
      </c>
      <c r="S268" s="76">
        <v>13740</v>
      </c>
      <c r="T268" s="76">
        <v>0</v>
      </c>
      <c r="U268" s="76">
        <v>13740</v>
      </c>
      <c r="V268" s="76">
        <v>0</v>
      </c>
      <c r="W268" s="76">
        <v>-2022</v>
      </c>
      <c r="X268" s="76">
        <v>0</v>
      </c>
      <c r="Y268" s="76">
        <v>0</v>
      </c>
      <c r="Z268" s="76">
        <v>11718</v>
      </c>
      <c r="AA268" s="76">
        <v>47642</v>
      </c>
      <c r="AB268" s="76">
        <v>3823</v>
      </c>
      <c r="AC268" s="76">
        <v>51465</v>
      </c>
      <c r="AD268" s="76">
        <v>73</v>
      </c>
      <c r="AE268" s="76">
        <v>0</v>
      </c>
      <c r="AF268" s="76">
        <v>237</v>
      </c>
      <c r="AG268" s="76">
        <v>0</v>
      </c>
      <c r="AH268" s="76">
        <v>51775</v>
      </c>
      <c r="AI268" s="76">
        <v>7594</v>
      </c>
      <c r="AJ268" s="76">
        <v>4084</v>
      </c>
      <c r="AK268" s="76">
        <v>4469</v>
      </c>
      <c r="AL268" s="76">
        <v>2412</v>
      </c>
      <c r="AM268" s="76">
        <v>4155</v>
      </c>
      <c r="AN268" s="76">
        <v>371</v>
      </c>
      <c r="AO268" s="76">
        <v>7824</v>
      </c>
      <c r="AP268" s="76">
        <v>-321</v>
      </c>
      <c r="AQ268" s="76">
        <v>0</v>
      </c>
      <c r="AR268" s="76">
        <v>30588</v>
      </c>
      <c r="AS268" s="76">
        <v>21187</v>
      </c>
      <c r="AT268" s="76">
        <v>173</v>
      </c>
      <c r="AU268" s="76">
        <v>517673</v>
      </c>
      <c r="AV268" s="76">
        <v>0</v>
      </c>
      <c r="AW268" s="76">
        <v>2119</v>
      </c>
      <c r="AX268" s="76">
        <v>903</v>
      </c>
      <c r="AY268" s="76">
        <v>0</v>
      </c>
      <c r="AZ268" s="76">
        <v>12570</v>
      </c>
      <c r="BA268" s="76">
        <v>0</v>
      </c>
      <c r="BB268" s="76">
        <v>0</v>
      </c>
      <c r="BC268" s="76">
        <v>0</v>
      </c>
      <c r="BD268" s="76">
        <v>1500</v>
      </c>
      <c r="BE268" s="76">
        <v>534765</v>
      </c>
      <c r="BF268" s="76">
        <v>6889</v>
      </c>
      <c r="BG268" s="76">
        <v>15534</v>
      </c>
      <c r="BH268" s="76">
        <v>56389</v>
      </c>
      <c r="BI268" s="76">
        <v>0</v>
      </c>
      <c r="BJ268" s="76">
        <v>3405</v>
      </c>
      <c r="BK268" s="76">
        <v>82217</v>
      </c>
      <c r="BL268" s="76">
        <v>0</v>
      </c>
      <c r="BM268" s="76">
        <v>0</v>
      </c>
      <c r="BN268" s="76">
        <v>152</v>
      </c>
      <c r="BO268" s="76">
        <v>13800</v>
      </c>
      <c r="BP268" s="76">
        <v>13952</v>
      </c>
      <c r="BQ268" s="76">
        <v>68265</v>
      </c>
      <c r="BR268" s="76">
        <v>603030</v>
      </c>
      <c r="BS268" s="76">
        <v>191658</v>
      </c>
      <c r="BT268" s="76">
        <v>113595</v>
      </c>
      <c r="BU268" s="76">
        <v>0</v>
      </c>
      <c r="BV268" s="76">
        <v>8455</v>
      </c>
      <c r="BW268" s="76">
        <v>0</v>
      </c>
      <c r="BX268" s="76">
        <v>0</v>
      </c>
      <c r="BY268" s="76">
        <v>367</v>
      </c>
      <c r="BZ268" s="76">
        <v>314075</v>
      </c>
      <c r="CA268" s="76">
        <v>17097</v>
      </c>
      <c r="CB268" s="76">
        <v>140</v>
      </c>
      <c r="CC268" s="76">
        <v>271718</v>
      </c>
      <c r="CD268" s="76">
        <v>105757</v>
      </c>
      <c r="CE268" s="76">
        <v>165961</v>
      </c>
      <c r="CF268" s="76">
        <v>0</v>
      </c>
      <c r="CG268" s="76">
        <v>0</v>
      </c>
      <c r="CH268" s="76">
        <v>0</v>
      </c>
      <c r="CI268" s="76">
        <v>271718</v>
      </c>
      <c r="CJ268" s="76">
        <v>10000</v>
      </c>
      <c r="CK268" s="76">
        <v>0</v>
      </c>
      <c r="CL268" s="76">
        <v>9557</v>
      </c>
      <c r="CM268" s="76">
        <v>443</v>
      </c>
      <c r="CN268" s="76">
        <v>17</v>
      </c>
      <c r="CO268" s="76">
        <v>0</v>
      </c>
      <c r="CP268" s="76">
        <v>0</v>
      </c>
      <c r="CQ268" s="76">
        <v>17</v>
      </c>
      <c r="CR268" s="76">
        <v>0</v>
      </c>
      <c r="CS268" s="76">
        <v>0</v>
      </c>
      <c r="CT268" s="76">
        <v>0</v>
      </c>
      <c r="CU268" s="76">
        <v>0</v>
      </c>
      <c r="CV268" s="76">
        <v>57</v>
      </c>
      <c r="CW268" s="76">
        <v>0</v>
      </c>
      <c r="CX268" s="76">
        <v>164</v>
      </c>
      <c r="CY268" s="76">
        <v>-107</v>
      </c>
      <c r="CZ268" s="76">
        <v>281</v>
      </c>
      <c r="DA268" s="76">
        <v>0</v>
      </c>
      <c r="DB268" s="76">
        <v>342</v>
      </c>
      <c r="DC268" s="76">
        <v>-61</v>
      </c>
      <c r="DD268" s="76">
        <v>10355</v>
      </c>
      <c r="DE268" s="76">
        <v>0</v>
      </c>
      <c r="DF268" s="76">
        <v>10063</v>
      </c>
      <c r="DG268" s="76">
        <v>292</v>
      </c>
      <c r="DH268" s="76">
        <v>0</v>
      </c>
      <c r="DI268" s="76">
        <v>0</v>
      </c>
      <c r="DJ268" s="76">
        <v>0</v>
      </c>
      <c r="DK268" s="76">
        <v>0</v>
      </c>
      <c r="DL268" s="76">
        <v>0</v>
      </c>
      <c r="DM268" s="76">
        <v>0</v>
      </c>
      <c r="DN268" s="76">
        <v>0</v>
      </c>
      <c r="DO268" s="76">
        <v>0</v>
      </c>
      <c r="DP268" s="76">
        <v>0</v>
      </c>
      <c r="DQ268" s="76">
        <v>0</v>
      </c>
      <c r="DR268" s="76">
        <v>0</v>
      </c>
      <c r="DS268" s="76">
        <v>0</v>
      </c>
      <c r="DT268" s="76">
        <v>776</v>
      </c>
      <c r="DU268" s="76">
        <v>0</v>
      </c>
      <c r="DV268" s="76">
        <v>271</v>
      </c>
      <c r="DW268" s="76">
        <v>505</v>
      </c>
      <c r="DX268" s="76">
        <v>0</v>
      </c>
      <c r="DY268" s="76">
        <v>0</v>
      </c>
      <c r="DZ268" s="76">
        <v>0</v>
      </c>
      <c r="EA268" s="76">
        <v>0</v>
      </c>
      <c r="EB268" s="76">
        <v>491</v>
      </c>
      <c r="EC268" s="76">
        <v>0</v>
      </c>
      <c r="ED268" s="76">
        <v>67</v>
      </c>
      <c r="EE268" s="76">
        <v>424</v>
      </c>
      <c r="EF268" s="76">
        <v>1267</v>
      </c>
      <c r="EG268" s="76">
        <v>0</v>
      </c>
      <c r="EH268" s="76">
        <v>338</v>
      </c>
      <c r="EI268" s="76">
        <v>929</v>
      </c>
      <c r="EJ268" s="76">
        <v>11622</v>
      </c>
      <c r="EK268" s="76">
        <v>0</v>
      </c>
      <c r="EL268" s="76">
        <v>10401</v>
      </c>
      <c r="EM268" s="76">
        <v>1221</v>
      </c>
      <c r="EN268" s="76">
        <v>1750</v>
      </c>
      <c r="EO268" s="76">
        <v>982</v>
      </c>
      <c r="EP268" s="76">
        <v>328</v>
      </c>
      <c r="EQ268" s="76">
        <v>982</v>
      </c>
      <c r="ER268" s="76">
        <v>509196</v>
      </c>
      <c r="ES268" s="76">
        <v>0</v>
      </c>
      <c r="ET268" s="76">
        <v>509196</v>
      </c>
      <c r="EU268" s="76">
        <v>39722</v>
      </c>
      <c r="EV268" s="76">
        <v>-1531</v>
      </c>
      <c r="EW268" s="76">
        <v>0</v>
      </c>
      <c r="EX268" s="76">
        <v>0</v>
      </c>
      <c r="EY268" s="76">
        <v>-8749</v>
      </c>
      <c r="EZ268" s="76">
        <v>538638</v>
      </c>
      <c r="FA268" s="76">
        <v>13956</v>
      </c>
      <c r="FB268" s="76">
        <v>7612</v>
      </c>
      <c r="FC268" s="76">
        <v>-321</v>
      </c>
      <c r="FD268" s="76">
        <v>0</v>
      </c>
      <c r="FE268" s="76">
        <v>-282</v>
      </c>
      <c r="FF268" s="76">
        <v>0</v>
      </c>
      <c r="FG268" s="76">
        <v>0</v>
      </c>
      <c r="FH268" s="76">
        <v>20965</v>
      </c>
      <c r="FI268" s="76">
        <v>517673</v>
      </c>
      <c r="FJ268" s="76">
        <v>495240</v>
      </c>
      <c r="FK268" s="76">
        <v>303</v>
      </c>
      <c r="FL268" s="76">
        <v>205</v>
      </c>
      <c r="FM268" s="76">
        <v>98</v>
      </c>
      <c r="FN268" s="76">
        <v>1132</v>
      </c>
      <c r="FO268" s="76">
        <v>1223</v>
      </c>
      <c r="FP268" s="76">
        <v>-91</v>
      </c>
      <c r="FQ268" s="76">
        <v>130</v>
      </c>
      <c r="FR268" s="76">
        <v>130</v>
      </c>
      <c r="FS268" s="76">
        <v>0</v>
      </c>
      <c r="FT268" s="76">
        <v>3524</v>
      </c>
      <c r="FU268" s="76">
        <v>3160</v>
      </c>
      <c r="FV268" s="76">
        <v>364</v>
      </c>
      <c r="FW268" s="76">
        <v>0</v>
      </c>
      <c r="FX268" s="76">
        <v>0</v>
      </c>
      <c r="FY268" s="76">
        <v>0</v>
      </c>
      <c r="FZ268" s="76">
        <v>0</v>
      </c>
      <c r="GA268" s="76">
        <v>0</v>
      </c>
      <c r="GB268" s="76">
        <v>0</v>
      </c>
      <c r="GC268" s="76">
        <v>5089</v>
      </c>
      <c r="GD268" s="76">
        <v>4718</v>
      </c>
      <c r="GE268" s="76">
        <v>371</v>
      </c>
      <c r="GF268" s="76">
        <v>1859</v>
      </c>
      <c r="GG268" s="76">
        <v>0</v>
      </c>
      <c r="GH268" s="76">
        <v>0</v>
      </c>
      <c r="GI268" s="76">
        <v>0</v>
      </c>
      <c r="GJ268" s="76">
        <v>0</v>
      </c>
      <c r="GK268" s="76">
        <v>1546</v>
      </c>
      <c r="GL268" s="76">
        <v>3405</v>
      </c>
      <c r="GM268" s="76">
        <v>101</v>
      </c>
      <c r="GN268" s="76">
        <v>2133</v>
      </c>
      <c r="GO268" s="76">
        <v>7712</v>
      </c>
      <c r="GP268" s="76">
        <v>16</v>
      </c>
      <c r="GQ268" s="76">
        <v>0</v>
      </c>
      <c r="GR268" s="76">
        <v>2461</v>
      </c>
      <c r="GS268" s="76">
        <v>0</v>
      </c>
      <c r="GT268" s="76">
        <v>0</v>
      </c>
      <c r="GU268" s="76">
        <v>94</v>
      </c>
      <c r="GV268" s="76">
        <v>0</v>
      </c>
      <c r="GW268" s="76">
        <v>1283</v>
      </c>
      <c r="GX268" s="76">
        <v>13800</v>
      </c>
      <c r="GY268" s="76">
        <v>17</v>
      </c>
      <c r="GZ268" s="76">
        <v>193</v>
      </c>
      <c r="HA268" s="76">
        <v>157</v>
      </c>
      <c r="HB268" s="76">
        <v>0</v>
      </c>
      <c r="HC268" s="76">
        <v>367</v>
      </c>
      <c r="HD268" s="76">
        <v>0</v>
      </c>
      <c r="HE268" s="76">
        <v>140</v>
      </c>
      <c r="HF268" s="76">
        <v>140</v>
      </c>
      <c r="HG268" s="76">
        <v>12402</v>
      </c>
      <c r="HH268" s="76">
        <v>69</v>
      </c>
      <c r="HI268" s="76">
        <v>0</v>
      </c>
      <c r="HJ268" s="76">
        <v>0</v>
      </c>
      <c r="HK268" s="76">
        <v>273</v>
      </c>
      <c r="HL268" s="76">
        <v>-1000</v>
      </c>
      <c r="HM268" s="76">
        <v>11744</v>
      </c>
      <c r="HN268" s="76">
        <v>2920</v>
      </c>
      <c r="HO268" s="76">
        <v>8100</v>
      </c>
      <c r="HP268" s="76">
        <v>-321</v>
      </c>
      <c r="HQ268" s="76">
        <v>71</v>
      </c>
      <c r="HR268" s="76">
        <v>-25</v>
      </c>
      <c r="HS268" s="76">
        <v>0</v>
      </c>
      <c r="HT268" s="76">
        <v>9191</v>
      </c>
      <c r="HU268" s="76">
        <v>0</v>
      </c>
      <c r="HV268" s="76">
        <v>0</v>
      </c>
      <c r="HW268" s="76">
        <v>0</v>
      </c>
      <c r="HX268" s="76">
        <v>3</v>
      </c>
    </row>
    <row r="269" spans="1:232" x14ac:dyDescent="0.2">
      <c r="A269" s="74" t="s">
        <v>730</v>
      </c>
      <c r="B269" s="74" t="s">
        <v>731</v>
      </c>
      <c r="C269" s="75" t="s">
        <v>200</v>
      </c>
      <c r="D269" s="75">
        <v>12</v>
      </c>
      <c r="E269" s="76">
        <v>23401</v>
      </c>
      <c r="F269" s="76">
        <v>-1895</v>
      </c>
      <c r="G269" s="76">
        <v>-13768</v>
      </c>
      <c r="H269" s="76">
        <v>7738</v>
      </c>
      <c r="I269" s="76">
        <v>129</v>
      </c>
      <c r="J269" s="76">
        <v>0</v>
      </c>
      <c r="K269" s="76">
        <v>0</v>
      </c>
      <c r="L269" s="76">
        <v>0</v>
      </c>
      <c r="M269" s="76">
        <v>77</v>
      </c>
      <c r="N269" s="76">
        <v>-2833</v>
      </c>
      <c r="O269" s="76">
        <v>0</v>
      </c>
      <c r="P269" s="76">
        <v>0</v>
      </c>
      <c r="Q269" s="76">
        <v>0</v>
      </c>
      <c r="R269" s="76">
        <v>0</v>
      </c>
      <c r="S269" s="76">
        <v>5111</v>
      </c>
      <c r="T269" s="76">
        <v>0</v>
      </c>
      <c r="U269" s="76">
        <v>5111</v>
      </c>
      <c r="V269" s="76">
        <v>0</v>
      </c>
      <c r="W269" s="76">
        <v>-81</v>
      </c>
      <c r="X269" s="76">
        <v>0</v>
      </c>
      <c r="Y269" s="76">
        <v>0</v>
      </c>
      <c r="Z269" s="76">
        <v>5030</v>
      </c>
      <c r="AA269" s="76">
        <v>17273</v>
      </c>
      <c r="AB269" s="76">
        <v>2319</v>
      </c>
      <c r="AC269" s="76">
        <v>19592</v>
      </c>
      <c r="AD269" s="76">
        <v>990</v>
      </c>
      <c r="AE269" s="76">
        <v>0</v>
      </c>
      <c r="AF269" s="76">
        <v>0</v>
      </c>
      <c r="AG269" s="76">
        <v>0</v>
      </c>
      <c r="AH269" s="76">
        <v>20582</v>
      </c>
      <c r="AI269" s="76">
        <v>2048</v>
      </c>
      <c r="AJ269" s="76">
        <v>1969</v>
      </c>
      <c r="AK269" s="76">
        <v>2482</v>
      </c>
      <c r="AL269" s="76">
        <v>562</v>
      </c>
      <c r="AM269" s="76">
        <v>1447</v>
      </c>
      <c r="AN269" s="76">
        <v>212</v>
      </c>
      <c r="AO269" s="76">
        <v>3781</v>
      </c>
      <c r="AP269" s="76">
        <v>0</v>
      </c>
      <c r="AQ269" s="76">
        <v>123</v>
      </c>
      <c r="AR269" s="76">
        <v>12624</v>
      </c>
      <c r="AS269" s="76">
        <v>7958</v>
      </c>
      <c r="AT269" s="76">
        <v>379</v>
      </c>
      <c r="AU269" s="76">
        <v>244669</v>
      </c>
      <c r="AV269" s="76">
        <v>0</v>
      </c>
      <c r="AW269" s="76">
        <v>5872</v>
      </c>
      <c r="AX269" s="76">
        <v>0</v>
      </c>
      <c r="AY269" s="76">
        <v>565</v>
      </c>
      <c r="AZ269" s="76">
        <v>2410</v>
      </c>
      <c r="BA269" s="76">
        <v>0</v>
      </c>
      <c r="BB269" s="76">
        <v>0</v>
      </c>
      <c r="BC269" s="76">
        <v>0</v>
      </c>
      <c r="BD269" s="76">
        <v>0</v>
      </c>
      <c r="BE269" s="76">
        <v>253516</v>
      </c>
      <c r="BF269" s="76">
        <v>4470</v>
      </c>
      <c r="BG269" s="76">
        <v>703</v>
      </c>
      <c r="BH269" s="76">
        <v>7488</v>
      </c>
      <c r="BI269" s="76">
        <v>0</v>
      </c>
      <c r="BJ269" s="76">
        <v>2185</v>
      </c>
      <c r="BK269" s="76">
        <v>14846</v>
      </c>
      <c r="BL269" s="76">
        <v>2745</v>
      </c>
      <c r="BM269" s="76">
        <v>0</v>
      </c>
      <c r="BN269" s="76">
        <v>769</v>
      </c>
      <c r="BO269" s="76">
        <v>9659</v>
      </c>
      <c r="BP269" s="76">
        <v>13173</v>
      </c>
      <c r="BQ269" s="76">
        <v>1673</v>
      </c>
      <c r="BR269" s="76">
        <v>255189</v>
      </c>
      <c r="BS269" s="76">
        <v>77576</v>
      </c>
      <c r="BT269" s="76">
        <v>0</v>
      </c>
      <c r="BU269" s="76">
        <v>0</v>
      </c>
      <c r="BV269" s="76">
        <v>95351</v>
      </c>
      <c r="BW269" s="76">
        <v>0</v>
      </c>
      <c r="BX269" s="76">
        <v>0</v>
      </c>
      <c r="BY269" s="76">
        <v>40</v>
      </c>
      <c r="BZ269" s="76">
        <v>172967</v>
      </c>
      <c r="CA269" s="76">
        <v>2830</v>
      </c>
      <c r="CB269" s="76">
        <v>0</v>
      </c>
      <c r="CC269" s="76">
        <v>79392</v>
      </c>
      <c r="CD269" s="76">
        <v>79392</v>
      </c>
      <c r="CE269" s="76">
        <v>0</v>
      </c>
      <c r="CF269" s="76">
        <v>0</v>
      </c>
      <c r="CG269" s="76">
        <v>0</v>
      </c>
      <c r="CH269" s="76">
        <v>0</v>
      </c>
      <c r="CI269" s="76">
        <v>79392</v>
      </c>
      <c r="CJ269" s="76">
        <v>1782</v>
      </c>
      <c r="CK269" s="76">
        <v>1895</v>
      </c>
      <c r="CL269" s="76">
        <v>0</v>
      </c>
      <c r="CM269" s="76">
        <v>-113</v>
      </c>
      <c r="CN269" s="76">
        <v>89</v>
      </c>
      <c r="CO269" s="76">
        <v>0</v>
      </c>
      <c r="CP269" s="76">
        <v>306</v>
      </c>
      <c r="CQ269" s="76">
        <v>-217</v>
      </c>
      <c r="CR269" s="76">
        <v>0</v>
      </c>
      <c r="CS269" s="76">
        <v>0</v>
      </c>
      <c r="CT269" s="76">
        <v>0</v>
      </c>
      <c r="CU269" s="76">
        <v>0</v>
      </c>
      <c r="CV269" s="76">
        <v>0</v>
      </c>
      <c r="CW269" s="76">
        <v>0</v>
      </c>
      <c r="CX269" s="76">
        <v>0</v>
      </c>
      <c r="CY269" s="76">
        <v>0</v>
      </c>
      <c r="CZ269" s="76">
        <v>768</v>
      </c>
      <c r="DA269" s="76">
        <v>0</v>
      </c>
      <c r="DB269" s="76">
        <v>628</v>
      </c>
      <c r="DC269" s="76">
        <v>140</v>
      </c>
      <c r="DD269" s="76">
        <v>2639</v>
      </c>
      <c r="DE269" s="76">
        <v>1895</v>
      </c>
      <c r="DF269" s="76">
        <v>934</v>
      </c>
      <c r="DG269" s="76">
        <v>-190</v>
      </c>
      <c r="DH269" s="76">
        <v>0</v>
      </c>
      <c r="DI269" s="76">
        <v>0</v>
      </c>
      <c r="DJ269" s="76">
        <v>0</v>
      </c>
      <c r="DK269" s="76">
        <v>0</v>
      </c>
      <c r="DL269" s="76">
        <v>0</v>
      </c>
      <c r="DM269" s="76">
        <v>0</v>
      </c>
      <c r="DN269" s="76">
        <v>0</v>
      </c>
      <c r="DO269" s="76">
        <v>0</v>
      </c>
      <c r="DP269" s="76">
        <v>0</v>
      </c>
      <c r="DQ269" s="76">
        <v>0</v>
      </c>
      <c r="DR269" s="76">
        <v>0</v>
      </c>
      <c r="DS269" s="76">
        <v>0</v>
      </c>
      <c r="DT269" s="76">
        <v>145</v>
      </c>
      <c r="DU269" s="76">
        <v>0</v>
      </c>
      <c r="DV269" s="76">
        <v>187</v>
      </c>
      <c r="DW269" s="76">
        <v>-42</v>
      </c>
      <c r="DX269" s="76">
        <v>0</v>
      </c>
      <c r="DY269" s="76">
        <v>0</v>
      </c>
      <c r="DZ269" s="76">
        <v>0</v>
      </c>
      <c r="EA269" s="76">
        <v>0</v>
      </c>
      <c r="EB269" s="76">
        <v>35</v>
      </c>
      <c r="EC269" s="76">
        <v>0</v>
      </c>
      <c r="ED269" s="76">
        <v>23</v>
      </c>
      <c r="EE269" s="76">
        <v>12</v>
      </c>
      <c r="EF269" s="76">
        <v>180</v>
      </c>
      <c r="EG269" s="76">
        <v>0</v>
      </c>
      <c r="EH269" s="76">
        <v>210</v>
      </c>
      <c r="EI269" s="76">
        <v>-30</v>
      </c>
      <c r="EJ269" s="76">
        <v>2819</v>
      </c>
      <c r="EK269" s="76">
        <v>1895</v>
      </c>
      <c r="EL269" s="76">
        <v>1144</v>
      </c>
      <c r="EM269" s="76">
        <v>-220</v>
      </c>
      <c r="EN269" s="76">
        <v>726</v>
      </c>
      <c r="EO269" s="76">
        <v>102</v>
      </c>
      <c r="EP269" s="76">
        <v>23</v>
      </c>
      <c r="EQ269" s="76">
        <v>102</v>
      </c>
      <c r="ER269" s="76">
        <v>267016</v>
      </c>
      <c r="ES269" s="76">
        <v>0</v>
      </c>
      <c r="ET269" s="76">
        <v>267016</v>
      </c>
      <c r="EU269" s="76">
        <v>21095</v>
      </c>
      <c r="EV269" s="76">
        <v>-2062</v>
      </c>
      <c r="EW269" s="76">
        <v>0</v>
      </c>
      <c r="EX269" s="76">
        <v>0</v>
      </c>
      <c r="EY269" s="76">
        <v>-4338</v>
      </c>
      <c r="EZ269" s="76">
        <v>281711</v>
      </c>
      <c r="FA269" s="76">
        <v>34067</v>
      </c>
      <c r="FB269" s="76">
        <v>3654</v>
      </c>
      <c r="FC269" s="76">
        <v>0</v>
      </c>
      <c r="FD269" s="76">
        <v>0</v>
      </c>
      <c r="FE269" s="76">
        <v>-679</v>
      </c>
      <c r="FF269" s="76">
        <v>0</v>
      </c>
      <c r="FG269" s="76">
        <v>0</v>
      </c>
      <c r="FH269" s="76">
        <v>37042</v>
      </c>
      <c r="FI269" s="76">
        <v>244669</v>
      </c>
      <c r="FJ269" s="76">
        <v>232949</v>
      </c>
      <c r="FK269" s="76">
        <v>602</v>
      </c>
      <c r="FL269" s="76">
        <v>509</v>
      </c>
      <c r="FM269" s="76">
        <v>93</v>
      </c>
      <c r="FN269" s="76">
        <v>0</v>
      </c>
      <c r="FO269" s="76">
        <v>0</v>
      </c>
      <c r="FP269" s="76">
        <v>0</v>
      </c>
      <c r="FQ269" s="76">
        <v>0</v>
      </c>
      <c r="FR269" s="76">
        <v>0</v>
      </c>
      <c r="FS269" s="76">
        <v>0</v>
      </c>
      <c r="FT269" s="76">
        <v>36</v>
      </c>
      <c r="FU269" s="76">
        <v>0</v>
      </c>
      <c r="FV269" s="76">
        <v>36</v>
      </c>
      <c r="FW269" s="76">
        <v>0</v>
      </c>
      <c r="FX269" s="76">
        <v>0</v>
      </c>
      <c r="FY269" s="76">
        <v>0</v>
      </c>
      <c r="FZ269" s="76">
        <v>0</v>
      </c>
      <c r="GA269" s="76">
        <v>0</v>
      </c>
      <c r="GB269" s="76">
        <v>0</v>
      </c>
      <c r="GC269" s="76">
        <v>638</v>
      </c>
      <c r="GD269" s="76">
        <v>509</v>
      </c>
      <c r="GE269" s="76">
        <v>129</v>
      </c>
      <c r="GF269" s="76">
        <v>1350</v>
      </c>
      <c r="GG269" s="76">
        <v>0</v>
      </c>
      <c r="GH269" s="76">
        <v>0</v>
      </c>
      <c r="GI269" s="76">
        <v>0</v>
      </c>
      <c r="GJ269" s="76">
        <v>0</v>
      </c>
      <c r="GK269" s="76">
        <v>835</v>
      </c>
      <c r="GL269" s="76">
        <v>2185</v>
      </c>
      <c r="GM269" s="76">
        <v>0</v>
      </c>
      <c r="GN269" s="76">
        <v>488</v>
      </c>
      <c r="GO269" s="76">
        <v>2993</v>
      </c>
      <c r="GP269" s="76">
        <v>0</v>
      </c>
      <c r="GQ269" s="76">
        <v>0</v>
      </c>
      <c r="GR269" s="76">
        <v>435</v>
      </c>
      <c r="GS269" s="76">
        <v>0</v>
      </c>
      <c r="GT269" s="76">
        <v>0</v>
      </c>
      <c r="GU269" s="76">
        <v>0</v>
      </c>
      <c r="GV269" s="76">
        <v>0</v>
      </c>
      <c r="GW269" s="76">
        <v>5743</v>
      </c>
      <c r="GX269" s="76">
        <v>9659</v>
      </c>
      <c r="GY269" s="76">
        <v>622</v>
      </c>
      <c r="GZ269" s="76">
        <v>0</v>
      </c>
      <c r="HA269" s="76">
        <v>0</v>
      </c>
      <c r="HB269" s="76">
        <v>-582</v>
      </c>
      <c r="HC269" s="76">
        <v>40</v>
      </c>
      <c r="HD269" s="76">
        <v>0</v>
      </c>
      <c r="HE269" s="76">
        <v>0</v>
      </c>
      <c r="HF269" s="76">
        <v>0</v>
      </c>
      <c r="HG269" s="76">
        <v>3329</v>
      </c>
      <c r="HH269" s="76">
        <v>29</v>
      </c>
      <c r="HI269" s="76">
        <v>60</v>
      </c>
      <c r="HJ269" s="76">
        <v>0</v>
      </c>
      <c r="HK269" s="76">
        <v>42</v>
      </c>
      <c r="HL269" s="76">
        <v>-627</v>
      </c>
      <c r="HM269" s="76">
        <v>2833</v>
      </c>
      <c r="HN269" s="76">
        <v>2380</v>
      </c>
      <c r="HO269" s="76">
        <v>4102</v>
      </c>
      <c r="HP269" s="76">
        <v>0</v>
      </c>
      <c r="HQ269" s="76">
        <v>82</v>
      </c>
      <c r="HR269" s="76">
        <v>-15</v>
      </c>
      <c r="HS269" s="76">
        <v>-35</v>
      </c>
      <c r="HT269" s="76">
        <v>4081</v>
      </c>
      <c r="HU269" s="76">
        <v>0</v>
      </c>
      <c r="HV269" s="76">
        <v>0</v>
      </c>
      <c r="HW269" s="76">
        <v>1</v>
      </c>
      <c r="HX269" s="76">
        <v>41</v>
      </c>
    </row>
    <row r="270" spans="1:232" x14ac:dyDescent="0.2">
      <c r="A270" s="71" t="s">
        <v>732</v>
      </c>
      <c r="B270" s="71" t="s">
        <v>733</v>
      </c>
      <c r="C270" s="72" t="s">
        <v>200</v>
      </c>
      <c r="D270" s="72">
        <v>12</v>
      </c>
      <c r="E270" s="73">
        <v>18765</v>
      </c>
      <c r="F270" s="73">
        <v>-668</v>
      </c>
      <c r="G270" s="73">
        <v>-10227</v>
      </c>
      <c r="H270" s="73">
        <v>7870</v>
      </c>
      <c r="I270" s="73">
        <v>-119</v>
      </c>
      <c r="J270" s="73">
        <v>0</v>
      </c>
      <c r="K270" s="73">
        <v>0</v>
      </c>
      <c r="L270" s="73">
        <v>0</v>
      </c>
      <c r="M270" s="73">
        <v>66</v>
      </c>
      <c r="N270" s="73">
        <v>-2646</v>
      </c>
      <c r="O270" s="73">
        <v>0</v>
      </c>
      <c r="P270" s="73">
        <v>0</v>
      </c>
      <c r="Q270" s="73">
        <v>0</v>
      </c>
      <c r="R270" s="73">
        <v>0</v>
      </c>
      <c r="S270" s="73">
        <v>5171</v>
      </c>
      <c r="T270" s="73">
        <v>0</v>
      </c>
      <c r="U270" s="73">
        <v>5171</v>
      </c>
      <c r="V270" s="73">
        <v>0</v>
      </c>
      <c r="W270" s="73">
        <v>-486</v>
      </c>
      <c r="X270" s="73">
        <v>0</v>
      </c>
      <c r="Y270" s="73">
        <v>0</v>
      </c>
      <c r="Z270" s="73">
        <v>4685</v>
      </c>
      <c r="AA270" s="73">
        <v>16015</v>
      </c>
      <c r="AB270" s="73">
        <v>1110</v>
      </c>
      <c r="AC270" s="73">
        <v>17125</v>
      </c>
      <c r="AD270" s="73">
        <v>63</v>
      </c>
      <c r="AE270" s="73">
        <v>0</v>
      </c>
      <c r="AF270" s="73">
        <v>0</v>
      </c>
      <c r="AG270" s="73">
        <v>101</v>
      </c>
      <c r="AH270" s="73">
        <v>17289</v>
      </c>
      <c r="AI270" s="73">
        <v>3614</v>
      </c>
      <c r="AJ270" s="73">
        <v>851</v>
      </c>
      <c r="AK270" s="73">
        <v>1718</v>
      </c>
      <c r="AL270" s="73">
        <v>739</v>
      </c>
      <c r="AM270" s="73">
        <v>1776</v>
      </c>
      <c r="AN270" s="73">
        <v>71</v>
      </c>
      <c r="AO270" s="73">
        <v>1061</v>
      </c>
      <c r="AP270" s="73">
        <v>0</v>
      </c>
      <c r="AQ270" s="73">
        <v>52</v>
      </c>
      <c r="AR270" s="73">
        <v>9882</v>
      </c>
      <c r="AS270" s="73">
        <v>7407</v>
      </c>
      <c r="AT270" s="73">
        <v>87</v>
      </c>
      <c r="AU270" s="73">
        <v>117301</v>
      </c>
      <c r="AV270" s="73">
        <v>0</v>
      </c>
      <c r="AW270" s="73">
        <v>1422</v>
      </c>
      <c r="AX270" s="73">
        <v>218</v>
      </c>
      <c r="AY270" s="73">
        <v>0</v>
      </c>
      <c r="AZ270" s="73">
        <v>400</v>
      </c>
      <c r="BA270" s="73">
        <v>0</v>
      </c>
      <c r="BB270" s="73">
        <v>0</v>
      </c>
      <c r="BC270" s="73">
        <v>0</v>
      </c>
      <c r="BD270" s="73">
        <v>0</v>
      </c>
      <c r="BE270" s="73">
        <v>119341</v>
      </c>
      <c r="BF270" s="73">
        <v>505</v>
      </c>
      <c r="BG270" s="73">
        <v>1315</v>
      </c>
      <c r="BH270" s="73">
        <v>17606</v>
      </c>
      <c r="BI270" s="73">
        <v>0</v>
      </c>
      <c r="BJ270" s="73">
        <v>0</v>
      </c>
      <c r="BK270" s="73">
        <v>19426</v>
      </c>
      <c r="BL270" s="73">
        <v>0</v>
      </c>
      <c r="BM270" s="73">
        <v>0</v>
      </c>
      <c r="BN270" s="73">
        <v>66</v>
      </c>
      <c r="BO270" s="73">
        <v>5670</v>
      </c>
      <c r="BP270" s="73">
        <v>5736</v>
      </c>
      <c r="BQ270" s="73">
        <v>13690</v>
      </c>
      <c r="BR270" s="73">
        <v>133031</v>
      </c>
      <c r="BS270" s="73">
        <v>46884</v>
      </c>
      <c r="BT270" s="73">
        <v>0</v>
      </c>
      <c r="BU270" s="73">
        <v>0</v>
      </c>
      <c r="BV270" s="73">
        <v>6184</v>
      </c>
      <c r="BW270" s="73">
        <v>0</v>
      </c>
      <c r="BX270" s="73">
        <v>0</v>
      </c>
      <c r="BY270" s="73">
        <v>710</v>
      </c>
      <c r="BZ270" s="73">
        <v>53778</v>
      </c>
      <c r="CA270" s="73">
        <v>1087</v>
      </c>
      <c r="CB270" s="73">
        <v>0</v>
      </c>
      <c r="CC270" s="73">
        <v>78166</v>
      </c>
      <c r="CD270" s="73">
        <v>45625</v>
      </c>
      <c r="CE270" s="73">
        <v>32541</v>
      </c>
      <c r="CF270" s="73">
        <v>0</v>
      </c>
      <c r="CG270" s="73">
        <v>0</v>
      </c>
      <c r="CH270" s="73">
        <v>0</v>
      </c>
      <c r="CI270" s="73">
        <v>78166</v>
      </c>
      <c r="CJ270" s="73">
        <v>670</v>
      </c>
      <c r="CK270" s="73">
        <v>492</v>
      </c>
      <c r="CL270" s="73">
        <v>0</v>
      </c>
      <c r="CM270" s="73">
        <v>178</v>
      </c>
      <c r="CN270" s="73">
        <v>207</v>
      </c>
      <c r="CO270" s="73">
        <v>0</v>
      </c>
      <c r="CP270" s="73">
        <v>175</v>
      </c>
      <c r="CQ270" s="73">
        <v>32</v>
      </c>
      <c r="CR270" s="73">
        <v>0</v>
      </c>
      <c r="CS270" s="73">
        <v>0</v>
      </c>
      <c r="CT270" s="73">
        <v>0</v>
      </c>
      <c r="CU270" s="73">
        <v>0</v>
      </c>
      <c r="CV270" s="73">
        <v>0</v>
      </c>
      <c r="CW270" s="73">
        <v>0</v>
      </c>
      <c r="CX270" s="73">
        <v>0</v>
      </c>
      <c r="CY270" s="73">
        <v>0</v>
      </c>
      <c r="CZ270" s="73">
        <v>180</v>
      </c>
      <c r="DA270" s="73">
        <v>176</v>
      </c>
      <c r="DB270" s="73">
        <v>0</v>
      </c>
      <c r="DC270" s="73">
        <v>4</v>
      </c>
      <c r="DD270" s="73">
        <v>1057</v>
      </c>
      <c r="DE270" s="73">
        <v>668</v>
      </c>
      <c r="DF270" s="73">
        <v>175</v>
      </c>
      <c r="DG270" s="73">
        <v>214</v>
      </c>
      <c r="DH270" s="73">
        <v>0</v>
      </c>
      <c r="DI270" s="73">
        <v>0</v>
      </c>
      <c r="DJ270" s="73">
        <v>0</v>
      </c>
      <c r="DK270" s="73">
        <v>0</v>
      </c>
      <c r="DL270" s="73">
        <v>0</v>
      </c>
      <c r="DM270" s="73">
        <v>0</v>
      </c>
      <c r="DN270" s="73">
        <v>0</v>
      </c>
      <c r="DO270" s="73">
        <v>0</v>
      </c>
      <c r="DP270" s="73">
        <v>0</v>
      </c>
      <c r="DQ270" s="73">
        <v>0</v>
      </c>
      <c r="DR270" s="73">
        <v>0</v>
      </c>
      <c r="DS270" s="73">
        <v>0</v>
      </c>
      <c r="DT270" s="73">
        <v>0</v>
      </c>
      <c r="DU270" s="73">
        <v>0</v>
      </c>
      <c r="DV270" s="73">
        <v>0</v>
      </c>
      <c r="DW270" s="73">
        <v>0</v>
      </c>
      <c r="DX270" s="73">
        <v>0</v>
      </c>
      <c r="DY270" s="73">
        <v>0</v>
      </c>
      <c r="DZ270" s="73">
        <v>0</v>
      </c>
      <c r="EA270" s="73">
        <v>0</v>
      </c>
      <c r="EB270" s="73">
        <v>419</v>
      </c>
      <c r="EC270" s="73">
        <v>0</v>
      </c>
      <c r="ED270" s="73">
        <v>170</v>
      </c>
      <c r="EE270" s="73">
        <v>249</v>
      </c>
      <c r="EF270" s="73">
        <v>419</v>
      </c>
      <c r="EG270" s="73">
        <v>0</v>
      </c>
      <c r="EH270" s="73">
        <v>170</v>
      </c>
      <c r="EI270" s="73">
        <v>249</v>
      </c>
      <c r="EJ270" s="73">
        <v>1476</v>
      </c>
      <c r="EK270" s="73">
        <v>668</v>
      </c>
      <c r="EL270" s="73">
        <v>345</v>
      </c>
      <c r="EM270" s="73">
        <v>463</v>
      </c>
      <c r="EN270" s="73">
        <v>928</v>
      </c>
      <c r="EO270" s="73">
        <v>117</v>
      </c>
      <c r="EP270" s="73">
        <v>46</v>
      </c>
      <c r="EQ270" s="73">
        <v>117</v>
      </c>
      <c r="ER270" s="73">
        <v>116781</v>
      </c>
      <c r="ES270" s="73">
        <v>0</v>
      </c>
      <c r="ET270" s="73">
        <v>116781</v>
      </c>
      <c r="EU270" s="73">
        <v>5350</v>
      </c>
      <c r="EV270" s="73">
        <v>-397</v>
      </c>
      <c r="EW270" s="73">
        <v>0</v>
      </c>
      <c r="EX270" s="73">
        <v>0</v>
      </c>
      <c r="EY270" s="73">
        <v>0</v>
      </c>
      <c r="EZ270" s="73">
        <v>121734</v>
      </c>
      <c r="FA270" s="73">
        <v>3437</v>
      </c>
      <c r="FB270" s="73">
        <v>1024</v>
      </c>
      <c r="FC270" s="73">
        <v>0</v>
      </c>
      <c r="FD270" s="73">
        <v>0</v>
      </c>
      <c r="FE270" s="73">
        <v>-28</v>
      </c>
      <c r="FF270" s="73">
        <v>0</v>
      </c>
      <c r="FG270" s="73">
        <v>0</v>
      </c>
      <c r="FH270" s="73">
        <v>4433</v>
      </c>
      <c r="FI270" s="73">
        <v>117301</v>
      </c>
      <c r="FJ270" s="73">
        <v>113344</v>
      </c>
      <c r="FK270" s="73">
        <v>0</v>
      </c>
      <c r="FL270" s="73">
        <v>0</v>
      </c>
      <c r="FM270" s="73">
        <v>0</v>
      </c>
      <c r="FN270" s="73">
        <v>1049</v>
      </c>
      <c r="FO270" s="73">
        <v>1168</v>
      </c>
      <c r="FP270" s="73">
        <v>-119</v>
      </c>
      <c r="FQ270" s="73">
        <v>0</v>
      </c>
      <c r="FR270" s="73">
        <v>0</v>
      </c>
      <c r="FS270" s="73">
        <v>0</v>
      </c>
      <c r="FT270" s="73">
        <v>0</v>
      </c>
      <c r="FU270" s="73">
        <v>0</v>
      </c>
      <c r="FV270" s="73">
        <v>0</v>
      </c>
      <c r="FW270" s="73">
        <v>0</v>
      </c>
      <c r="FX270" s="73">
        <v>0</v>
      </c>
      <c r="FY270" s="73">
        <v>0</v>
      </c>
      <c r="FZ270" s="73">
        <v>0</v>
      </c>
      <c r="GA270" s="73">
        <v>0</v>
      </c>
      <c r="GB270" s="73">
        <v>0</v>
      </c>
      <c r="GC270" s="73">
        <v>1049</v>
      </c>
      <c r="GD270" s="73">
        <v>1168</v>
      </c>
      <c r="GE270" s="73">
        <v>-119</v>
      </c>
      <c r="GF270" s="73">
        <v>0</v>
      </c>
      <c r="GG270" s="73">
        <v>0</v>
      </c>
      <c r="GH270" s="73">
        <v>0</v>
      </c>
      <c r="GI270" s="73">
        <v>0</v>
      </c>
      <c r="GJ270" s="73">
        <v>0</v>
      </c>
      <c r="GK270" s="73">
        <v>0</v>
      </c>
      <c r="GL270" s="73">
        <v>0</v>
      </c>
      <c r="GM270" s="73">
        <v>798</v>
      </c>
      <c r="GN270" s="73">
        <v>478</v>
      </c>
      <c r="GO270" s="73">
        <v>0</v>
      </c>
      <c r="GP270" s="73">
        <v>0</v>
      </c>
      <c r="GQ270" s="73">
        <v>0</v>
      </c>
      <c r="GR270" s="73">
        <v>3139</v>
      </c>
      <c r="GS270" s="73">
        <v>40</v>
      </c>
      <c r="GT270" s="73">
        <v>0</v>
      </c>
      <c r="GU270" s="73">
        <v>99</v>
      </c>
      <c r="GV270" s="73">
        <v>0</v>
      </c>
      <c r="GW270" s="73">
        <v>1116</v>
      </c>
      <c r="GX270" s="73">
        <v>5670</v>
      </c>
      <c r="GY270" s="73">
        <v>0</v>
      </c>
      <c r="GZ270" s="73">
        <v>0</v>
      </c>
      <c r="HA270" s="73">
        <v>0</v>
      </c>
      <c r="HB270" s="73">
        <v>710</v>
      </c>
      <c r="HC270" s="73">
        <v>710</v>
      </c>
      <c r="HD270" s="73">
        <v>0</v>
      </c>
      <c r="HE270" s="73">
        <v>0</v>
      </c>
      <c r="HF270" s="73">
        <v>0</v>
      </c>
      <c r="HG270" s="73">
        <v>2496</v>
      </c>
      <c r="HH270" s="73">
        <v>73</v>
      </c>
      <c r="HI270" s="73">
        <v>33</v>
      </c>
      <c r="HJ270" s="73">
        <v>0</v>
      </c>
      <c r="HK270" s="73">
        <v>60</v>
      </c>
      <c r="HL270" s="73">
        <v>-16</v>
      </c>
      <c r="HM270" s="73">
        <v>2646</v>
      </c>
      <c r="HN270" s="73">
        <v>1678</v>
      </c>
      <c r="HO270" s="73">
        <v>1120</v>
      </c>
      <c r="HP270" s="73">
        <v>0</v>
      </c>
      <c r="HQ270" s="73">
        <v>45</v>
      </c>
      <c r="HR270" s="73">
        <v>-12</v>
      </c>
      <c r="HS270" s="73">
        <v>-3</v>
      </c>
      <c r="HT270" s="73">
        <v>3601</v>
      </c>
      <c r="HU270" s="73">
        <v>0</v>
      </c>
      <c r="HV270" s="73">
        <v>0</v>
      </c>
      <c r="HW270" s="73">
        <v>0</v>
      </c>
      <c r="HX270" s="73">
        <v>0</v>
      </c>
    </row>
    <row r="271" spans="1:232" x14ac:dyDescent="0.2">
      <c r="A271" s="71" t="s">
        <v>734</v>
      </c>
      <c r="B271" s="71" t="s">
        <v>735</v>
      </c>
      <c r="C271" s="72" t="s">
        <v>200</v>
      </c>
      <c r="D271" s="72">
        <v>12</v>
      </c>
      <c r="E271" s="73">
        <v>74546</v>
      </c>
      <c r="F271" s="73">
        <v>-112</v>
      </c>
      <c r="G271" s="73">
        <v>-41043</v>
      </c>
      <c r="H271" s="73">
        <v>33391</v>
      </c>
      <c r="I271" s="73">
        <v>6384</v>
      </c>
      <c r="J271" s="73">
        <v>13261</v>
      </c>
      <c r="K271" s="73">
        <v>0</v>
      </c>
      <c r="L271" s="73">
        <v>0</v>
      </c>
      <c r="M271" s="73">
        <v>878</v>
      </c>
      <c r="N271" s="73">
        <v>-23376</v>
      </c>
      <c r="O271" s="73">
        <v>-877</v>
      </c>
      <c r="P271" s="73">
        <v>71626</v>
      </c>
      <c r="Q271" s="73">
        <v>0</v>
      </c>
      <c r="R271" s="73">
        <v>0</v>
      </c>
      <c r="S271" s="73">
        <v>101287</v>
      </c>
      <c r="T271" s="73">
        <v>0</v>
      </c>
      <c r="U271" s="73">
        <v>101287</v>
      </c>
      <c r="V271" s="73">
        <v>0</v>
      </c>
      <c r="W271" s="73">
        <v>0</v>
      </c>
      <c r="X271" s="73">
        <v>0</v>
      </c>
      <c r="Y271" s="73">
        <v>0</v>
      </c>
      <c r="Z271" s="73">
        <v>101287</v>
      </c>
      <c r="AA271" s="73">
        <v>58552</v>
      </c>
      <c r="AB271" s="73">
        <v>7173</v>
      </c>
      <c r="AC271" s="73">
        <v>65725</v>
      </c>
      <c r="AD271" s="73">
        <v>41</v>
      </c>
      <c r="AE271" s="73">
        <v>58</v>
      </c>
      <c r="AF271" s="73">
        <v>0</v>
      </c>
      <c r="AG271" s="73">
        <v>0</v>
      </c>
      <c r="AH271" s="73">
        <v>65824</v>
      </c>
      <c r="AI271" s="73">
        <v>4250</v>
      </c>
      <c r="AJ271" s="73">
        <v>10533</v>
      </c>
      <c r="AK271" s="73">
        <v>8029</v>
      </c>
      <c r="AL271" s="73">
        <v>1254</v>
      </c>
      <c r="AM271" s="73">
        <v>2010</v>
      </c>
      <c r="AN271" s="73">
        <v>76</v>
      </c>
      <c r="AO271" s="73">
        <v>8767</v>
      </c>
      <c r="AP271" s="73">
        <v>0</v>
      </c>
      <c r="AQ271" s="73">
        <v>307</v>
      </c>
      <c r="AR271" s="73">
        <v>35226</v>
      </c>
      <c r="AS271" s="73">
        <v>30598</v>
      </c>
      <c r="AT271" s="73">
        <v>261</v>
      </c>
      <c r="AU271" s="73">
        <v>925791</v>
      </c>
      <c r="AV271" s="73">
        <v>0</v>
      </c>
      <c r="AW271" s="73">
        <v>0</v>
      </c>
      <c r="AX271" s="73">
        <v>0</v>
      </c>
      <c r="AY271" s="73">
        <v>51057</v>
      </c>
      <c r="AZ271" s="73">
        <v>13397</v>
      </c>
      <c r="BA271" s="73">
        <v>0</v>
      </c>
      <c r="BB271" s="73">
        <v>0</v>
      </c>
      <c r="BC271" s="73">
        <v>0</v>
      </c>
      <c r="BD271" s="73">
        <v>8576</v>
      </c>
      <c r="BE271" s="73">
        <v>998821</v>
      </c>
      <c r="BF271" s="73">
        <v>0</v>
      </c>
      <c r="BG271" s="73">
        <v>143999</v>
      </c>
      <c r="BH271" s="73">
        <v>66111</v>
      </c>
      <c r="BI271" s="73">
        <v>764</v>
      </c>
      <c r="BJ271" s="73">
        <v>2291</v>
      </c>
      <c r="BK271" s="73">
        <v>213165</v>
      </c>
      <c r="BL271" s="73">
        <v>5988</v>
      </c>
      <c r="BM271" s="73">
        <v>0</v>
      </c>
      <c r="BN271" s="73">
        <v>0</v>
      </c>
      <c r="BO271" s="73">
        <v>31389</v>
      </c>
      <c r="BP271" s="73">
        <v>37377</v>
      </c>
      <c r="BQ271" s="73">
        <v>175788</v>
      </c>
      <c r="BR271" s="73">
        <v>1174609</v>
      </c>
      <c r="BS271" s="73">
        <v>580672</v>
      </c>
      <c r="BT271" s="73">
        <v>0</v>
      </c>
      <c r="BU271" s="73">
        <v>0</v>
      </c>
      <c r="BV271" s="73">
        <v>13541</v>
      </c>
      <c r="BW271" s="73">
        <v>42559</v>
      </c>
      <c r="BX271" s="73">
        <v>0</v>
      </c>
      <c r="BY271" s="73">
        <v>18800</v>
      </c>
      <c r="BZ271" s="73">
        <v>655572</v>
      </c>
      <c r="CA271" s="73">
        <v>0</v>
      </c>
      <c r="CB271" s="73">
        <v>0</v>
      </c>
      <c r="CC271" s="73">
        <v>519037</v>
      </c>
      <c r="CD271" s="73">
        <v>336347</v>
      </c>
      <c r="CE271" s="73">
        <v>182690</v>
      </c>
      <c r="CF271" s="73">
        <v>0</v>
      </c>
      <c r="CG271" s="73">
        <v>0</v>
      </c>
      <c r="CH271" s="73">
        <v>0</v>
      </c>
      <c r="CI271" s="73">
        <v>519037</v>
      </c>
      <c r="CJ271" s="73">
        <v>153</v>
      </c>
      <c r="CK271" s="73">
        <v>112</v>
      </c>
      <c r="CL271" s="73">
        <v>0</v>
      </c>
      <c r="CM271" s="73">
        <v>41</v>
      </c>
      <c r="CN271" s="73">
        <v>0</v>
      </c>
      <c r="CO271" s="73">
        <v>0</v>
      </c>
      <c r="CP271" s="73">
        <v>0</v>
      </c>
      <c r="CQ271" s="73">
        <v>0</v>
      </c>
      <c r="CR271" s="73">
        <v>0</v>
      </c>
      <c r="CS271" s="73">
        <v>0</v>
      </c>
      <c r="CT271" s="73">
        <v>0</v>
      </c>
      <c r="CU271" s="73">
        <v>0</v>
      </c>
      <c r="CV271" s="73">
        <v>0</v>
      </c>
      <c r="CW271" s="73">
        <v>0</v>
      </c>
      <c r="CX271" s="73">
        <v>0</v>
      </c>
      <c r="CY271" s="73">
        <v>0</v>
      </c>
      <c r="CZ271" s="73">
        <v>6093</v>
      </c>
      <c r="DA271" s="73">
        <v>0</v>
      </c>
      <c r="DB271" s="73">
        <v>5159</v>
      </c>
      <c r="DC271" s="73">
        <v>934</v>
      </c>
      <c r="DD271" s="73">
        <v>6246</v>
      </c>
      <c r="DE271" s="73">
        <v>112</v>
      </c>
      <c r="DF271" s="73">
        <v>5159</v>
      </c>
      <c r="DG271" s="73">
        <v>975</v>
      </c>
      <c r="DH271" s="73">
        <v>0</v>
      </c>
      <c r="DI271" s="73">
        <v>0</v>
      </c>
      <c r="DJ271" s="73">
        <v>0</v>
      </c>
      <c r="DK271" s="73">
        <v>0</v>
      </c>
      <c r="DL271" s="73">
        <v>2269</v>
      </c>
      <c r="DM271" s="73">
        <v>0</v>
      </c>
      <c r="DN271" s="73">
        <v>572</v>
      </c>
      <c r="DO271" s="73">
        <v>1697</v>
      </c>
      <c r="DP271" s="73">
        <v>0</v>
      </c>
      <c r="DQ271" s="73">
        <v>0</v>
      </c>
      <c r="DR271" s="73">
        <v>0</v>
      </c>
      <c r="DS271" s="73">
        <v>0</v>
      </c>
      <c r="DT271" s="73">
        <v>207</v>
      </c>
      <c r="DU271" s="73">
        <v>0</v>
      </c>
      <c r="DV271" s="73">
        <v>86</v>
      </c>
      <c r="DW271" s="73">
        <v>121</v>
      </c>
      <c r="DX271" s="73">
        <v>0</v>
      </c>
      <c r="DY271" s="73">
        <v>0</v>
      </c>
      <c r="DZ271" s="73">
        <v>0</v>
      </c>
      <c r="EA271" s="73">
        <v>0</v>
      </c>
      <c r="EB271" s="73">
        <v>0</v>
      </c>
      <c r="EC271" s="73">
        <v>0</v>
      </c>
      <c r="ED271" s="73">
        <v>0</v>
      </c>
      <c r="EE271" s="73">
        <v>0</v>
      </c>
      <c r="EF271" s="73">
        <v>2476</v>
      </c>
      <c r="EG271" s="73">
        <v>0</v>
      </c>
      <c r="EH271" s="73">
        <v>658</v>
      </c>
      <c r="EI271" s="73">
        <v>1818</v>
      </c>
      <c r="EJ271" s="73">
        <v>8722</v>
      </c>
      <c r="EK271" s="73">
        <v>112</v>
      </c>
      <c r="EL271" s="73">
        <v>5817</v>
      </c>
      <c r="EM271" s="73">
        <v>2793</v>
      </c>
      <c r="EN271" s="73">
        <v>3164</v>
      </c>
      <c r="EO271" s="73">
        <v>1431</v>
      </c>
      <c r="EP271" s="73">
        <v>243</v>
      </c>
      <c r="EQ271" s="73">
        <v>910</v>
      </c>
      <c r="ER271" s="73">
        <v>934861</v>
      </c>
      <c r="ES271" s="73">
        <v>0</v>
      </c>
      <c r="ET271" s="73">
        <v>934861</v>
      </c>
      <c r="EU271" s="73">
        <v>19874</v>
      </c>
      <c r="EV271" s="73">
        <v>-11319</v>
      </c>
      <c r="EW271" s="73">
        <v>0</v>
      </c>
      <c r="EX271" s="73">
        <v>7418</v>
      </c>
      <c r="EY271" s="73">
        <v>-103</v>
      </c>
      <c r="EZ271" s="73">
        <v>950731</v>
      </c>
      <c r="FA271" s="73">
        <v>16337</v>
      </c>
      <c r="FB271" s="73">
        <v>8842</v>
      </c>
      <c r="FC271" s="73">
        <v>0</v>
      </c>
      <c r="FD271" s="73">
        <v>0</v>
      </c>
      <c r="FE271" s="73">
        <v>-239</v>
      </c>
      <c r="FF271" s="73">
        <v>0</v>
      </c>
      <c r="FG271" s="73">
        <v>0</v>
      </c>
      <c r="FH271" s="73">
        <v>24940</v>
      </c>
      <c r="FI271" s="73">
        <v>925791</v>
      </c>
      <c r="FJ271" s="73">
        <v>918524</v>
      </c>
      <c r="FK271" s="73">
        <v>19927</v>
      </c>
      <c r="FL271" s="73">
        <v>13674</v>
      </c>
      <c r="FM271" s="73">
        <v>6253</v>
      </c>
      <c r="FN271" s="73">
        <v>571</v>
      </c>
      <c r="FO271" s="73">
        <v>369</v>
      </c>
      <c r="FP271" s="73">
        <v>202</v>
      </c>
      <c r="FQ271" s="73">
        <v>350</v>
      </c>
      <c r="FR271" s="73">
        <v>421</v>
      </c>
      <c r="FS271" s="73">
        <v>-71</v>
      </c>
      <c r="FT271" s="73">
        <v>0</v>
      </c>
      <c r="FU271" s="73">
        <v>0</v>
      </c>
      <c r="FV271" s="73">
        <v>0</v>
      </c>
      <c r="FW271" s="73">
        <v>0</v>
      </c>
      <c r="FX271" s="73">
        <v>0</v>
      </c>
      <c r="FY271" s="73">
        <v>0</v>
      </c>
      <c r="FZ271" s="73">
        <v>0</v>
      </c>
      <c r="GA271" s="73">
        <v>0</v>
      </c>
      <c r="GB271" s="73">
        <v>0</v>
      </c>
      <c r="GC271" s="73">
        <v>20848</v>
      </c>
      <c r="GD271" s="73">
        <v>14464</v>
      </c>
      <c r="GE271" s="73">
        <v>6384</v>
      </c>
      <c r="GF271" s="73">
        <v>0</v>
      </c>
      <c r="GG271" s="73">
        <v>0</v>
      </c>
      <c r="GH271" s="73">
        <v>0</v>
      </c>
      <c r="GI271" s="73">
        <v>0</v>
      </c>
      <c r="GJ271" s="73">
        <v>0</v>
      </c>
      <c r="GK271" s="73">
        <v>2291</v>
      </c>
      <c r="GL271" s="73">
        <v>2291</v>
      </c>
      <c r="GM271" s="73">
        <v>1731</v>
      </c>
      <c r="GN271" s="73">
        <v>2606</v>
      </c>
      <c r="GO271" s="73">
        <v>0</v>
      </c>
      <c r="GP271" s="73">
        <v>13035</v>
      </c>
      <c r="GQ271" s="73">
        <v>554</v>
      </c>
      <c r="GR271" s="73">
        <v>4679</v>
      </c>
      <c r="GS271" s="73">
        <v>0</v>
      </c>
      <c r="GT271" s="73">
        <v>0</v>
      </c>
      <c r="GU271" s="73">
        <v>0</v>
      </c>
      <c r="GV271" s="73">
        <v>0</v>
      </c>
      <c r="GW271" s="73">
        <v>8784</v>
      </c>
      <c r="GX271" s="73">
        <v>31389</v>
      </c>
      <c r="GY271" s="73">
        <v>18228</v>
      </c>
      <c r="GZ271" s="73">
        <v>572</v>
      </c>
      <c r="HA271" s="73">
        <v>0</v>
      </c>
      <c r="HB271" s="73">
        <v>0</v>
      </c>
      <c r="HC271" s="73">
        <v>18800</v>
      </c>
      <c r="HD271" s="73">
        <v>0</v>
      </c>
      <c r="HE271" s="73">
        <v>0</v>
      </c>
      <c r="HF271" s="73">
        <v>0</v>
      </c>
      <c r="HG271" s="73">
        <v>23752</v>
      </c>
      <c r="HH271" s="73">
        <v>41</v>
      </c>
      <c r="HI271" s="73">
        <v>0</v>
      </c>
      <c r="HJ271" s="73">
        <v>94</v>
      </c>
      <c r="HK271" s="73">
        <v>0</v>
      </c>
      <c r="HL271" s="73">
        <v>-511</v>
      </c>
      <c r="HM271" s="73">
        <v>23376</v>
      </c>
      <c r="HN271" s="73">
        <v>2293</v>
      </c>
      <c r="HO271" s="73">
        <v>8853</v>
      </c>
      <c r="HP271" s="73">
        <v>0</v>
      </c>
      <c r="HQ271" s="73">
        <v>153</v>
      </c>
      <c r="HR271" s="73">
        <v>-210</v>
      </c>
      <c r="HS271" s="73">
        <v>0</v>
      </c>
      <c r="HT271" s="73">
        <v>11944</v>
      </c>
      <c r="HU271" s="73">
        <v>0</v>
      </c>
      <c r="HV271" s="73">
        <v>-8</v>
      </c>
      <c r="HW271" s="73">
        <v>61</v>
      </c>
      <c r="HX271" s="73">
        <v>1642</v>
      </c>
    </row>
    <row r="272" spans="1:232" x14ac:dyDescent="0.2">
      <c r="A272" s="74" t="s">
        <v>738</v>
      </c>
      <c r="B272" s="74" t="s">
        <v>737</v>
      </c>
      <c r="C272" s="75" t="s">
        <v>200</v>
      </c>
      <c r="D272" s="75">
        <v>12</v>
      </c>
      <c r="E272" s="76">
        <v>58776</v>
      </c>
      <c r="F272" s="76">
        <v>-19131</v>
      </c>
      <c r="G272" s="76">
        <v>-25580</v>
      </c>
      <c r="H272" s="76">
        <v>14065</v>
      </c>
      <c r="I272" s="76">
        <v>946</v>
      </c>
      <c r="J272" s="76">
        <v>-13261</v>
      </c>
      <c r="K272" s="76">
        <v>0</v>
      </c>
      <c r="L272" s="76">
        <v>0</v>
      </c>
      <c r="M272" s="76">
        <v>2317</v>
      </c>
      <c r="N272" s="76">
        <v>-3514</v>
      </c>
      <c r="O272" s="76">
        <v>4</v>
      </c>
      <c r="P272" s="76">
        <v>-9</v>
      </c>
      <c r="Q272" s="76">
        <v>0</v>
      </c>
      <c r="R272" s="76">
        <v>0</v>
      </c>
      <c r="S272" s="76">
        <v>548</v>
      </c>
      <c r="T272" s="76">
        <v>-510</v>
      </c>
      <c r="U272" s="76">
        <v>38</v>
      </c>
      <c r="V272" s="76">
        <v>0</v>
      </c>
      <c r="W272" s="76">
        <v>0</v>
      </c>
      <c r="X272" s="76">
        <v>0</v>
      </c>
      <c r="Y272" s="76">
        <v>0</v>
      </c>
      <c r="Z272" s="76">
        <v>38</v>
      </c>
      <c r="AA272" s="76">
        <v>9288</v>
      </c>
      <c r="AB272" s="76">
        <v>588</v>
      </c>
      <c r="AC272" s="76">
        <v>9876</v>
      </c>
      <c r="AD272" s="76">
        <v>46</v>
      </c>
      <c r="AE272" s="76">
        <v>134</v>
      </c>
      <c r="AF272" s="76">
        <v>0</v>
      </c>
      <c r="AG272" s="76">
        <v>0</v>
      </c>
      <c r="AH272" s="76">
        <v>10056</v>
      </c>
      <c r="AI272" s="76">
        <v>484</v>
      </c>
      <c r="AJ272" s="76">
        <v>1997</v>
      </c>
      <c r="AK272" s="76">
        <v>481</v>
      </c>
      <c r="AL272" s="76">
        <v>0</v>
      </c>
      <c r="AM272" s="76">
        <v>229</v>
      </c>
      <c r="AN272" s="76">
        <v>-13</v>
      </c>
      <c r="AO272" s="76">
        <v>2510</v>
      </c>
      <c r="AP272" s="76">
        <v>0</v>
      </c>
      <c r="AQ272" s="76">
        <v>-26</v>
      </c>
      <c r="AR272" s="76">
        <v>5662</v>
      </c>
      <c r="AS272" s="76">
        <v>4394</v>
      </c>
      <c r="AT272" s="76">
        <v>21</v>
      </c>
      <c r="AU272" s="76">
        <v>115022</v>
      </c>
      <c r="AV272" s="76">
        <v>0</v>
      </c>
      <c r="AW272" s="76">
        <v>8137</v>
      </c>
      <c r="AX272" s="76">
        <v>0</v>
      </c>
      <c r="AY272" s="76">
        <v>0</v>
      </c>
      <c r="AZ272" s="76">
        <v>3569</v>
      </c>
      <c r="BA272" s="76">
        <v>0</v>
      </c>
      <c r="BB272" s="76">
        <v>0</v>
      </c>
      <c r="BC272" s="76">
        <v>0</v>
      </c>
      <c r="BD272" s="76">
        <v>8149</v>
      </c>
      <c r="BE272" s="76">
        <v>134877</v>
      </c>
      <c r="BF272" s="76">
        <v>123175</v>
      </c>
      <c r="BG272" s="76">
        <v>52108</v>
      </c>
      <c r="BH272" s="76">
        <v>31310</v>
      </c>
      <c r="BI272" s="76">
        <v>0</v>
      </c>
      <c r="BJ272" s="76">
        <v>2123</v>
      </c>
      <c r="BK272" s="76">
        <v>208716</v>
      </c>
      <c r="BL272" s="76">
        <v>0</v>
      </c>
      <c r="BM272" s="76">
        <v>0</v>
      </c>
      <c r="BN272" s="76">
        <v>0</v>
      </c>
      <c r="BO272" s="76">
        <v>165129</v>
      </c>
      <c r="BP272" s="76">
        <v>165129</v>
      </c>
      <c r="BQ272" s="76">
        <v>43587</v>
      </c>
      <c r="BR272" s="76">
        <v>178464</v>
      </c>
      <c r="BS272" s="76">
        <v>39116</v>
      </c>
      <c r="BT272" s="76">
        <v>0</v>
      </c>
      <c r="BU272" s="76">
        <v>25449</v>
      </c>
      <c r="BV272" s="76">
        <v>11534</v>
      </c>
      <c r="BW272" s="76">
        <v>0</v>
      </c>
      <c r="BX272" s="76">
        <v>0</v>
      </c>
      <c r="BY272" s="76">
        <v>1112</v>
      </c>
      <c r="BZ272" s="76">
        <v>77211</v>
      </c>
      <c r="CA272" s="76">
        <v>6720</v>
      </c>
      <c r="CB272" s="76">
        <v>0</v>
      </c>
      <c r="CC272" s="76">
        <v>94533</v>
      </c>
      <c r="CD272" s="76">
        <v>92779</v>
      </c>
      <c r="CE272" s="76">
        <v>1754</v>
      </c>
      <c r="CF272" s="76">
        <v>0</v>
      </c>
      <c r="CG272" s="76">
        <v>0</v>
      </c>
      <c r="CH272" s="76">
        <v>0</v>
      </c>
      <c r="CI272" s="76">
        <v>94533</v>
      </c>
      <c r="CJ272" s="76">
        <v>20756</v>
      </c>
      <c r="CK272" s="76">
        <v>13575</v>
      </c>
      <c r="CL272" s="76">
        <v>0</v>
      </c>
      <c r="CM272" s="76">
        <v>7181</v>
      </c>
      <c r="CN272" s="76">
        <v>0</v>
      </c>
      <c r="CO272" s="76">
        <v>0</v>
      </c>
      <c r="CP272" s="76">
        <v>0</v>
      </c>
      <c r="CQ272" s="76">
        <v>0</v>
      </c>
      <c r="CR272" s="76">
        <v>0</v>
      </c>
      <c r="CS272" s="76">
        <v>0</v>
      </c>
      <c r="CT272" s="76">
        <v>0</v>
      </c>
      <c r="CU272" s="76">
        <v>0</v>
      </c>
      <c r="CV272" s="76">
        <v>0</v>
      </c>
      <c r="CW272" s="76">
        <v>0</v>
      </c>
      <c r="CX272" s="76">
        <v>0</v>
      </c>
      <c r="CY272" s="76">
        <v>0</v>
      </c>
      <c r="CZ272" s="76">
        <v>27347</v>
      </c>
      <c r="DA272" s="76">
        <v>5556</v>
      </c>
      <c r="DB272" s="76">
        <v>18419</v>
      </c>
      <c r="DC272" s="76">
        <v>3372</v>
      </c>
      <c r="DD272" s="76">
        <v>48103</v>
      </c>
      <c r="DE272" s="76">
        <v>19131</v>
      </c>
      <c r="DF272" s="76">
        <v>18419</v>
      </c>
      <c r="DG272" s="76">
        <v>10553</v>
      </c>
      <c r="DH272" s="76">
        <v>0</v>
      </c>
      <c r="DI272" s="76">
        <v>0</v>
      </c>
      <c r="DJ272" s="76">
        <v>0</v>
      </c>
      <c r="DK272" s="76">
        <v>0</v>
      </c>
      <c r="DL272" s="76">
        <v>0</v>
      </c>
      <c r="DM272" s="76">
        <v>0</v>
      </c>
      <c r="DN272" s="76">
        <v>0</v>
      </c>
      <c r="DO272" s="76">
        <v>0</v>
      </c>
      <c r="DP272" s="76">
        <v>0</v>
      </c>
      <c r="DQ272" s="76">
        <v>0</v>
      </c>
      <c r="DR272" s="76">
        <v>0</v>
      </c>
      <c r="DS272" s="76">
        <v>0</v>
      </c>
      <c r="DT272" s="76">
        <v>0</v>
      </c>
      <c r="DU272" s="76">
        <v>0</v>
      </c>
      <c r="DV272" s="76">
        <v>0</v>
      </c>
      <c r="DW272" s="76">
        <v>0</v>
      </c>
      <c r="DX272" s="76">
        <v>0</v>
      </c>
      <c r="DY272" s="76">
        <v>0</v>
      </c>
      <c r="DZ272" s="76">
        <v>0</v>
      </c>
      <c r="EA272" s="76">
        <v>0</v>
      </c>
      <c r="EB272" s="76">
        <v>617</v>
      </c>
      <c r="EC272" s="76">
        <v>0</v>
      </c>
      <c r="ED272" s="76">
        <v>1499</v>
      </c>
      <c r="EE272" s="76">
        <v>-882</v>
      </c>
      <c r="EF272" s="76">
        <v>617</v>
      </c>
      <c r="EG272" s="76">
        <v>0</v>
      </c>
      <c r="EH272" s="76">
        <v>1499</v>
      </c>
      <c r="EI272" s="76">
        <v>-882</v>
      </c>
      <c r="EJ272" s="76">
        <v>48720</v>
      </c>
      <c r="EK272" s="76">
        <v>19131</v>
      </c>
      <c r="EL272" s="76">
        <v>19918</v>
      </c>
      <c r="EM272" s="76">
        <v>9671</v>
      </c>
      <c r="EN272" s="76">
        <v>395</v>
      </c>
      <c r="EO272" s="76">
        <v>45</v>
      </c>
      <c r="EP272" s="76">
        <v>23</v>
      </c>
      <c r="EQ272" s="76">
        <v>27</v>
      </c>
      <c r="ER272" s="76">
        <v>118420</v>
      </c>
      <c r="ES272" s="76">
        <v>0</v>
      </c>
      <c r="ET272" s="76">
        <v>118420</v>
      </c>
      <c r="EU272" s="76">
        <v>67327</v>
      </c>
      <c r="EV272" s="76">
        <v>-2131</v>
      </c>
      <c r="EW272" s="76">
        <v>0</v>
      </c>
      <c r="EX272" s="76">
        <v>-7287</v>
      </c>
      <c r="EY272" s="76">
        <v>-54803</v>
      </c>
      <c r="EZ272" s="76">
        <v>121526</v>
      </c>
      <c r="FA272" s="76">
        <v>3926</v>
      </c>
      <c r="FB272" s="76">
        <v>2508</v>
      </c>
      <c r="FC272" s="76">
        <v>0</v>
      </c>
      <c r="FD272" s="76">
        <v>0</v>
      </c>
      <c r="FE272" s="76">
        <v>-71</v>
      </c>
      <c r="FF272" s="76">
        <v>0</v>
      </c>
      <c r="FG272" s="76">
        <v>141</v>
      </c>
      <c r="FH272" s="76">
        <v>6504</v>
      </c>
      <c r="FI272" s="76">
        <v>115022</v>
      </c>
      <c r="FJ272" s="76">
        <v>114494</v>
      </c>
      <c r="FK272" s="76">
        <v>2933</v>
      </c>
      <c r="FL272" s="76">
        <v>1987</v>
      </c>
      <c r="FM272" s="76">
        <v>946</v>
      </c>
      <c r="FN272" s="76">
        <v>0</v>
      </c>
      <c r="FO272" s="76">
        <v>0</v>
      </c>
      <c r="FP272" s="76">
        <v>0</v>
      </c>
      <c r="FQ272" s="76">
        <v>0</v>
      </c>
      <c r="FR272" s="76">
        <v>0</v>
      </c>
      <c r="FS272" s="76">
        <v>0</v>
      </c>
      <c r="FT272" s="76">
        <v>0</v>
      </c>
      <c r="FU272" s="76">
        <v>0</v>
      </c>
      <c r="FV272" s="76">
        <v>0</v>
      </c>
      <c r="FW272" s="76">
        <v>0</v>
      </c>
      <c r="FX272" s="76">
        <v>0</v>
      </c>
      <c r="FY272" s="76">
        <v>0</v>
      </c>
      <c r="FZ272" s="76">
        <v>0</v>
      </c>
      <c r="GA272" s="76">
        <v>0</v>
      </c>
      <c r="GB272" s="76">
        <v>0</v>
      </c>
      <c r="GC272" s="76">
        <v>2933</v>
      </c>
      <c r="GD272" s="76">
        <v>1987</v>
      </c>
      <c r="GE272" s="76">
        <v>946</v>
      </c>
      <c r="GF272" s="76">
        <v>0</v>
      </c>
      <c r="GG272" s="76">
        <v>0</v>
      </c>
      <c r="GH272" s="76">
        <v>0</v>
      </c>
      <c r="GI272" s="76">
        <v>0</v>
      </c>
      <c r="GJ272" s="76">
        <v>0</v>
      </c>
      <c r="GK272" s="76">
        <v>2123</v>
      </c>
      <c r="GL272" s="76">
        <v>2123</v>
      </c>
      <c r="GM272" s="76">
        <v>2136</v>
      </c>
      <c r="GN272" s="76">
        <v>115</v>
      </c>
      <c r="GO272" s="76">
        <v>139968</v>
      </c>
      <c r="GP272" s="76">
        <v>10610</v>
      </c>
      <c r="GQ272" s="76">
        <v>0</v>
      </c>
      <c r="GR272" s="76">
        <v>5037</v>
      </c>
      <c r="GS272" s="76">
        <v>372</v>
      </c>
      <c r="GT272" s="76">
        <v>0</v>
      </c>
      <c r="GU272" s="76">
        <v>0</v>
      </c>
      <c r="GV272" s="76">
        <v>0</v>
      </c>
      <c r="GW272" s="76">
        <v>6891</v>
      </c>
      <c r="GX272" s="76">
        <v>165129</v>
      </c>
      <c r="GY272" s="76">
        <v>1112</v>
      </c>
      <c r="GZ272" s="76">
        <v>0</v>
      </c>
      <c r="HA272" s="76">
        <v>0</v>
      </c>
      <c r="HB272" s="76">
        <v>0</v>
      </c>
      <c r="HC272" s="76">
        <v>1112</v>
      </c>
      <c r="HD272" s="76">
        <v>0</v>
      </c>
      <c r="HE272" s="76">
        <v>0</v>
      </c>
      <c r="HF272" s="76">
        <v>0</v>
      </c>
      <c r="HG272" s="76">
        <v>3286</v>
      </c>
      <c r="HH272" s="76">
        <v>41</v>
      </c>
      <c r="HI272" s="76">
        <v>141</v>
      </c>
      <c r="HJ272" s="76">
        <v>46</v>
      </c>
      <c r="HK272" s="76">
        <v>0</v>
      </c>
      <c r="HL272" s="76">
        <v>0</v>
      </c>
      <c r="HM272" s="76">
        <v>3514</v>
      </c>
      <c r="HN272" s="76">
        <v>0</v>
      </c>
      <c r="HO272" s="76">
        <v>4431</v>
      </c>
      <c r="HP272" s="76">
        <v>0</v>
      </c>
      <c r="HQ272" s="76">
        <v>258</v>
      </c>
      <c r="HR272" s="76">
        <v>0</v>
      </c>
      <c r="HS272" s="76">
        <v>-80</v>
      </c>
      <c r="HT272" s="76">
        <v>1576</v>
      </c>
      <c r="HU272" s="76">
        <v>73</v>
      </c>
      <c r="HV272" s="76">
        <v>0</v>
      </c>
      <c r="HW272" s="76">
        <v>9</v>
      </c>
      <c r="HX272" s="76">
        <v>346</v>
      </c>
    </row>
    <row r="273" spans="1:232" x14ac:dyDescent="0.2">
      <c r="A273" s="74" t="s">
        <v>741</v>
      </c>
      <c r="B273" s="74" t="s">
        <v>740</v>
      </c>
      <c r="C273" s="75" t="s">
        <v>200</v>
      </c>
      <c r="D273" s="75">
        <v>12</v>
      </c>
      <c r="E273" s="76">
        <v>54268</v>
      </c>
      <c r="F273" s="76">
        <v>0</v>
      </c>
      <c r="G273" s="76">
        <v>-45619</v>
      </c>
      <c r="H273" s="76">
        <v>8649</v>
      </c>
      <c r="I273" s="76">
        <v>-350</v>
      </c>
      <c r="J273" s="76">
        <v>0</v>
      </c>
      <c r="K273" s="76">
        <v>0</v>
      </c>
      <c r="L273" s="76">
        <v>0</v>
      </c>
      <c r="M273" s="76">
        <v>155</v>
      </c>
      <c r="N273" s="76">
        <v>-454</v>
      </c>
      <c r="O273" s="76">
        <v>230</v>
      </c>
      <c r="P273" s="76">
        <v>0</v>
      </c>
      <c r="Q273" s="76">
        <v>0</v>
      </c>
      <c r="R273" s="76">
        <v>0</v>
      </c>
      <c r="S273" s="76">
        <v>8230</v>
      </c>
      <c r="T273" s="76">
        <v>0</v>
      </c>
      <c r="U273" s="76">
        <v>8230</v>
      </c>
      <c r="V273" s="76">
        <v>0</v>
      </c>
      <c r="W273" s="76">
        <v>0</v>
      </c>
      <c r="X273" s="76">
        <v>0</v>
      </c>
      <c r="Y273" s="76">
        <v>0</v>
      </c>
      <c r="Z273" s="76">
        <v>8230</v>
      </c>
      <c r="AA273" s="76">
        <v>29825</v>
      </c>
      <c r="AB273" s="76">
        <v>8756</v>
      </c>
      <c r="AC273" s="76">
        <v>38581</v>
      </c>
      <c r="AD273" s="76">
        <v>0</v>
      </c>
      <c r="AE273" s="76">
        <v>0</v>
      </c>
      <c r="AF273" s="76">
        <v>0</v>
      </c>
      <c r="AG273" s="76">
        <v>0</v>
      </c>
      <c r="AH273" s="76">
        <v>38581</v>
      </c>
      <c r="AI273" s="76">
        <v>7204</v>
      </c>
      <c r="AJ273" s="76">
        <v>29248</v>
      </c>
      <c r="AK273" s="76">
        <v>1115</v>
      </c>
      <c r="AL273" s="76">
        <v>0</v>
      </c>
      <c r="AM273" s="76">
        <v>418</v>
      </c>
      <c r="AN273" s="76">
        <v>65</v>
      </c>
      <c r="AO273" s="76">
        <v>2002</v>
      </c>
      <c r="AP273" s="76">
        <v>0</v>
      </c>
      <c r="AQ273" s="76">
        <v>0</v>
      </c>
      <c r="AR273" s="76">
        <v>40052</v>
      </c>
      <c r="AS273" s="76">
        <v>-1471</v>
      </c>
      <c r="AT273" s="76">
        <v>5435</v>
      </c>
      <c r="AU273" s="76">
        <v>146324</v>
      </c>
      <c r="AV273" s="76">
        <v>0</v>
      </c>
      <c r="AW273" s="76">
        <v>1009</v>
      </c>
      <c r="AX273" s="76">
        <v>0</v>
      </c>
      <c r="AY273" s="76">
        <v>0</v>
      </c>
      <c r="AZ273" s="76">
        <v>0</v>
      </c>
      <c r="BA273" s="76">
        <v>0</v>
      </c>
      <c r="BB273" s="76">
        <v>0</v>
      </c>
      <c r="BC273" s="76">
        <v>0</v>
      </c>
      <c r="BD273" s="76">
        <v>0</v>
      </c>
      <c r="BE273" s="76">
        <v>147333</v>
      </c>
      <c r="BF273" s="76">
        <v>5907</v>
      </c>
      <c r="BG273" s="76">
        <v>7794</v>
      </c>
      <c r="BH273" s="76">
        <v>22088</v>
      </c>
      <c r="BI273" s="76">
        <v>2147</v>
      </c>
      <c r="BJ273" s="76">
        <v>792</v>
      </c>
      <c r="BK273" s="76">
        <v>38728</v>
      </c>
      <c r="BL273" s="76">
        <v>0</v>
      </c>
      <c r="BM273" s="76">
        <v>0</v>
      </c>
      <c r="BN273" s="76">
        <v>0</v>
      </c>
      <c r="BO273" s="76">
        <v>20592</v>
      </c>
      <c r="BP273" s="76">
        <v>20592</v>
      </c>
      <c r="BQ273" s="76">
        <v>18136</v>
      </c>
      <c r="BR273" s="76">
        <v>165469</v>
      </c>
      <c r="BS273" s="76">
        <v>0</v>
      </c>
      <c r="BT273" s="76">
        <v>0</v>
      </c>
      <c r="BU273" s="76">
        <v>0</v>
      </c>
      <c r="BV273" s="76">
        <v>0</v>
      </c>
      <c r="BW273" s="76">
        <v>0</v>
      </c>
      <c r="BX273" s="76">
        <v>0</v>
      </c>
      <c r="BY273" s="76">
        <v>17695</v>
      </c>
      <c r="BZ273" s="76">
        <v>17695</v>
      </c>
      <c r="CA273" s="76">
        <v>0</v>
      </c>
      <c r="CB273" s="76">
        <v>0</v>
      </c>
      <c r="CC273" s="76">
        <v>147774</v>
      </c>
      <c r="CD273" s="76">
        <v>137467</v>
      </c>
      <c r="CE273" s="76">
        <v>0</v>
      </c>
      <c r="CF273" s="76">
        <v>10307</v>
      </c>
      <c r="CG273" s="76">
        <v>0</v>
      </c>
      <c r="CH273" s="76">
        <v>0</v>
      </c>
      <c r="CI273" s="76">
        <v>147774</v>
      </c>
      <c r="CJ273" s="76">
        <v>0</v>
      </c>
      <c r="CK273" s="76">
        <v>0</v>
      </c>
      <c r="CL273" s="76">
        <v>0</v>
      </c>
      <c r="CM273" s="76">
        <v>0</v>
      </c>
      <c r="CN273" s="76">
        <v>0</v>
      </c>
      <c r="CO273" s="76">
        <v>0</v>
      </c>
      <c r="CP273" s="76">
        <v>0</v>
      </c>
      <c r="CQ273" s="76">
        <v>0</v>
      </c>
      <c r="CR273" s="76">
        <v>0</v>
      </c>
      <c r="CS273" s="76">
        <v>0</v>
      </c>
      <c r="CT273" s="76">
        <v>0</v>
      </c>
      <c r="CU273" s="76">
        <v>0</v>
      </c>
      <c r="CV273" s="76">
        <v>0</v>
      </c>
      <c r="CW273" s="76">
        <v>0</v>
      </c>
      <c r="CX273" s="76">
        <v>0</v>
      </c>
      <c r="CY273" s="76">
        <v>0</v>
      </c>
      <c r="CZ273" s="76">
        <v>0</v>
      </c>
      <c r="DA273" s="76">
        <v>0</v>
      </c>
      <c r="DB273" s="76">
        <v>0</v>
      </c>
      <c r="DC273" s="76">
        <v>0</v>
      </c>
      <c r="DD273" s="76">
        <v>0</v>
      </c>
      <c r="DE273" s="76">
        <v>0</v>
      </c>
      <c r="DF273" s="76">
        <v>0</v>
      </c>
      <c r="DG273" s="76">
        <v>0</v>
      </c>
      <c r="DH273" s="76">
        <v>285</v>
      </c>
      <c r="DI273" s="76">
        <v>0</v>
      </c>
      <c r="DJ273" s="76">
        <v>227</v>
      </c>
      <c r="DK273" s="76">
        <v>58</v>
      </c>
      <c r="DL273" s="76">
        <v>0</v>
      </c>
      <c r="DM273" s="76">
        <v>0</v>
      </c>
      <c r="DN273" s="76">
        <v>0</v>
      </c>
      <c r="DO273" s="76">
        <v>0</v>
      </c>
      <c r="DP273" s="76">
        <v>0</v>
      </c>
      <c r="DQ273" s="76">
        <v>0</v>
      </c>
      <c r="DR273" s="76">
        <v>0</v>
      </c>
      <c r="DS273" s="76">
        <v>0</v>
      </c>
      <c r="DT273" s="76">
        <v>1851</v>
      </c>
      <c r="DU273" s="76">
        <v>0</v>
      </c>
      <c r="DV273" s="76">
        <v>1986</v>
      </c>
      <c r="DW273" s="76">
        <v>-135</v>
      </c>
      <c r="DX273" s="76">
        <v>0</v>
      </c>
      <c r="DY273" s="76">
        <v>0</v>
      </c>
      <c r="DZ273" s="76">
        <v>0</v>
      </c>
      <c r="EA273" s="76">
        <v>0</v>
      </c>
      <c r="EB273" s="76">
        <v>13551</v>
      </c>
      <c r="EC273" s="76">
        <v>0</v>
      </c>
      <c r="ED273" s="76">
        <v>3354</v>
      </c>
      <c r="EE273" s="76">
        <v>10197</v>
      </c>
      <c r="EF273" s="76">
        <v>15687</v>
      </c>
      <c r="EG273" s="76">
        <v>0</v>
      </c>
      <c r="EH273" s="76">
        <v>5567</v>
      </c>
      <c r="EI273" s="76">
        <v>10120</v>
      </c>
      <c r="EJ273" s="76">
        <v>15687</v>
      </c>
      <c r="EK273" s="76">
        <v>0</v>
      </c>
      <c r="EL273" s="76">
        <v>5567</v>
      </c>
      <c r="EM273" s="76">
        <v>10120</v>
      </c>
      <c r="EN273" s="76">
        <v>635</v>
      </c>
      <c r="EO273" s="76">
        <v>227</v>
      </c>
      <c r="EP273" s="76">
        <v>56</v>
      </c>
      <c r="EQ273" s="76">
        <v>227</v>
      </c>
      <c r="ER273" s="76">
        <v>117420</v>
      </c>
      <c r="ES273" s="76">
        <v>21532</v>
      </c>
      <c r="ET273" s="76">
        <v>138952</v>
      </c>
      <c r="EU273" s="76">
        <v>23288</v>
      </c>
      <c r="EV273" s="76">
        <v>-7241</v>
      </c>
      <c r="EW273" s="76">
        <v>0</v>
      </c>
      <c r="EX273" s="76">
        <v>0</v>
      </c>
      <c r="EY273" s="76">
        <v>6439</v>
      </c>
      <c r="EZ273" s="76">
        <v>161438</v>
      </c>
      <c r="FA273" s="76">
        <v>11435</v>
      </c>
      <c r="FB273" s="76">
        <v>2002</v>
      </c>
      <c r="FC273" s="76">
        <v>2318</v>
      </c>
      <c r="FD273" s="76">
        <v>0</v>
      </c>
      <c r="FE273" s="76">
        <v>-641</v>
      </c>
      <c r="FF273" s="76">
        <v>0</v>
      </c>
      <c r="FG273" s="76">
        <v>0</v>
      </c>
      <c r="FH273" s="76">
        <v>15114</v>
      </c>
      <c r="FI273" s="76">
        <v>146324</v>
      </c>
      <c r="FJ273" s="76">
        <v>127517</v>
      </c>
      <c r="FK273" s="76">
        <v>0</v>
      </c>
      <c r="FL273" s="76">
        <v>0</v>
      </c>
      <c r="FM273" s="76">
        <v>0</v>
      </c>
      <c r="FN273" s="76">
        <v>0</v>
      </c>
      <c r="FO273" s="76">
        <v>0</v>
      </c>
      <c r="FP273" s="76">
        <v>0</v>
      </c>
      <c r="FQ273" s="76">
        <v>0</v>
      </c>
      <c r="FR273" s="76">
        <v>0</v>
      </c>
      <c r="FS273" s="76">
        <v>0</v>
      </c>
      <c r="FT273" s="76">
        <v>8914</v>
      </c>
      <c r="FU273" s="76">
        <v>9264</v>
      </c>
      <c r="FV273" s="76">
        <v>-350</v>
      </c>
      <c r="FW273" s="76">
        <v>0</v>
      </c>
      <c r="FX273" s="76">
        <v>0</v>
      </c>
      <c r="FY273" s="76">
        <v>0</v>
      </c>
      <c r="FZ273" s="76">
        <v>0</v>
      </c>
      <c r="GA273" s="76">
        <v>0</v>
      </c>
      <c r="GB273" s="76">
        <v>0</v>
      </c>
      <c r="GC273" s="76">
        <v>8914</v>
      </c>
      <c r="GD273" s="76">
        <v>9264</v>
      </c>
      <c r="GE273" s="76">
        <v>-350</v>
      </c>
      <c r="GF273" s="76">
        <v>0</v>
      </c>
      <c r="GG273" s="76">
        <v>0</v>
      </c>
      <c r="GH273" s="76">
        <v>0</v>
      </c>
      <c r="GI273" s="76">
        <v>0</v>
      </c>
      <c r="GJ273" s="76">
        <v>0</v>
      </c>
      <c r="GK273" s="76">
        <v>792</v>
      </c>
      <c r="GL273" s="76">
        <v>792</v>
      </c>
      <c r="GM273" s="76">
        <v>414</v>
      </c>
      <c r="GN273" s="76">
        <v>0</v>
      </c>
      <c r="GO273" s="76">
        <v>1052</v>
      </c>
      <c r="GP273" s="76">
        <v>6977</v>
      </c>
      <c r="GQ273" s="76">
        <v>0</v>
      </c>
      <c r="GR273" s="76">
        <v>4673</v>
      </c>
      <c r="GS273" s="76">
        <v>0</v>
      </c>
      <c r="GT273" s="76">
        <v>0</v>
      </c>
      <c r="GU273" s="76">
        <v>0</v>
      </c>
      <c r="GV273" s="76">
        <v>0</v>
      </c>
      <c r="GW273" s="76">
        <v>7476</v>
      </c>
      <c r="GX273" s="76">
        <v>20592</v>
      </c>
      <c r="GY273" s="76">
        <v>6413</v>
      </c>
      <c r="GZ273" s="76">
        <v>0</v>
      </c>
      <c r="HA273" s="76">
        <v>0</v>
      </c>
      <c r="HB273" s="76">
        <v>11282</v>
      </c>
      <c r="HC273" s="76">
        <v>17695</v>
      </c>
      <c r="HD273" s="76">
        <v>0</v>
      </c>
      <c r="HE273" s="76">
        <v>0</v>
      </c>
      <c r="HF273" s="76">
        <v>0</v>
      </c>
      <c r="HG273" s="76">
        <v>454</v>
      </c>
      <c r="HH273" s="76">
        <v>0</v>
      </c>
      <c r="HI273" s="76">
        <v>0</v>
      </c>
      <c r="HJ273" s="76">
        <v>0</v>
      </c>
      <c r="HK273" s="76">
        <v>0</v>
      </c>
      <c r="HL273" s="76">
        <v>0</v>
      </c>
      <c r="HM273" s="76">
        <v>454</v>
      </c>
      <c r="HN273" s="76">
        <v>5393</v>
      </c>
      <c r="HO273" s="76">
        <v>2612</v>
      </c>
      <c r="HP273" s="76">
        <v>2318</v>
      </c>
      <c r="HQ273" s="76">
        <v>0</v>
      </c>
      <c r="HR273" s="76">
        <v>-35</v>
      </c>
      <c r="HS273" s="76">
        <v>119</v>
      </c>
      <c r="HT273" s="76">
        <v>2015</v>
      </c>
      <c r="HU273" s="76">
        <v>0</v>
      </c>
      <c r="HV273" s="76">
        <v>0</v>
      </c>
      <c r="HW273" s="76">
        <v>0</v>
      </c>
      <c r="HX273" s="76">
        <v>0</v>
      </c>
    </row>
    <row r="274" spans="1:232" x14ac:dyDescent="0.2">
      <c r="A274" s="74" t="s">
        <v>168</v>
      </c>
      <c r="B274" s="74" t="s">
        <v>167</v>
      </c>
      <c r="C274" s="75" t="s">
        <v>200</v>
      </c>
      <c r="D274" s="75">
        <v>12</v>
      </c>
      <c r="E274" s="76">
        <v>26945</v>
      </c>
      <c r="F274" s="76">
        <v>-635</v>
      </c>
      <c r="G274" s="76">
        <v>-18265</v>
      </c>
      <c r="H274" s="76">
        <v>8045</v>
      </c>
      <c r="I274" s="76">
        <v>628</v>
      </c>
      <c r="J274" s="76">
        <v>400</v>
      </c>
      <c r="K274" s="76">
        <v>0</v>
      </c>
      <c r="L274" s="76">
        <v>0</v>
      </c>
      <c r="M274" s="76">
        <v>226</v>
      </c>
      <c r="N274" s="76">
        <v>-5087</v>
      </c>
      <c r="O274" s="76">
        <v>115</v>
      </c>
      <c r="P274" s="76">
        <v>109</v>
      </c>
      <c r="Q274" s="76">
        <v>0</v>
      </c>
      <c r="R274" s="76">
        <v>0</v>
      </c>
      <c r="S274" s="76">
        <v>4436</v>
      </c>
      <c r="T274" s="76">
        <v>0</v>
      </c>
      <c r="U274" s="76">
        <v>4436</v>
      </c>
      <c r="V274" s="76">
        <v>0</v>
      </c>
      <c r="W274" s="76">
        <v>-113</v>
      </c>
      <c r="X274" s="76">
        <v>0</v>
      </c>
      <c r="Y274" s="76">
        <v>0</v>
      </c>
      <c r="Z274" s="76">
        <v>4323</v>
      </c>
      <c r="AA274" s="76">
        <v>17949</v>
      </c>
      <c r="AB274" s="76">
        <v>1397</v>
      </c>
      <c r="AC274" s="76">
        <v>19346</v>
      </c>
      <c r="AD274" s="76">
        <v>914</v>
      </c>
      <c r="AE274" s="76">
        <v>0</v>
      </c>
      <c r="AF274" s="76">
        <v>0</v>
      </c>
      <c r="AG274" s="76">
        <v>1578</v>
      </c>
      <c r="AH274" s="76">
        <v>21838</v>
      </c>
      <c r="AI274" s="76">
        <v>4174</v>
      </c>
      <c r="AJ274" s="76">
        <v>5892</v>
      </c>
      <c r="AK274" s="76">
        <v>1859</v>
      </c>
      <c r="AL274" s="76">
        <v>1033</v>
      </c>
      <c r="AM274" s="76">
        <v>0</v>
      </c>
      <c r="AN274" s="76">
        <v>53</v>
      </c>
      <c r="AO274" s="76">
        <v>1950</v>
      </c>
      <c r="AP274" s="76">
        <v>0</v>
      </c>
      <c r="AQ274" s="76">
        <v>106</v>
      </c>
      <c r="AR274" s="76">
        <v>15067</v>
      </c>
      <c r="AS274" s="76">
        <v>6771</v>
      </c>
      <c r="AT274" s="76">
        <v>439</v>
      </c>
      <c r="AU274" s="76">
        <v>198534</v>
      </c>
      <c r="AV274" s="76">
        <v>0</v>
      </c>
      <c r="AW274" s="76">
        <v>8105</v>
      </c>
      <c r="AX274" s="76">
        <v>0</v>
      </c>
      <c r="AY274" s="76">
        <v>0</v>
      </c>
      <c r="AZ274" s="76">
        <v>760</v>
      </c>
      <c r="BA274" s="76">
        <v>0</v>
      </c>
      <c r="BB274" s="76">
        <v>0</v>
      </c>
      <c r="BC274" s="76">
        <v>0</v>
      </c>
      <c r="BD274" s="76">
        <v>0</v>
      </c>
      <c r="BE274" s="76">
        <v>207399</v>
      </c>
      <c r="BF274" s="76">
        <v>1115</v>
      </c>
      <c r="BG274" s="76">
        <v>992</v>
      </c>
      <c r="BH274" s="76">
        <v>917</v>
      </c>
      <c r="BI274" s="76">
        <v>813</v>
      </c>
      <c r="BJ274" s="76">
        <v>4475</v>
      </c>
      <c r="BK274" s="76">
        <v>8312</v>
      </c>
      <c r="BL274" s="76">
        <v>1919</v>
      </c>
      <c r="BM274" s="76">
        <v>0</v>
      </c>
      <c r="BN274" s="76">
        <v>923</v>
      </c>
      <c r="BO274" s="76">
        <v>3718</v>
      </c>
      <c r="BP274" s="76">
        <v>6560</v>
      </c>
      <c r="BQ274" s="76">
        <v>1752</v>
      </c>
      <c r="BR274" s="76">
        <v>209151</v>
      </c>
      <c r="BS274" s="76">
        <v>100867</v>
      </c>
      <c r="BT274" s="76">
        <v>0</v>
      </c>
      <c r="BU274" s="76">
        <v>0</v>
      </c>
      <c r="BV274" s="76">
        <v>79464</v>
      </c>
      <c r="BW274" s="76">
        <v>0</v>
      </c>
      <c r="BX274" s="76">
        <v>0</v>
      </c>
      <c r="BY274" s="76">
        <v>0</v>
      </c>
      <c r="BZ274" s="76">
        <v>180331</v>
      </c>
      <c r="CA274" s="76">
        <v>3395</v>
      </c>
      <c r="CB274" s="76">
        <v>0</v>
      </c>
      <c r="CC274" s="76">
        <v>25425</v>
      </c>
      <c r="CD274" s="76">
        <v>23900</v>
      </c>
      <c r="CE274" s="76">
        <v>289</v>
      </c>
      <c r="CF274" s="76">
        <v>1236</v>
      </c>
      <c r="CG274" s="76">
        <v>0</v>
      </c>
      <c r="CH274" s="76">
        <v>0</v>
      </c>
      <c r="CI274" s="76">
        <v>25425</v>
      </c>
      <c r="CJ274" s="76">
        <v>861</v>
      </c>
      <c r="CK274" s="76">
        <v>635</v>
      </c>
      <c r="CL274" s="76">
        <v>0</v>
      </c>
      <c r="CM274" s="76">
        <v>226</v>
      </c>
      <c r="CN274" s="76">
        <v>1080</v>
      </c>
      <c r="CO274" s="76">
        <v>0</v>
      </c>
      <c r="CP274" s="76">
        <v>1080</v>
      </c>
      <c r="CQ274" s="76">
        <v>0</v>
      </c>
      <c r="CR274" s="76">
        <v>0</v>
      </c>
      <c r="CS274" s="76">
        <v>0</v>
      </c>
      <c r="CT274" s="76">
        <v>0</v>
      </c>
      <c r="CU274" s="76">
        <v>0</v>
      </c>
      <c r="CV274" s="76">
        <v>0</v>
      </c>
      <c r="CW274" s="76">
        <v>0</v>
      </c>
      <c r="CX274" s="76">
        <v>0</v>
      </c>
      <c r="CY274" s="76">
        <v>0</v>
      </c>
      <c r="CZ274" s="76">
        <v>1595</v>
      </c>
      <c r="DA274" s="76">
        <v>0</v>
      </c>
      <c r="DB274" s="76">
        <v>1072</v>
      </c>
      <c r="DC274" s="76">
        <v>523</v>
      </c>
      <c r="DD274" s="76">
        <v>3536</v>
      </c>
      <c r="DE274" s="76">
        <v>635</v>
      </c>
      <c r="DF274" s="76">
        <v>2152</v>
      </c>
      <c r="DG274" s="76">
        <v>749</v>
      </c>
      <c r="DH274" s="76">
        <v>0</v>
      </c>
      <c r="DI274" s="76">
        <v>0</v>
      </c>
      <c r="DJ274" s="76">
        <v>0</v>
      </c>
      <c r="DK274" s="76">
        <v>0</v>
      </c>
      <c r="DL274" s="76">
        <v>0</v>
      </c>
      <c r="DM274" s="76">
        <v>0</v>
      </c>
      <c r="DN274" s="76">
        <v>0</v>
      </c>
      <c r="DO274" s="76">
        <v>0</v>
      </c>
      <c r="DP274" s="76">
        <v>0</v>
      </c>
      <c r="DQ274" s="76">
        <v>0</v>
      </c>
      <c r="DR274" s="76">
        <v>0</v>
      </c>
      <c r="DS274" s="76">
        <v>0</v>
      </c>
      <c r="DT274" s="76">
        <v>0</v>
      </c>
      <c r="DU274" s="76">
        <v>0</v>
      </c>
      <c r="DV274" s="76">
        <v>0</v>
      </c>
      <c r="DW274" s="76">
        <v>0</v>
      </c>
      <c r="DX274" s="76">
        <v>0</v>
      </c>
      <c r="DY274" s="76">
        <v>0</v>
      </c>
      <c r="DZ274" s="76">
        <v>0</v>
      </c>
      <c r="EA274" s="76">
        <v>0</v>
      </c>
      <c r="EB274" s="76">
        <v>1571</v>
      </c>
      <c r="EC274" s="76">
        <v>0</v>
      </c>
      <c r="ED274" s="76">
        <v>1045</v>
      </c>
      <c r="EE274" s="76">
        <v>526</v>
      </c>
      <c r="EF274" s="76">
        <v>1571</v>
      </c>
      <c r="EG274" s="76">
        <v>0</v>
      </c>
      <c r="EH274" s="76">
        <v>1045</v>
      </c>
      <c r="EI274" s="76">
        <v>526</v>
      </c>
      <c r="EJ274" s="76">
        <v>5107</v>
      </c>
      <c r="EK274" s="76">
        <v>635</v>
      </c>
      <c r="EL274" s="76">
        <v>3197</v>
      </c>
      <c r="EM274" s="76">
        <v>1275</v>
      </c>
      <c r="EN274" s="76">
        <v>676</v>
      </c>
      <c r="EO274" s="76">
        <v>104</v>
      </c>
      <c r="EP274" s="76">
        <v>173</v>
      </c>
      <c r="EQ274" s="76">
        <v>55</v>
      </c>
      <c r="ER274" s="76">
        <v>216753</v>
      </c>
      <c r="ES274" s="76">
        <v>0</v>
      </c>
      <c r="ET274" s="76">
        <v>216753</v>
      </c>
      <c r="EU274" s="76">
        <v>5221</v>
      </c>
      <c r="EV274" s="76">
        <v>-933</v>
      </c>
      <c r="EW274" s="76">
        <v>0</v>
      </c>
      <c r="EX274" s="76">
        <v>0</v>
      </c>
      <c r="EY274" s="76">
        <v>-1315</v>
      </c>
      <c r="EZ274" s="76">
        <v>219726</v>
      </c>
      <c r="FA274" s="76">
        <v>19580</v>
      </c>
      <c r="FB274" s="76">
        <v>1898</v>
      </c>
      <c r="FC274" s="76">
        <v>0</v>
      </c>
      <c r="FD274" s="76">
        <v>0</v>
      </c>
      <c r="FE274" s="76">
        <v>-285</v>
      </c>
      <c r="FF274" s="76">
        <v>0</v>
      </c>
      <c r="FG274" s="76">
        <v>0</v>
      </c>
      <c r="FH274" s="76">
        <v>21193</v>
      </c>
      <c r="FI274" s="76">
        <v>198533</v>
      </c>
      <c r="FJ274" s="76">
        <v>197173</v>
      </c>
      <c r="FK274" s="76">
        <v>817</v>
      </c>
      <c r="FL274" s="76">
        <v>189</v>
      </c>
      <c r="FM274" s="76">
        <v>628</v>
      </c>
      <c r="FN274" s="76">
        <v>0</v>
      </c>
      <c r="FO274" s="76">
        <v>0</v>
      </c>
      <c r="FP274" s="76">
        <v>0</v>
      </c>
      <c r="FQ274" s="76">
        <v>0</v>
      </c>
      <c r="FR274" s="76">
        <v>0</v>
      </c>
      <c r="FS274" s="76">
        <v>0</v>
      </c>
      <c r="FT274" s="76">
        <v>0</v>
      </c>
      <c r="FU274" s="76">
        <v>0</v>
      </c>
      <c r="FV274" s="76">
        <v>0</v>
      </c>
      <c r="FW274" s="76">
        <v>0</v>
      </c>
      <c r="FX274" s="76">
        <v>0</v>
      </c>
      <c r="FY274" s="76">
        <v>0</v>
      </c>
      <c r="FZ274" s="76">
        <v>0</v>
      </c>
      <c r="GA274" s="76">
        <v>0</v>
      </c>
      <c r="GB274" s="76">
        <v>0</v>
      </c>
      <c r="GC274" s="76">
        <v>817</v>
      </c>
      <c r="GD274" s="76">
        <v>189</v>
      </c>
      <c r="GE274" s="76">
        <v>628</v>
      </c>
      <c r="GF274" s="76">
        <v>3996</v>
      </c>
      <c r="GG274" s="76">
        <v>19</v>
      </c>
      <c r="GH274" s="76">
        <v>0</v>
      </c>
      <c r="GI274" s="76">
        <v>0</v>
      </c>
      <c r="GJ274" s="76">
        <v>0</v>
      </c>
      <c r="GK274" s="76">
        <v>460</v>
      </c>
      <c r="GL274" s="76">
        <v>4475</v>
      </c>
      <c r="GM274" s="76">
        <v>271</v>
      </c>
      <c r="GN274" s="76">
        <v>312</v>
      </c>
      <c r="GO274" s="76">
        <v>0</v>
      </c>
      <c r="GP274" s="76">
        <v>0</v>
      </c>
      <c r="GQ274" s="76">
        <v>0</v>
      </c>
      <c r="GR274" s="76">
        <v>3135</v>
      </c>
      <c r="GS274" s="76">
        <v>0</v>
      </c>
      <c r="GT274" s="76">
        <v>0</v>
      </c>
      <c r="GU274" s="76">
        <v>0</v>
      </c>
      <c r="GV274" s="76">
        <v>0</v>
      </c>
      <c r="GW274" s="76">
        <v>0</v>
      </c>
      <c r="GX274" s="76">
        <v>3718</v>
      </c>
      <c r="GY274" s="76">
        <v>0</v>
      </c>
      <c r="GZ274" s="76">
        <v>0</v>
      </c>
      <c r="HA274" s="76">
        <v>0</v>
      </c>
      <c r="HB274" s="76">
        <v>0</v>
      </c>
      <c r="HC274" s="76">
        <v>0</v>
      </c>
      <c r="HD274" s="76">
        <v>0</v>
      </c>
      <c r="HE274" s="76">
        <v>0</v>
      </c>
      <c r="HF274" s="76">
        <v>0</v>
      </c>
      <c r="HG274" s="76">
        <v>5112</v>
      </c>
      <c r="HH274" s="76">
        <v>0</v>
      </c>
      <c r="HI274" s="76">
        <v>82</v>
      </c>
      <c r="HJ274" s="76">
        <v>0</v>
      </c>
      <c r="HK274" s="76">
        <v>0</v>
      </c>
      <c r="HL274" s="76">
        <v>-107</v>
      </c>
      <c r="HM274" s="76">
        <v>5087</v>
      </c>
      <c r="HN274" s="76">
        <v>1163</v>
      </c>
      <c r="HO274" s="76">
        <v>2166</v>
      </c>
      <c r="HP274" s="76">
        <v>0</v>
      </c>
      <c r="HQ274" s="76">
        <v>21</v>
      </c>
      <c r="HR274" s="76">
        <v>-12</v>
      </c>
      <c r="HS274" s="76">
        <v>0</v>
      </c>
      <c r="HT274" s="76">
        <v>2735</v>
      </c>
      <c r="HU274" s="76">
        <v>0</v>
      </c>
      <c r="HV274" s="76">
        <v>0</v>
      </c>
      <c r="HW274" s="76">
        <v>0</v>
      </c>
      <c r="HX274" s="76">
        <v>0</v>
      </c>
    </row>
    <row r="275" spans="1:232" x14ac:dyDescent="0.2">
      <c r="A275" s="71" t="s">
        <v>743</v>
      </c>
      <c r="B275" s="71" t="s">
        <v>744</v>
      </c>
      <c r="C275" s="72" t="s">
        <v>200</v>
      </c>
      <c r="D275" s="72">
        <v>12</v>
      </c>
      <c r="E275" s="73">
        <v>15982</v>
      </c>
      <c r="F275" s="73">
        <v>0</v>
      </c>
      <c r="G275" s="73">
        <v>-12365</v>
      </c>
      <c r="H275" s="73">
        <v>3617</v>
      </c>
      <c r="I275" s="73">
        <v>907</v>
      </c>
      <c r="J275" s="73">
        <v>0</v>
      </c>
      <c r="K275" s="73">
        <v>0</v>
      </c>
      <c r="L275" s="73">
        <v>0</v>
      </c>
      <c r="M275" s="73">
        <v>1</v>
      </c>
      <c r="N275" s="73">
        <v>-2508</v>
      </c>
      <c r="O275" s="73">
        <v>0</v>
      </c>
      <c r="P275" s="73">
        <v>0</v>
      </c>
      <c r="Q275" s="73">
        <v>0</v>
      </c>
      <c r="R275" s="73">
        <v>0</v>
      </c>
      <c r="S275" s="73">
        <v>2017</v>
      </c>
      <c r="T275" s="73">
        <v>0</v>
      </c>
      <c r="U275" s="73">
        <v>2017</v>
      </c>
      <c r="V275" s="73">
        <v>0</v>
      </c>
      <c r="W275" s="73">
        <v>0</v>
      </c>
      <c r="X275" s="73">
        <v>0</v>
      </c>
      <c r="Y275" s="73">
        <v>0</v>
      </c>
      <c r="Z275" s="73">
        <v>2017</v>
      </c>
      <c r="AA275" s="73">
        <v>9986</v>
      </c>
      <c r="AB275" s="73">
        <v>2625</v>
      </c>
      <c r="AC275" s="73">
        <v>12611</v>
      </c>
      <c r="AD275" s="73">
        <v>1661</v>
      </c>
      <c r="AE275" s="73">
        <v>0</v>
      </c>
      <c r="AF275" s="73">
        <v>0</v>
      </c>
      <c r="AG275" s="73">
        <v>0</v>
      </c>
      <c r="AH275" s="73">
        <v>14272</v>
      </c>
      <c r="AI275" s="73">
        <v>2333</v>
      </c>
      <c r="AJ275" s="73">
        <v>1945</v>
      </c>
      <c r="AK275" s="73">
        <v>1741</v>
      </c>
      <c r="AL275" s="73">
        <v>408</v>
      </c>
      <c r="AM275" s="73">
        <v>0</v>
      </c>
      <c r="AN275" s="73">
        <v>76</v>
      </c>
      <c r="AO275" s="73">
        <v>1864</v>
      </c>
      <c r="AP275" s="73">
        <v>0</v>
      </c>
      <c r="AQ275" s="73">
        <v>3585</v>
      </c>
      <c r="AR275" s="73">
        <v>11952</v>
      </c>
      <c r="AS275" s="73">
        <v>2320</v>
      </c>
      <c r="AT275" s="73">
        <v>299</v>
      </c>
      <c r="AU275" s="73">
        <v>162318</v>
      </c>
      <c r="AV275" s="73">
        <v>0</v>
      </c>
      <c r="AW275" s="73">
        <v>2387</v>
      </c>
      <c r="AX275" s="73">
        <v>0</v>
      </c>
      <c r="AY275" s="73">
        <v>0</v>
      </c>
      <c r="AZ275" s="73">
        <v>0</v>
      </c>
      <c r="BA275" s="73">
        <v>0</v>
      </c>
      <c r="BB275" s="73">
        <v>0</v>
      </c>
      <c r="BC275" s="73">
        <v>0</v>
      </c>
      <c r="BD275" s="73">
        <v>0</v>
      </c>
      <c r="BE275" s="73">
        <v>164705</v>
      </c>
      <c r="BF275" s="73">
        <v>0</v>
      </c>
      <c r="BG275" s="73">
        <v>843</v>
      </c>
      <c r="BH275" s="73">
        <v>755</v>
      </c>
      <c r="BI275" s="73">
        <v>0</v>
      </c>
      <c r="BJ275" s="73">
        <v>0</v>
      </c>
      <c r="BK275" s="73">
        <v>1598</v>
      </c>
      <c r="BL275" s="73">
        <v>217</v>
      </c>
      <c r="BM275" s="73">
        <v>0</v>
      </c>
      <c r="BN275" s="73">
        <v>434</v>
      </c>
      <c r="BO275" s="73">
        <v>3428</v>
      </c>
      <c r="BP275" s="73">
        <v>4079</v>
      </c>
      <c r="BQ275" s="73">
        <v>-2481</v>
      </c>
      <c r="BR275" s="73">
        <v>162224</v>
      </c>
      <c r="BS275" s="73">
        <v>65956</v>
      </c>
      <c r="BT275" s="73">
        <v>0</v>
      </c>
      <c r="BU275" s="73">
        <v>0</v>
      </c>
      <c r="BV275" s="73">
        <v>72700</v>
      </c>
      <c r="BW275" s="73">
        <v>0</v>
      </c>
      <c r="BX275" s="73">
        <v>0</v>
      </c>
      <c r="BY275" s="73">
        <v>580</v>
      </c>
      <c r="BZ275" s="73">
        <v>139236</v>
      </c>
      <c r="CA275" s="73">
        <v>0</v>
      </c>
      <c r="CB275" s="73">
        <v>221</v>
      </c>
      <c r="CC275" s="73">
        <v>22767</v>
      </c>
      <c r="CD275" s="73">
        <v>22437</v>
      </c>
      <c r="CE275" s="73">
        <v>0</v>
      </c>
      <c r="CF275" s="73">
        <v>330</v>
      </c>
      <c r="CG275" s="73">
        <v>0</v>
      </c>
      <c r="CH275" s="73">
        <v>0</v>
      </c>
      <c r="CI275" s="73">
        <v>22767</v>
      </c>
      <c r="CJ275" s="73">
        <v>0</v>
      </c>
      <c r="CK275" s="73">
        <v>0</v>
      </c>
      <c r="CL275" s="73">
        <v>0</v>
      </c>
      <c r="CM275" s="73">
        <v>0</v>
      </c>
      <c r="CN275" s="73">
        <v>770</v>
      </c>
      <c r="CO275" s="73">
        <v>0</v>
      </c>
      <c r="CP275" s="73">
        <v>0</v>
      </c>
      <c r="CQ275" s="73">
        <v>770</v>
      </c>
      <c r="CR275" s="73">
        <v>0</v>
      </c>
      <c r="CS275" s="73">
        <v>0</v>
      </c>
      <c r="CT275" s="73">
        <v>0</v>
      </c>
      <c r="CU275" s="73">
        <v>0</v>
      </c>
      <c r="CV275" s="73">
        <v>0</v>
      </c>
      <c r="CW275" s="73">
        <v>0</v>
      </c>
      <c r="CX275" s="73">
        <v>0</v>
      </c>
      <c r="CY275" s="73">
        <v>0</v>
      </c>
      <c r="CZ275" s="73">
        <v>0</v>
      </c>
      <c r="DA275" s="73">
        <v>0</v>
      </c>
      <c r="DB275" s="73">
        <v>0</v>
      </c>
      <c r="DC275" s="73">
        <v>0</v>
      </c>
      <c r="DD275" s="73">
        <v>770</v>
      </c>
      <c r="DE275" s="73">
        <v>0</v>
      </c>
      <c r="DF275" s="73">
        <v>0</v>
      </c>
      <c r="DG275" s="73">
        <v>770</v>
      </c>
      <c r="DH275" s="73">
        <v>0</v>
      </c>
      <c r="DI275" s="73">
        <v>0</v>
      </c>
      <c r="DJ275" s="73">
        <v>0</v>
      </c>
      <c r="DK275" s="73">
        <v>0</v>
      </c>
      <c r="DL275" s="73">
        <v>0</v>
      </c>
      <c r="DM275" s="73">
        <v>0</v>
      </c>
      <c r="DN275" s="73">
        <v>0</v>
      </c>
      <c r="DO275" s="73">
        <v>0</v>
      </c>
      <c r="DP275" s="73">
        <v>0</v>
      </c>
      <c r="DQ275" s="73">
        <v>0</v>
      </c>
      <c r="DR275" s="73">
        <v>0</v>
      </c>
      <c r="DS275" s="73">
        <v>0</v>
      </c>
      <c r="DT275" s="73">
        <v>940</v>
      </c>
      <c r="DU275" s="73">
        <v>0</v>
      </c>
      <c r="DV275" s="73">
        <v>413</v>
      </c>
      <c r="DW275" s="73">
        <v>527</v>
      </c>
      <c r="DX275" s="73">
        <v>0</v>
      </c>
      <c r="DY275" s="73">
        <v>0</v>
      </c>
      <c r="DZ275" s="73">
        <v>0</v>
      </c>
      <c r="EA275" s="73">
        <v>0</v>
      </c>
      <c r="EB275" s="73">
        <v>0</v>
      </c>
      <c r="EC275" s="73">
        <v>0</v>
      </c>
      <c r="ED275" s="73">
        <v>0</v>
      </c>
      <c r="EE275" s="73">
        <v>0</v>
      </c>
      <c r="EF275" s="73">
        <v>940</v>
      </c>
      <c r="EG275" s="73">
        <v>0</v>
      </c>
      <c r="EH275" s="73">
        <v>413</v>
      </c>
      <c r="EI275" s="73">
        <v>527</v>
      </c>
      <c r="EJ275" s="73">
        <v>1710</v>
      </c>
      <c r="EK275" s="73">
        <v>0</v>
      </c>
      <c r="EL275" s="73">
        <v>413</v>
      </c>
      <c r="EM275" s="73">
        <v>1297</v>
      </c>
      <c r="EN275" s="73">
        <v>399</v>
      </c>
      <c r="EO275" s="73">
        <v>235</v>
      </c>
      <c r="EP275" s="73">
        <v>0</v>
      </c>
      <c r="EQ275" s="73">
        <v>0</v>
      </c>
      <c r="ER275" s="73">
        <v>167595</v>
      </c>
      <c r="ES275" s="73">
        <v>0</v>
      </c>
      <c r="ET275" s="73">
        <v>167595</v>
      </c>
      <c r="EU275" s="73">
        <v>11997</v>
      </c>
      <c r="EV275" s="73">
        <v>-3217</v>
      </c>
      <c r="EW275" s="73">
        <v>0</v>
      </c>
      <c r="EX275" s="73">
        <v>0</v>
      </c>
      <c r="EY275" s="73">
        <v>0</v>
      </c>
      <c r="EZ275" s="73">
        <v>176375</v>
      </c>
      <c r="FA275" s="73">
        <v>15032</v>
      </c>
      <c r="FB275" s="73">
        <v>1864</v>
      </c>
      <c r="FC275" s="73">
        <v>0</v>
      </c>
      <c r="FD275" s="73">
        <v>0</v>
      </c>
      <c r="FE275" s="73">
        <v>-2839</v>
      </c>
      <c r="FF275" s="73">
        <v>0</v>
      </c>
      <c r="FG275" s="73">
        <v>0</v>
      </c>
      <c r="FH275" s="73">
        <v>14057</v>
      </c>
      <c r="FI275" s="73">
        <v>162318</v>
      </c>
      <c r="FJ275" s="73">
        <v>152563</v>
      </c>
      <c r="FK275" s="73">
        <v>0</v>
      </c>
      <c r="FL275" s="73">
        <v>0</v>
      </c>
      <c r="FM275" s="73">
        <v>0</v>
      </c>
      <c r="FN275" s="73">
        <v>0</v>
      </c>
      <c r="FO275" s="73">
        <v>0</v>
      </c>
      <c r="FP275" s="73">
        <v>0</v>
      </c>
      <c r="FQ275" s="73">
        <v>0</v>
      </c>
      <c r="FR275" s="73">
        <v>0</v>
      </c>
      <c r="FS275" s="73">
        <v>0</v>
      </c>
      <c r="FT275" s="73">
        <v>1045</v>
      </c>
      <c r="FU275" s="73">
        <v>138</v>
      </c>
      <c r="FV275" s="73">
        <v>907</v>
      </c>
      <c r="FW275" s="73">
        <v>0</v>
      </c>
      <c r="FX275" s="73">
        <v>0</v>
      </c>
      <c r="FY275" s="73">
        <v>0</v>
      </c>
      <c r="FZ275" s="73">
        <v>0</v>
      </c>
      <c r="GA275" s="73">
        <v>0</v>
      </c>
      <c r="GB275" s="73">
        <v>0</v>
      </c>
      <c r="GC275" s="73">
        <v>1045</v>
      </c>
      <c r="GD275" s="73">
        <v>138</v>
      </c>
      <c r="GE275" s="73">
        <v>907</v>
      </c>
      <c r="GF275" s="73">
        <v>0</v>
      </c>
      <c r="GG275" s="73">
        <v>0</v>
      </c>
      <c r="GH275" s="73">
        <v>0</v>
      </c>
      <c r="GI275" s="73">
        <v>0</v>
      </c>
      <c r="GJ275" s="73">
        <v>0</v>
      </c>
      <c r="GK275" s="73">
        <v>0</v>
      </c>
      <c r="GL275" s="73">
        <v>0</v>
      </c>
      <c r="GM275" s="73">
        <v>1550</v>
      </c>
      <c r="GN275" s="73">
        <v>0</v>
      </c>
      <c r="GO275" s="73">
        <v>32</v>
      </c>
      <c r="GP275" s="73">
        <v>0</v>
      </c>
      <c r="GQ275" s="73">
        <v>0</v>
      </c>
      <c r="GR275" s="73">
        <v>1170</v>
      </c>
      <c r="GS275" s="73">
        <v>0</v>
      </c>
      <c r="GT275" s="73">
        <v>0</v>
      </c>
      <c r="GU275" s="73">
        <v>0</v>
      </c>
      <c r="GV275" s="73">
        <v>0</v>
      </c>
      <c r="GW275" s="73">
        <v>676</v>
      </c>
      <c r="GX275" s="73">
        <v>3428</v>
      </c>
      <c r="GY275" s="73">
        <v>0</v>
      </c>
      <c r="GZ275" s="73">
        <v>0</v>
      </c>
      <c r="HA275" s="73">
        <v>0</v>
      </c>
      <c r="HB275" s="73">
        <v>580</v>
      </c>
      <c r="HC275" s="73">
        <v>580</v>
      </c>
      <c r="HD275" s="73">
        <v>0</v>
      </c>
      <c r="HE275" s="73">
        <v>221</v>
      </c>
      <c r="HF275" s="73">
        <v>221</v>
      </c>
      <c r="HG275" s="73">
        <v>2477</v>
      </c>
      <c r="HH275" s="73">
        <v>26</v>
      </c>
      <c r="HI275" s="73">
        <v>0</v>
      </c>
      <c r="HJ275" s="73">
        <v>0</v>
      </c>
      <c r="HK275" s="73">
        <v>5</v>
      </c>
      <c r="HL275" s="73">
        <v>0</v>
      </c>
      <c r="HM275" s="73">
        <v>2508</v>
      </c>
      <c r="HN275" s="73">
        <v>1438</v>
      </c>
      <c r="HO275" s="73">
        <v>2002</v>
      </c>
      <c r="HP275" s="73">
        <v>0</v>
      </c>
      <c r="HQ275" s="73">
        <v>50</v>
      </c>
      <c r="HR275" s="73">
        <v>0</v>
      </c>
      <c r="HS275" s="73">
        <v>-105</v>
      </c>
      <c r="HT275" s="73">
        <v>1486</v>
      </c>
      <c r="HU275" s="73">
        <v>0</v>
      </c>
      <c r="HV275" s="73">
        <v>0</v>
      </c>
      <c r="HW275" s="73">
        <v>0</v>
      </c>
      <c r="HX275" s="73">
        <v>17</v>
      </c>
    </row>
    <row r="276" spans="1:232" x14ac:dyDescent="0.2">
      <c r="A276" s="74" t="s">
        <v>747</v>
      </c>
      <c r="B276" s="74" t="s">
        <v>748</v>
      </c>
      <c r="C276" s="75" t="s">
        <v>200</v>
      </c>
      <c r="D276" s="75">
        <v>12</v>
      </c>
      <c r="E276" s="76">
        <v>335400</v>
      </c>
      <c r="F276" s="76">
        <v>-16200</v>
      </c>
      <c r="G276" s="76">
        <v>-206100</v>
      </c>
      <c r="H276" s="76">
        <v>113100</v>
      </c>
      <c r="I276" s="76">
        <v>9400</v>
      </c>
      <c r="J276" s="76">
        <v>19000</v>
      </c>
      <c r="K276" s="76">
        <v>13100</v>
      </c>
      <c r="L276" s="76">
        <v>0</v>
      </c>
      <c r="M276" s="76">
        <v>600</v>
      </c>
      <c r="N276" s="76">
        <v>-58200</v>
      </c>
      <c r="O276" s="76">
        <v>0</v>
      </c>
      <c r="P276" s="76">
        <v>-300</v>
      </c>
      <c r="Q276" s="76">
        <v>0</v>
      </c>
      <c r="R276" s="76">
        <v>0</v>
      </c>
      <c r="S276" s="76">
        <v>96700</v>
      </c>
      <c r="T276" s="76">
        <v>-800</v>
      </c>
      <c r="U276" s="76">
        <v>95900</v>
      </c>
      <c r="V276" s="76">
        <v>0</v>
      </c>
      <c r="W276" s="76">
        <v>200</v>
      </c>
      <c r="X276" s="76">
        <v>-1500</v>
      </c>
      <c r="Y276" s="76">
        <v>0</v>
      </c>
      <c r="Z276" s="76">
        <v>94600</v>
      </c>
      <c r="AA276" s="76">
        <v>270000</v>
      </c>
      <c r="AB276" s="76">
        <v>19600</v>
      </c>
      <c r="AC276" s="76">
        <v>289600</v>
      </c>
      <c r="AD276" s="76">
        <v>13900</v>
      </c>
      <c r="AE276" s="76">
        <v>0</v>
      </c>
      <c r="AF276" s="76">
        <v>0</v>
      </c>
      <c r="AG276" s="76">
        <v>0</v>
      </c>
      <c r="AH276" s="76">
        <v>303500</v>
      </c>
      <c r="AI276" s="76">
        <v>78900</v>
      </c>
      <c r="AJ276" s="76">
        <v>17500</v>
      </c>
      <c r="AK276" s="76">
        <v>28900</v>
      </c>
      <c r="AL276" s="76">
        <v>13000</v>
      </c>
      <c r="AM276" s="76">
        <v>11000</v>
      </c>
      <c r="AN276" s="76">
        <v>2200</v>
      </c>
      <c r="AO276" s="76">
        <v>42200</v>
      </c>
      <c r="AP276" s="76">
        <v>-1700</v>
      </c>
      <c r="AQ276" s="76">
        <v>0</v>
      </c>
      <c r="AR276" s="76">
        <v>192000</v>
      </c>
      <c r="AS276" s="76">
        <v>111500</v>
      </c>
      <c r="AT276" s="76">
        <v>2200</v>
      </c>
      <c r="AU276" s="76">
        <v>2950400</v>
      </c>
      <c r="AV276" s="76">
        <v>0</v>
      </c>
      <c r="AW276" s="76">
        <v>37200</v>
      </c>
      <c r="AX276" s="76">
        <v>0</v>
      </c>
      <c r="AY276" s="76">
        <v>11100</v>
      </c>
      <c r="AZ276" s="76">
        <v>2100</v>
      </c>
      <c r="BA276" s="76">
        <v>0</v>
      </c>
      <c r="BB276" s="76">
        <v>0</v>
      </c>
      <c r="BC276" s="76">
        <v>0</v>
      </c>
      <c r="BD276" s="76">
        <v>95000</v>
      </c>
      <c r="BE276" s="76">
        <v>3095800</v>
      </c>
      <c r="BF276" s="76">
        <v>8100</v>
      </c>
      <c r="BG276" s="76">
        <v>9600</v>
      </c>
      <c r="BH276" s="76">
        <v>32000</v>
      </c>
      <c r="BI276" s="76">
        <v>0</v>
      </c>
      <c r="BJ276" s="76">
        <v>53500</v>
      </c>
      <c r="BK276" s="76">
        <v>103200</v>
      </c>
      <c r="BL276" s="76">
        <v>15900</v>
      </c>
      <c r="BM276" s="76">
        <v>2100</v>
      </c>
      <c r="BN276" s="76">
        <v>14200</v>
      </c>
      <c r="BO276" s="76">
        <v>80400</v>
      </c>
      <c r="BP276" s="76">
        <v>112600</v>
      </c>
      <c r="BQ276" s="76">
        <v>-9400</v>
      </c>
      <c r="BR276" s="76">
        <v>3086400</v>
      </c>
      <c r="BS276" s="76">
        <v>1190800</v>
      </c>
      <c r="BT276" s="76">
        <v>0</v>
      </c>
      <c r="BU276" s="76">
        <v>0</v>
      </c>
      <c r="BV276" s="76">
        <v>1143300</v>
      </c>
      <c r="BW276" s="76">
        <v>0</v>
      </c>
      <c r="BX276" s="76">
        <v>49300</v>
      </c>
      <c r="BY276" s="76">
        <v>13100</v>
      </c>
      <c r="BZ276" s="76">
        <v>2396500</v>
      </c>
      <c r="CA276" s="76">
        <v>6300</v>
      </c>
      <c r="CB276" s="76">
        <v>45100</v>
      </c>
      <c r="CC276" s="76">
        <v>638500</v>
      </c>
      <c r="CD276" s="76">
        <v>638300</v>
      </c>
      <c r="CE276" s="76">
        <v>0</v>
      </c>
      <c r="CF276" s="76">
        <v>200</v>
      </c>
      <c r="CG276" s="76">
        <v>0</v>
      </c>
      <c r="CH276" s="76">
        <v>0</v>
      </c>
      <c r="CI276" s="76">
        <v>638500</v>
      </c>
      <c r="CJ276" s="76">
        <v>8400</v>
      </c>
      <c r="CK276" s="76">
        <v>6400</v>
      </c>
      <c r="CL276" s="76">
        <v>0</v>
      </c>
      <c r="CM276" s="76">
        <v>2000</v>
      </c>
      <c r="CN276" s="76">
        <v>500</v>
      </c>
      <c r="CO276" s="76">
        <v>0</v>
      </c>
      <c r="CP276" s="76">
        <v>0</v>
      </c>
      <c r="CQ276" s="76">
        <v>500</v>
      </c>
      <c r="CR276" s="76">
        <v>0</v>
      </c>
      <c r="CS276" s="76">
        <v>0</v>
      </c>
      <c r="CT276" s="76">
        <v>900</v>
      </c>
      <c r="CU276" s="76">
        <v>-900</v>
      </c>
      <c r="CV276" s="76">
        <v>0</v>
      </c>
      <c r="CW276" s="76">
        <v>0</v>
      </c>
      <c r="CX276" s="76">
        <v>0</v>
      </c>
      <c r="CY276" s="76">
        <v>0</v>
      </c>
      <c r="CZ276" s="76">
        <v>8900</v>
      </c>
      <c r="DA276" s="76">
        <v>0</v>
      </c>
      <c r="DB276" s="76">
        <v>13200</v>
      </c>
      <c r="DC276" s="76">
        <v>-4300</v>
      </c>
      <c r="DD276" s="76">
        <v>17800</v>
      </c>
      <c r="DE276" s="76">
        <v>6400</v>
      </c>
      <c r="DF276" s="76">
        <v>14100</v>
      </c>
      <c r="DG276" s="76">
        <v>-2700</v>
      </c>
      <c r="DH276" s="76">
        <v>13800</v>
      </c>
      <c r="DI276" s="76">
        <v>8700</v>
      </c>
      <c r="DJ276" s="76">
        <v>0</v>
      </c>
      <c r="DK276" s="76">
        <v>5100</v>
      </c>
      <c r="DL276" s="76">
        <v>0</v>
      </c>
      <c r="DM276" s="76">
        <v>0</v>
      </c>
      <c r="DN276" s="76">
        <v>0</v>
      </c>
      <c r="DO276" s="76">
        <v>0</v>
      </c>
      <c r="DP276" s="76">
        <v>0</v>
      </c>
      <c r="DQ276" s="76">
        <v>0</v>
      </c>
      <c r="DR276" s="76">
        <v>0</v>
      </c>
      <c r="DS276" s="76">
        <v>0</v>
      </c>
      <c r="DT276" s="76">
        <v>0</v>
      </c>
      <c r="DU276" s="76">
        <v>0</v>
      </c>
      <c r="DV276" s="76">
        <v>0</v>
      </c>
      <c r="DW276" s="76">
        <v>0</v>
      </c>
      <c r="DX276" s="76">
        <v>0</v>
      </c>
      <c r="DY276" s="76">
        <v>0</v>
      </c>
      <c r="DZ276" s="76">
        <v>0</v>
      </c>
      <c r="EA276" s="76">
        <v>0</v>
      </c>
      <c r="EB276" s="76">
        <v>300</v>
      </c>
      <c r="EC276" s="76">
        <v>1100</v>
      </c>
      <c r="ED276" s="76">
        <v>0</v>
      </c>
      <c r="EE276" s="76">
        <v>-800</v>
      </c>
      <c r="EF276" s="76">
        <v>14100</v>
      </c>
      <c r="EG276" s="76">
        <v>9800</v>
      </c>
      <c r="EH276" s="76">
        <v>0</v>
      </c>
      <c r="EI276" s="76">
        <v>4300</v>
      </c>
      <c r="EJ276" s="76">
        <v>31900</v>
      </c>
      <c r="EK276" s="76">
        <v>16200</v>
      </c>
      <c r="EL276" s="76">
        <v>14100</v>
      </c>
      <c r="EM276" s="76">
        <v>1600</v>
      </c>
      <c r="EN276" s="76">
        <v>15300</v>
      </c>
      <c r="EO276" s="76">
        <v>7000</v>
      </c>
      <c r="EP276" s="76">
        <v>5700</v>
      </c>
      <c r="EQ276" s="76">
        <v>7000</v>
      </c>
      <c r="ER276" s="76">
        <v>3254500</v>
      </c>
      <c r="ES276" s="76">
        <v>0</v>
      </c>
      <c r="ET276" s="76">
        <v>3254500</v>
      </c>
      <c r="EU276" s="76">
        <v>68300</v>
      </c>
      <c r="EV276" s="76">
        <v>-27300</v>
      </c>
      <c r="EW276" s="76">
        <v>243300</v>
      </c>
      <c r="EX276" s="76">
        <v>0</v>
      </c>
      <c r="EY276" s="76">
        <v>0</v>
      </c>
      <c r="EZ276" s="76">
        <v>3538800</v>
      </c>
      <c r="FA276" s="76">
        <v>558200</v>
      </c>
      <c r="FB276" s="76">
        <v>42700</v>
      </c>
      <c r="FC276" s="76">
        <v>-1700</v>
      </c>
      <c r="FD276" s="76">
        <v>0</v>
      </c>
      <c r="FE276" s="76">
        <v>-10800</v>
      </c>
      <c r="FF276" s="76">
        <v>0</v>
      </c>
      <c r="FG276" s="76">
        <v>0</v>
      </c>
      <c r="FH276" s="76">
        <v>588400</v>
      </c>
      <c r="FI276" s="76">
        <v>2950400</v>
      </c>
      <c r="FJ276" s="76">
        <v>2696300</v>
      </c>
      <c r="FK276" s="76">
        <v>13400</v>
      </c>
      <c r="FL276" s="76">
        <v>6900</v>
      </c>
      <c r="FM276" s="76">
        <v>6500</v>
      </c>
      <c r="FN276" s="76">
        <v>1600</v>
      </c>
      <c r="FO276" s="76">
        <v>700</v>
      </c>
      <c r="FP276" s="76">
        <v>900</v>
      </c>
      <c r="FQ276" s="76">
        <v>500</v>
      </c>
      <c r="FR276" s="76">
        <v>800</v>
      </c>
      <c r="FS276" s="76">
        <v>-300</v>
      </c>
      <c r="FT276" s="76">
        <v>3900</v>
      </c>
      <c r="FU276" s="76">
        <v>3300</v>
      </c>
      <c r="FV276" s="76">
        <v>600</v>
      </c>
      <c r="FW276" s="76">
        <v>0</v>
      </c>
      <c r="FX276" s="76">
        <v>0</v>
      </c>
      <c r="FY276" s="76">
        <v>0</v>
      </c>
      <c r="FZ276" s="76">
        <v>5400</v>
      </c>
      <c r="GA276" s="76">
        <v>3700</v>
      </c>
      <c r="GB276" s="76">
        <v>1700</v>
      </c>
      <c r="GC276" s="76">
        <v>24800</v>
      </c>
      <c r="GD276" s="76">
        <v>15400</v>
      </c>
      <c r="GE276" s="76">
        <v>9400</v>
      </c>
      <c r="GF276" s="76">
        <v>44900</v>
      </c>
      <c r="GG276" s="76">
        <v>0</v>
      </c>
      <c r="GH276" s="76">
        <v>700</v>
      </c>
      <c r="GI276" s="76">
        <v>0</v>
      </c>
      <c r="GJ276" s="76">
        <v>0</v>
      </c>
      <c r="GK276" s="76">
        <v>7900</v>
      </c>
      <c r="GL276" s="76">
        <v>53500</v>
      </c>
      <c r="GM276" s="76">
        <v>4200</v>
      </c>
      <c r="GN276" s="76">
        <v>9000</v>
      </c>
      <c r="GO276" s="76">
        <v>10800</v>
      </c>
      <c r="GP276" s="76">
        <v>6700</v>
      </c>
      <c r="GQ276" s="76">
        <v>300</v>
      </c>
      <c r="GR276" s="76">
        <v>31500</v>
      </c>
      <c r="GS276" s="76">
        <v>0</v>
      </c>
      <c r="GT276" s="76">
        <v>0</v>
      </c>
      <c r="GU276" s="76">
        <v>0</v>
      </c>
      <c r="GV276" s="76">
        <v>0</v>
      </c>
      <c r="GW276" s="76">
        <v>17900</v>
      </c>
      <c r="GX276" s="76">
        <v>80400</v>
      </c>
      <c r="GY276" s="76">
        <v>11200</v>
      </c>
      <c r="GZ276" s="76">
        <v>1100</v>
      </c>
      <c r="HA276" s="76">
        <v>0</v>
      </c>
      <c r="HB276" s="76">
        <v>800</v>
      </c>
      <c r="HC276" s="76">
        <v>13100</v>
      </c>
      <c r="HD276" s="76">
        <v>800</v>
      </c>
      <c r="HE276" s="76">
        <v>44300</v>
      </c>
      <c r="HF276" s="76">
        <v>45100</v>
      </c>
      <c r="HG276" s="76">
        <v>59700</v>
      </c>
      <c r="HH276" s="76">
        <v>-200</v>
      </c>
      <c r="HI276" s="76">
        <v>900</v>
      </c>
      <c r="HJ276" s="76">
        <v>0</v>
      </c>
      <c r="HK276" s="76">
        <v>0</v>
      </c>
      <c r="HL276" s="76">
        <v>-2200</v>
      </c>
      <c r="HM276" s="76">
        <v>58200</v>
      </c>
      <c r="HN276" s="76">
        <v>18700</v>
      </c>
      <c r="HO276" s="76">
        <v>47100</v>
      </c>
      <c r="HP276" s="76">
        <v>-1700</v>
      </c>
      <c r="HQ276" s="76">
        <v>445</v>
      </c>
      <c r="HR276" s="76">
        <v>-242</v>
      </c>
      <c r="HS276" s="76">
        <v>5609</v>
      </c>
      <c r="HT276" s="76">
        <v>64303</v>
      </c>
      <c r="HU276" s="76">
        <v>0</v>
      </c>
      <c r="HV276" s="76">
        <v>0</v>
      </c>
      <c r="HW276" s="76">
        <v>44</v>
      </c>
      <c r="HX276" s="76">
        <v>270</v>
      </c>
    </row>
    <row r="277" spans="1:232" x14ac:dyDescent="0.2">
      <c r="A277" s="71" t="s">
        <v>750</v>
      </c>
      <c r="B277" s="71" t="s">
        <v>751</v>
      </c>
      <c r="C277" s="72" t="s">
        <v>200</v>
      </c>
      <c r="D277" s="72">
        <v>12</v>
      </c>
      <c r="E277" s="73">
        <v>34992</v>
      </c>
      <c r="F277" s="73">
        <v>-523</v>
      </c>
      <c r="G277" s="73">
        <v>-22642</v>
      </c>
      <c r="H277" s="73">
        <v>11827</v>
      </c>
      <c r="I277" s="73">
        <v>557</v>
      </c>
      <c r="J277" s="73">
        <v>0</v>
      </c>
      <c r="K277" s="73">
        <v>0</v>
      </c>
      <c r="L277" s="73">
        <v>0</v>
      </c>
      <c r="M277" s="73">
        <v>3</v>
      </c>
      <c r="N277" s="73">
        <v>-7119</v>
      </c>
      <c r="O277" s="73">
        <v>0</v>
      </c>
      <c r="P277" s="73">
        <v>0</v>
      </c>
      <c r="Q277" s="73">
        <v>0</v>
      </c>
      <c r="R277" s="73">
        <v>0</v>
      </c>
      <c r="S277" s="73">
        <v>5268</v>
      </c>
      <c r="T277" s="73">
        <v>0</v>
      </c>
      <c r="U277" s="73">
        <v>5268</v>
      </c>
      <c r="V277" s="73">
        <v>0</v>
      </c>
      <c r="W277" s="73">
        <v>398</v>
      </c>
      <c r="X277" s="73">
        <v>0</v>
      </c>
      <c r="Y277" s="73">
        <v>0</v>
      </c>
      <c r="Z277" s="73">
        <v>5666</v>
      </c>
      <c r="AA277" s="73">
        <v>32367</v>
      </c>
      <c r="AB277" s="73">
        <v>1091</v>
      </c>
      <c r="AC277" s="73">
        <v>33458</v>
      </c>
      <c r="AD277" s="73">
        <v>80</v>
      </c>
      <c r="AE277" s="73">
        <v>0</v>
      </c>
      <c r="AF277" s="73">
        <v>0</v>
      </c>
      <c r="AG277" s="73">
        <v>338</v>
      </c>
      <c r="AH277" s="73">
        <v>33876</v>
      </c>
      <c r="AI277" s="73">
        <v>3617</v>
      </c>
      <c r="AJ277" s="73">
        <v>1955</v>
      </c>
      <c r="AK277" s="73">
        <v>3511</v>
      </c>
      <c r="AL277" s="73">
        <v>2104</v>
      </c>
      <c r="AM277" s="73">
        <v>4708</v>
      </c>
      <c r="AN277" s="73">
        <v>11</v>
      </c>
      <c r="AO277" s="73">
        <v>5572</v>
      </c>
      <c r="AP277" s="73">
        <v>0</v>
      </c>
      <c r="AQ277" s="73">
        <v>12</v>
      </c>
      <c r="AR277" s="73">
        <v>21490</v>
      </c>
      <c r="AS277" s="73">
        <v>12386</v>
      </c>
      <c r="AT277" s="73">
        <v>285</v>
      </c>
      <c r="AU277" s="73">
        <v>282489</v>
      </c>
      <c r="AV277" s="73">
        <v>0</v>
      </c>
      <c r="AW277" s="73">
        <v>3461</v>
      </c>
      <c r="AX277" s="73">
        <v>541</v>
      </c>
      <c r="AY277" s="73">
        <v>0</v>
      </c>
      <c r="AZ277" s="73">
        <v>0</v>
      </c>
      <c r="BA277" s="73">
        <v>0</v>
      </c>
      <c r="BB277" s="73">
        <v>0</v>
      </c>
      <c r="BC277" s="73">
        <v>0</v>
      </c>
      <c r="BD277" s="73">
        <v>0</v>
      </c>
      <c r="BE277" s="73">
        <v>286491</v>
      </c>
      <c r="BF277" s="73">
        <v>2383</v>
      </c>
      <c r="BG277" s="73">
        <v>2183</v>
      </c>
      <c r="BH277" s="73">
        <v>8457</v>
      </c>
      <c r="BI277" s="73">
        <v>0</v>
      </c>
      <c r="BJ277" s="73">
        <v>150</v>
      </c>
      <c r="BK277" s="73">
        <v>13173</v>
      </c>
      <c r="BL277" s="73">
        <v>0</v>
      </c>
      <c r="BM277" s="73">
        <v>0</v>
      </c>
      <c r="BN277" s="73">
        <v>104</v>
      </c>
      <c r="BO277" s="73">
        <v>10368</v>
      </c>
      <c r="BP277" s="73">
        <v>10472</v>
      </c>
      <c r="BQ277" s="73">
        <v>2701</v>
      </c>
      <c r="BR277" s="73">
        <v>289192</v>
      </c>
      <c r="BS277" s="73">
        <v>155839</v>
      </c>
      <c r="BT277" s="73">
        <v>0</v>
      </c>
      <c r="BU277" s="73">
        <v>0</v>
      </c>
      <c r="BV277" s="73">
        <v>10614</v>
      </c>
      <c r="BW277" s="73">
        <v>0</v>
      </c>
      <c r="BX277" s="73">
        <v>0</v>
      </c>
      <c r="BY277" s="73">
        <v>432</v>
      </c>
      <c r="BZ277" s="73">
        <v>166885</v>
      </c>
      <c r="CA277" s="73">
        <v>3680</v>
      </c>
      <c r="CB277" s="73">
        <v>0</v>
      </c>
      <c r="CC277" s="73">
        <v>118627</v>
      </c>
      <c r="CD277" s="73">
        <v>29932</v>
      </c>
      <c r="CE277" s="73">
        <v>88695</v>
      </c>
      <c r="CF277" s="73">
        <v>0</v>
      </c>
      <c r="CG277" s="73">
        <v>0</v>
      </c>
      <c r="CH277" s="73">
        <v>0</v>
      </c>
      <c r="CI277" s="73">
        <v>118627</v>
      </c>
      <c r="CJ277" s="73">
        <v>867</v>
      </c>
      <c r="CK277" s="73">
        <v>523</v>
      </c>
      <c r="CL277" s="73">
        <v>0</v>
      </c>
      <c r="CM277" s="73">
        <v>344</v>
      </c>
      <c r="CN277" s="73">
        <v>249</v>
      </c>
      <c r="CO277" s="73">
        <v>0</v>
      </c>
      <c r="CP277" s="73">
        <v>249</v>
      </c>
      <c r="CQ277" s="73">
        <v>0</v>
      </c>
      <c r="CR277" s="73">
        <v>0</v>
      </c>
      <c r="CS277" s="73">
        <v>0</v>
      </c>
      <c r="CT277" s="73">
        <v>0</v>
      </c>
      <c r="CU277" s="73">
        <v>0</v>
      </c>
      <c r="CV277" s="73">
        <v>0</v>
      </c>
      <c r="CW277" s="73">
        <v>0</v>
      </c>
      <c r="CX277" s="73">
        <v>0</v>
      </c>
      <c r="CY277" s="73">
        <v>0</v>
      </c>
      <c r="CZ277" s="73">
        <v>0</v>
      </c>
      <c r="DA277" s="73">
        <v>0</v>
      </c>
      <c r="DB277" s="73">
        <v>707</v>
      </c>
      <c r="DC277" s="73">
        <v>-707</v>
      </c>
      <c r="DD277" s="73">
        <v>1116</v>
      </c>
      <c r="DE277" s="73">
        <v>523</v>
      </c>
      <c r="DF277" s="73">
        <v>956</v>
      </c>
      <c r="DG277" s="73">
        <v>-363</v>
      </c>
      <c r="DH277" s="73">
        <v>0</v>
      </c>
      <c r="DI277" s="73">
        <v>0</v>
      </c>
      <c r="DJ277" s="73">
        <v>0</v>
      </c>
      <c r="DK277" s="73">
        <v>0</v>
      </c>
      <c r="DL277" s="73">
        <v>0</v>
      </c>
      <c r="DM277" s="73">
        <v>0</v>
      </c>
      <c r="DN277" s="73">
        <v>0</v>
      </c>
      <c r="DO277" s="73">
        <v>0</v>
      </c>
      <c r="DP277" s="73">
        <v>0</v>
      </c>
      <c r="DQ277" s="73">
        <v>0</v>
      </c>
      <c r="DR277" s="73">
        <v>0</v>
      </c>
      <c r="DS277" s="73">
        <v>0</v>
      </c>
      <c r="DT277" s="73">
        <v>0</v>
      </c>
      <c r="DU277" s="73">
        <v>0</v>
      </c>
      <c r="DV277" s="73">
        <v>0</v>
      </c>
      <c r="DW277" s="73">
        <v>0</v>
      </c>
      <c r="DX277" s="73">
        <v>0</v>
      </c>
      <c r="DY277" s="73">
        <v>0</v>
      </c>
      <c r="DZ277" s="73">
        <v>0</v>
      </c>
      <c r="EA277" s="73">
        <v>0</v>
      </c>
      <c r="EB277" s="73">
        <v>0</v>
      </c>
      <c r="EC277" s="73">
        <v>0</v>
      </c>
      <c r="ED277" s="73">
        <v>196</v>
      </c>
      <c r="EE277" s="73">
        <v>-196</v>
      </c>
      <c r="EF277" s="73">
        <v>0</v>
      </c>
      <c r="EG277" s="73">
        <v>0</v>
      </c>
      <c r="EH277" s="73">
        <v>196</v>
      </c>
      <c r="EI277" s="73">
        <v>-196</v>
      </c>
      <c r="EJ277" s="73">
        <v>1116</v>
      </c>
      <c r="EK277" s="73">
        <v>523</v>
      </c>
      <c r="EL277" s="73">
        <v>1152</v>
      </c>
      <c r="EM277" s="73">
        <v>-559</v>
      </c>
      <c r="EN277" s="73">
        <v>1174</v>
      </c>
      <c r="EO277" s="73">
        <v>167</v>
      </c>
      <c r="EP277" s="73">
        <v>188</v>
      </c>
      <c r="EQ277" s="73">
        <v>167</v>
      </c>
      <c r="ER277" s="73">
        <v>294576</v>
      </c>
      <c r="ES277" s="73">
        <v>0</v>
      </c>
      <c r="ET277" s="73">
        <v>294576</v>
      </c>
      <c r="EU277" s="73">
        <v>24175</v>
      </c>
      <c r="EV277" s="73">
        <v>-2411</v>
      </c>
      <c r="EW277" s="73">
        <v>0</v>
      </c>
      <c r="EX277" s="73">
        <v>0</v>
      </c>
      <c r="EY277" s="73">
        <v>0</v>
      </c>
      <c r="EZ277" s="73">
        <v>316340</v>
      </c>
      <c r="FA277" s="73">
        <v>28901</v>
      </c>
      <c r="FB277" s="73">
        <v>5572</v>
      </c>
      <c r="FC277" s="73">
        <v>0</v>
      </c>
      <c r="FD277" s="73">
        <v>0</v>
      </c>
      <c r="FE277" s="73">
        <v>-622</v>
      </c>
      <c r="FF277" s="73">
        <v>0</v>
      </c>
      <c r="FG277" s="73">
        <v>0</v>
      </c>
      <c r="FH277" s="73">
        <v>33851</v>
      </c>
      <c r="FI277" s="73">
        <v>282489</v>
      </c>
      <c r="FJ277" s="73">
        <v>265675</v>
      </c>
      <c r="FK277" s="73">
        <v>203</v>
      </c>
      <c r="FL277" s="73">
        <v>126</v>
      </c>
      <c r="FM277" s="73">
        <v>77</v>
      </c>
      <c r="FN277" s="73">
        <v>2135</v>
      </c>
      <c r="FO277" s="73">
        <v>2810</v>
      </c>
      <c r="FP277" s="73">
        <v>-675</v>
      </c>
      <c r="FQ277" s="73">
        <v>453</v>
      </c>
      <c r="FR277" s="73">
        <v>576</v>
      </c>
      <c r="FS277" s="73">
        <v>-123</v>
      </c>
      <c r="FT277" s="73">
        <v>1521</v>
      </c>
      <c r="FU277" s="73">
        <v>307</v>
      </c>
      <c r="FV277" s="73">
        <v>1214</v>
      </c>
      <c r="FW277" s="73">
        <v>0</v>
      </c>
      <c r="FX277" s="73">
        <v>0</v>
      </c>
      <c r="FY277" s="73">
        <v>0</v>
      </c>
      <c r="FZ277" s="73">
        <v>67</v>
      </c>
      <c r="GA277" s="73">
        <v>3</v>
      </c>
      <c r="GB277" s="73">
        <v>64</v>
      </c>
      <c r="GC277" s="73">
        <v>4379</v>
      </c>
      <c r="GD277" s="73">
        <v>3822</v>
      </c>
      <c r="GE277" s="73">
        <v>557</v>
      </c>
      <c r="GF277" s="73">
        <v>0</v>
      </c>
      <c r="GG277" s="73">
        <v>0</v>
      </c>
      <c r="GH277" s="73">
        <v>0</v>
      </c>
      <c r="GI277" s="73">
        <v>0</v>
      </c>
      <c r="GJ277" s="73">
        <v>0</v>
      </c>
      <c r="GK277" s="73">
        <v>150</v>
      </c>
      <c r="GL277" s="73">
        <v>150</v>
      </c>
      <c r="GM277" s="73">
        <v>1415</v>
      </c>
      <c r="GN277" s="73">
        <v>502</v>
      </c>
      <c r="GO277" s="73">
        <v>0</v>
      </c>
      <c r="GP277" s="73">
        <v>0</v>
      </c>
      <c r="GQ277" s="73">
        <v>0</v>
      </c>
      <c r="GR277" s="73">
        <v>6915</v>
      </c>
      <c r="GS277" s="73">
        <v>0</v>
      </c>
      <c r="GT277" s="73">
        <v>0</v>
      </c>
      <c r="GU277" s="73">
        <v>0</v>
      </c>
      <c r="GV277" s="73">
        <v>0</v>
      </c>
      <c r="GW277" s="73">
        <v>1536</v>
      </c>
      <c r="GX277" s="73">
        <v>10368</v>
      </c>
      <c r="GY277" s="73">
        <v>15</v>
      </c>
      <c r="GZ277" s="73">
        <v>417</v>
      </c>
      <c r="HA277" s="73">
        <v>0</v>
      </c>
      <c r="HB277" s="73">
        <v>0</v>
      </c>
      <c r="HC277" s="73">
        <v>432</v>
      </c>
      <c r="HD277" s="73">
        <v>0</v>
      </c>
      <c r="HE277" s="73">
        <v>0</v>
      </c>
      <c r="HF277" s="73">
        <v>0</v>
      </c>
      <c r="HG277" s="73">
        <v>6847</v>
      </c>
      <c r="HH277" s="73">
        <v>0</v>
      </c>
      <c r="HI277" s="73">
        <v>0</v>
      </c>
      <c r="HJ277" s="73">
        <v>0</v>
      </c>
      <c r="HK277" s="73">
        <v>768</v>
      </c>
      <c r="HL277" s="73">
        <v>-496</v>
      </c>
      <c r="HM277" s="73">
        <v>7119</v>
      </c>
      <c r="HN277" s="73">
        <v>4039</v>
      </c>
      <c r="HO277" s="73">
        <v>5762</v>
      </c>
      <c r="HP277" s="73">
        <v>0</v>
      </c>
      <c r="HQ277" s="73">
        <v>166</v>
      </c>
      <c r="HR277" s="73">
        <v>-91</v>
      </c>
      <c r="HS277" s="73">
        <v>-4</v>
      </c>
      <c r="HT277" s="73">
        <v>6244</v>
      </c>
      <c r="HU277" s="73">
        <v>0</v>
      </c>
      <c r="HV277" s="73">
        <v>0</v>
      </c>
      <c r="HW277" s="73">
        <v>0</v>
      </c>
      <c r="HX277" s="73">
        <v>0</v>
      </c>
    </row>
    <row r="278" spans="1:232" x14ac:dyDescent="0.2">
      <c r="A278" s="74" t="s">
        <v>754</v>
      </c>
      <c r="B278" s="74" t="s">
        <v>755</v>
      </c>
      <c r="C278" s="75" t="s">
        <v>200</v>
      </c>
      <c r="D278" s="75">
        <v>12</v>
      </c>
      <c r="E278" s="76">
        <v>9874</v>
      </c>
      <c r="F278" s="76">
        <v>0</v>
      </c>
      <c r="G278" s="76">
        <v>-7140</v>
      </c>
      <c r="H278" s="76">
        <v>2734</v>
      </c>
      <c r="I278" s="76">
        <v>189</v>
      </c>
      <c r="J278" s="76">
        <v>0</v>
      </c>
      <c r="K278" s="76">
        <v>0</v>
      </c>
      <c r="L278" s="76">
        <v>0</v>
      </c>
      <c r="M278" s="76">
        <v>26</v>
      </c>
      <c r="N278" s="76">
        <v>-614</v>
      </c>
      <c r="O278" s="76">
        <v>271</v>
      </c>
      <c r="P278" s="76">
        <v>0</v>
      </c>
      <c r="Q278" s="76">
        <v>0</v>
      </c>
      <c r="R278" s="76">
        <v>0</v>
      </c>
      <c r="S278" s="76">
        <v>2606</v>
      </c>
      <c r="T278" s="76">
        <v>0</v>
      </c>
      <c r="U278" s="76">
        <v>2606</v>
      </c>
      <c r="V278" s="76">
        <v>0</v>
      </c>
      <c r="W278" s="76">
        <v>746</v>
      </c>
      <c r="X278" s="76">
        <v>0</v>
      </c>
      <c r="Y278" s="76">
        <v>0</v>
      </c>
      <c r="Z278" s="76">
        <v>3352</v>
      </c>
      <c r="AA278" s="76">
        <v>7245</v>
      </c>
      <c r="AB278" s="76">
        <v>1754</v>
      </c>
      <c r="AC278" s="76">
        <v>8999</v>
      </c>
      <c r="AD278" s="76">
        <v>625</v>
      </c>
      <c r="AE278" s="76">
        <v>0</v>
      </c>
      <c r="AF278" s="76">
        <v>0</v>
      </c>
      <c r="AG278" s="76">
        <v>0</v>
      </c>
      <c r="AH278" s="76">
        <v>9624</v>
      </c>
      <c r="AI278" s="76">
        <v>1449</v>
      </c>
      <c r="AJ278" s="76">
        <v>1755</v>
      </c>
      <c r="AK278" s="76">
        <v>1694</v>
      </c>
      <c r="AL278" s="76">
        <v>237</v>
      </c>
      <c r="AM278" s="76">
        <v>479</v>
      </c>
      <c r="AN278" s="76">
        <v>20</v>
      </c>
      <c r="AO278" s="76">
        <v>1175</v>
      </c>
      <c r="AP278" s="76">
        <v>0</v>
      </c>
      <c r="AQ278" s="76">
        <v>0</v>
      </c>
      <c r="AR278" s="76">
        <v>6809</v>
      </c>
      <c r="AS278" s="76">
        <v>2815</v>
      </c>
      <c r="AT278" s="76">
        <v>98</v>
      </c>
      <c r="AU278" s="76">
        <v>62564</v>
      </c>
      <c r="AV278" s="76">
        <v>0</v>
      </c>
      <c r="AW278" s="76">
        <v>361</v>
      </c>
      <c r="AX278" s="76">
        <v>0</v>
      </c>
      <c r="AY278" s="76">
        <v>0</v>
      </c>
      <c r="AZ278" s="76">
        <v>2717</v>
      </c>
      <c r="BA278" s="76">
        <v>0</v>
      </c>
      <c r="BB278" s="76">
        <v>0</v>
      </c>
      <c r="BC278" s="76">
        <v>0</v>
      </c>
      <c r="BD278" s="76">
        <v>1423</v>
      </c>
      <c r="BE278" s="76">
        <v>67065</v>
      </c>
      <c r="BF278" s="76">
        <v>232</v>
      </c>
      <c r="BG278" s="76">
        <v>349</v>
      </c>
      <c r="BH278" s="76">
        <v>1606</v>
      </c>
      <c r="BI278" s="76">
        <v>1000</v>
      </c>
      <c r="BJ278" s="76">
        <v>132</v>
      </c>
      <c r="BK278" s="76">
        <v>3319</v>
      </c>
      <c r="BL278" s="76">
        <v>154</v>
      </c>
      <c r="BM278" s="76">
        <v>0</v>
      </c>
      <c r="BN278" s="76">
        <v>609</v>
      </c>
      <c r="BO278" s="76">
        <v>931</v>
      </c>
      <c r="BP278" s="76">
        <v>1694</v>
      </c>
      <c r="BQ278" s="76">
        <v>1625</v>
      </c>
      <c r="BR278" s="76">
        <v>68690</v>
      </c>
      <c r="BS278" s="76">
        <v>9309</v>
      </c>
      <c r="BT278" s="76">
        <v>0</v>
      </c>
      <c r="BU278" s="76">
        <v>0</v>
      </c>
      <c r="BV278" s="76">
        <v>29794</v>
      </c>
      <c r="BW278" s="76">
        <v>0</v>
      </c>
      <c r="BX278" s="76">
        <v>0</v>
      </c>
      <c r="BY278" s="76">
        <v>144</v>
      </c>
      <c r="BZ278" s="76">
        <v>39247</v>
      </c>
      <c r="CA278" s="76">
        <v>0</v>
      </c>
      <c r="CB278" s="76">
        <v>0</v>
      </c>
      <c r="CC278" s="76">
        <v>29443</v>
      </c>
      <c r="CD278" s="76">
        <v>29443</v>
      </c>
      <c r="CE278" s="76">
        <v>0</v>
      </c>
      <c r="CF278" s="76">
        <v>0</v>
      </c>
      <c r="CG278" s="76">
        <v>0</v>
      </c>
      <c r="CH278" s="76">
        <v>0</v>
      </c>
      <c r="CI278" s="76">
        <v>29443</v>
      </c>
      <c r="CJ278" s="76">
        <v>0</v>
      </c>
      <c r="CK278" s="76">
        <v>0</v>
      </c>
      <c r="CL278" s="76">
        <v>0</v>
      </c>
      <c r="CM278" s="76">
        <v>0</v>
      </c>
      <c r="CN278" s="76">
        <v>0</v>
      </c>
      <c r="CO278" s="76">
        <v>0</v>
      </c>
      <c r="CP278" s="76">
        <v>0</v>
      </c>
      <c r="CQ278" s="76">
        <v>0</v>
      </c>
      <c r="CR278" s="76">
        <v>0</v>
      </c>
      <c r="CS278" s="76">
        <v>0</v>
      </c>
      <c r="CT278" s="76">
        <v>73</v>
      </c>
      <c r="CU278" s="76">
        <v>-73</v>
      </c>
      <c r="CV278" s="76">
        <v>0</v>
      </c>
      <c r="CW278" s="76">
        <v>0</v>
      </c>
      <c r="CX278" s="76">
        <v>177</v>
      </c>
      <c r="CY278" s="76">
        <v>-177</v>
      </c>
      <c r="CZ278" s="76">
        <v>0</v>
      </c>
      <c r="DA278" s="76">
        <v>0</v>
      </c>
      <c r="DB278" s="76">
        <v>0</v>
      </c>
      <c r="DC278" s="76">
        <v>0</v>
      </c>
      <c r="DD278" s="76">
        <v>0</v>
      </c>
      <c r="DE278" s="76">
        <v>0</v>
      </c>
      <c r="DF278" s="76">
        <v>250</v>
      </c>
      <c r="DG278" s="76">
        <v>-250</v>
      </c>
      <c r="DH278" s="76">
        <v>0</v>
      </c>
      <c r="DI278" s="76">
        <v>0</v>
      </c>
      <c r="DJ278" s="76">
        <v>0</v>
      </c>
      <c r="DK278" s="76">
        <v>0</v>
      </c>
      <c r="DL278" s="76">
        <v>0</v>
      </c>
      <c r="DM278" s="76">
        <v>0</v>
      </c>
      <c r="DN278" s="76">
        <v>0</v>
      </c>
      <c r="DO278" s="76">
        <v>0</v>
      </c>
      <c r="DP278" s="76">
        <v>0</v>
      </c>
      <c r="DQ278" s="76">
        <v>0</v>
      </c>
      <c r="DR278" s="76">
        <v>0</v>
      </c>
      <c r="DS278" s="76">
        <v>0</v>
      </c>
      <c r="DT278" s="76">
        <v>0</v>
      </c>
      <c r="DU278" s="76">
        <v>0</v>
      </c>
      <c r="DV278" s="76">
        <v>0</v>
      </c>
      <c r="DW278" s="76">
        <v>0</v>
      </c>
      <c r="DX278" s="76">
        <v>0</v>
      </c>
      <c r="DY278" s="76">
        <v>0</v>
      </c>
      <c r="DZ278" s="76">
        <v>0</v>
      </c>
      <c r="EA278" s="76">
        <v>0</v>
      </c>
      <c r="EB278" s="76">
        <v>250</v>
      </c>
      <c r="EC278" s="76">
        <v>0</v>
      </c>
      <c r="ED278" s="76">
        <v>81</v>
      </c>
      <c r="EE278" s="76">
        <v>169</v>
      </c>
      <c r="EF278" s="76">
        <v>250</v>
      </c>
      <c r="EG278" s="76">
        <v>0</v>
      </c>
      <c r="EH278" s="76">
        <v>81</v>
      </c>
      <c r="EI278" s="76">
        <v>169</v>
      </c>
      <c r="EJ278" s="76">
        <v>250</v>
      </c>
      <c r="EK278" s="76">
        <v>0</v>
      </c>
      <c r="EL278" s="76">
        <v>331</v>
      </c>
      <c r="EM278" s="76">
        <v>-81</v>
      </c>
      <c r="EN278" s="76">
        <v>139</v>
      </c>
      <c r="EO278" s="76">
        <v>3</v>
      </c>
      <c r="EP278" s="76">
        <v>112</v>
      </c>
      <c r="EQ278" s="76">
        <v>3</v>
      </c>
      <c r="ER278" s="76">
        <v>79250</v>
      </c>
      <c r="ES278" s="76">
        <v>0</v>
      </c>
      <c r="ET278" s="76">
        <v>79250</v>
      </c>
      <c r="EU278" s="76">
        <v>6794</v>
      </c>
      <c r="EV278" s="76">
        <v>-836</v>
      </c>
      <c r="EW278" s="76">
        <v>0</v>
      </c>
      <c r="EX278" s="76">
        <v>0</v>
      </c>
      <c r="EY278" s="76">
        <v>-4315</v>
      </c>
      <c r="EZ278" s="76">
        <v>80893</v>
      </c>
      <c r="FA278" s="76">
        <v>17500</v>
      </c>
      <c r="FB278" s="76">
        <v>1175</v>
      </c>
      <c r="FC278" s="76">
        <v>0</v>
      </c>
      <c r="FD278" s="76">
        <v>0</v>
      </c>
      <c r="FE278" s="76">
        <v>-346</v>
      </c>
      <c r="FF278" s="76">
        <v>0</v>
      </c>
      <c r="FG278" s="76">
        <v>0</v>
      </c>
      <c r="FH278" s="76">
        <v>18329</v>
      </c>
      <c r="FI278" s="76">
        <v>62564</v>
      </c>
      <c r="FJ278" s="76">
        <v>61750</v>
      </c>
      <c r="FK278" s="76">
        <v>449</v>
      </c>
      <c r="FL278" s="76">
        <v>260</v>
      </c>
      <c r="FM278" s="76">
        <v>189</v>
      </c>
      <c r="FN278" s="76">
        <v>0</v>
      </c>
      <c r="FO278" s="76">
        <v>0</v>
      </c>
      <c r="FP278" s="76">
        <v>0</v>
      </c>
      <c r="FQ278" s="76">
        <v>0</v>
      </c>
      <c r="FR278" s="76">
        <v>0</v>
      </c>
      <c r="FS278" s="76">
        <v>0</v>
      </c>
      <c r="FT278" s="76">
        <v>0</v>
      </c>
      <c r="FU278" s="76">
        <v>0</v>
      </c>
      <c r="FV278" s="76">
        <v>0</v>
      </c>
      <c r="FW278" s="76">
        <v>0</v>
      </c>
      <c r="FX278" s="76">
        <v>0</v>
      </c>
      <c r="FY278" s="76">
        <v>0</v>
      </c>
      <c r="FZ278" s="76">
        <v>0</v>
      </c>
      <c r="GA278" s="76">
        <v>0</v>
      </c>
      <c r="GB278" s="76">
        <v>0</v>
      </c>
      <c r="GC278" s="76">
        <v>449</v>
      </c>
      <c r="GD278" s="76">
        <v>260</v>
      </c>
      <c r="GE278" s="76">
        <v>189</v>
      </c>
      <c r="GF278" s="76">
        <v>0</v>
      </c>
      <c r="GG278" s="76">
        <v>13</v>
      </c>
      <c r="GH278" s="76">
        <v>0</v>
      </c>
      <c r="GI278" s="76">
        <v>0</v>
      </c>
      <c r="GJ278" s="76">
        <v>0</v>
      </c>
      <c r="GK278" s="76">
        <v>119</v>
      </c>
      <c r="GL278" s="76">
        <v>132</v>
      </c>
      <c r="GM278" s="76">
        <v>331</v>
      </c>
      <c r="GN278" s="76">
        <v>264</v>
      </c>
      <c r="GO278" s="76">
        <v>0</v>
      </c>
      <c r="GP278" s="76">
        <v>20</v>
      </c>
      <c r="GQ278" s="76">
        <v>0</v>
      </c>
      <c r="GR278" s="76">
        <v>258</v>
      </c>
      <c r="GS278" s="76">
        <v>0</v>
      </c>
      <c r="GT278" s="76">
        <v>0</v>
      </c>
      <c r="GU278" s="76">
        <v>0</v>
      </c>
      <c r="GV278" s="76">
        <v>0</v>
      </c>
      <c r="GW278" s="76">
        <v>58</v>
      </c>
      <c r="GX278" s="76">
        <v>931</v>
      </c>
      <c r="GY278" s="76">
        <v>144</v>
      </c>
      <c r="GZ278" s="76">
        <v>0</v>
      </c>
      <c r="HA278" s="76">
        <v>0</v>
      </c>
      <c r="HB278" s="76">
        <v>0</v>
      </c>
      <c r="HC278" s="76">
        <v>144</v>
      </c>
      <c r="HD278" s="76">
        <v>0</v>
      </c>
      <c r="HE278" s="76">
        <v>0</v>
      </c>
      <c r="HF278" s="76">
        <v>0</v>
      </c>
      <c r="HG278" s="76">
        <v>614</v>
      </c>
      <c r="HH278" s="76">
        <v>0</v>
      </c>
      <c r="HI278" s="76">
        <v>0</v>
      </c>
      <c r="HJ278" s="76">
        <v>0</v>
      </c>
      <c r="HK278" s="76">
        <v>0</v>
      </c>
      <c r="HL278" s="76">
        <v>0</v>
      </c>
      <c r="HM278" s="76">
        <v>614</v>
      </c>
      <c r="HN278" s="76">
        <v>1099</v>
      </c>
      <c r="HO278" s="76">
        <v>1300</v>
      </c>
      <c r="HP278" s="76">
        <v>0</v>
      </c>
      <c r="HQ278" s="76">
        <v>21</v>
      </c>
      <c r="HR278" s="76">
        <v>-2</v>
      </c>
      <c r="HS278" s="76">
        <v>0</v>
      </c>
      <c r="HT278" s="76">
        <v>1505</v>
      </c>
      <c r="HU278" s="76">
        <v>0</v>
      </c>
      <c r="HV278" s="76">
        <v>0</v>
      </c>
      <c r="HW278" s="76">
        <v>0</v>
      </c>
      <c r="HX278" s="76">
        <v>0</v>
      </c>
    </row>
    <row r="279" spans="1:232" x14ac:dyDescent="0.2">
      <c r="A279" s="74" t="s">
        <v>170</v>
      </c>
      <c r="B279" s="74" t="s">
        <v>169</v>
      </c>
      <c r="C279" s="75" t="s">
        <v>201</v>
      </c>
      <c r="D279" s="75">
        <v>12</v>
      </c>
      <c r="E279" s="76">
        <v>24120</v>
      </c>
      <c r="F279" s="76">
        <v>-950</v>
      </c>
      <c r="G279" s="76">
        <v>-21624</v>
      </c>
      <c r="H279" s="76">
        <v>1546</v>
      </c>
      <c r="I279" s="76">
        <v>336</v>
      </c>
      <c r="J279" s="76">
        <v>0</v>
      </c>
      <c r="K279" s="76">
        <v>0</v>
      </c>
      <c r="L279" s="76">
        <v>0</v>
      </c>
      <c r="M279" s="76">
        <v>145</v>
      </c>
      <c r="N279" s="76">
        <v>-1910</v>
      </c>
      <c r="O279" s="76">
        <v>121</v>
      </c>
      <c r="P279" s="76">
        <v>-59</v>
      </c>
      <c r="Q279" s="76">
        <v>0</v>
      </c>
      <c r="R279" s="76">
        <v>0</v>
      </c>
      <c r="S279" s="76">
        <v>179</v>
      </c>
      <c r="T279" s="76">
        <v>0</v>
      </c>
      <c r="U279" s="76">
        <v>179</v>
      </c>
      <c r="V279" s="76">
        <v>0</v>
      </c>
      <c r="W279" s="76">
        <v>0</v>
      </c>
      <c r="X279" s="76">
        <v>0</v>
      </c>
      <c r="Y279" s="76">
        <v>0</v>
      </c>
      <c r="Z279" s="76">
        <v>179</v>
      </c>
      <c r="AA279" s="76">
        <v>8720</v>
      </c>
      <c r="AB279" s="76">
        <v>772</v>
      </c>
      <c r="AC279" s="76">
        <v>9492</v>
      </c>
      <c r="AD279" s="76">
        <v>423</v>
      </c>
      <c r="AE279" s="76">
        <v>0</v>
      </c>
      <c r="AF279" s="76">
        <v>0</v>
      </c>
      <c r="AG279" s="76">
        <v>0</v>
      </c>
      <c r="AH279" s="76">
        <v>9915</v>
      </c>
      <c r="AI279" s="76">
        <v>3276</v>
      </c>
      <c r="AJ279" s="76">
        <v>1038</v>
      </c>
      <c r="AK279" s="76">
        <v>1673</v>
      </c>
      <c r="AL279" s="76">
        <v>667</v>
      </c>
      <c r="AM279" s="76">
        <v>188</v>
      </c>
      <c r="AN279" s="76">
        <v>60</v>
      </c>
      <c r="AO279" s="76">
        <v>2036</v>
      </c>
      <c r="AP279" s="76">
        <v>0</v>
      </c>
      <c r="AQ279" s="76">
        <v>277</v>
      </c>
      <c r="AR279" s="76">
        <v>9215</v>
      </c>
      <c r="AS279" s="76">
        <v>700</v>
      </c>
      <c r="AT279" s="76">
        <v>397</v>
      </c>
      <c r="AU279" s="76">
        <v>119033</v>
      </c>
      <c r="AV279" s="76">
        <v>0</v>
      </c>
      <c r="AW279" s="76">
        <v>18556</v>
      </c>
      <c r="AX279" s="76">
        <v>0</v>
      </c>
      <c r="AY279" s="76">
        <v>2970</v>
      </c>
      <c r="AZ279" s="76">
        <v>650</v>
      </c>
      <c r="BA279" s="76">
        <v>0</v>
      </c>
      <c r="BB279" s="76">
        <v>0</v>
      </c>
      <c r="BC279" s="76">
        <v>0</v>
      </c>
      <c r="BD279" s="76">
        <v>0</v>
      </c>
      <c r="BE279" s="76">
        <v>141209</v>
      </c>
      <c r="BF279" s="76">
        <v>447</v>
      </c>
      <c r="BG279" s="76">
        <v>1442</v>
      </c>
      <c r="BH279" s="76">
        <v>3099</v>
      </c>
      <c r="BI279" s="76">
        <v>0</v>
      </c>
      <c r="BJ279" s="76">
        <v>109</v>
      </c>
      <c r="BK279" s="76">
        <v>5097</v>
      </c>
      <c r="BL279" s="76">
        <v>1412</v>
      </c>
      <c r="BM279" s="76">
        <v>0</v>
      </c>
      <c r="BN279" s="76">
        <v>423</v>
      </c>
      <c r="BO279" s="76">
        <v>3005</v>
      </c>
      <c r="BP279" s="76">
        <v>4840</v>
      </c>
      <c r="BQ279" s="76">
        <v>257</v>
      </c>
      <c r="BR279" s="76">
        <v>141466</v>
      </c>
      <c r="BS279" s="76">
        <v>49368</v>
      </c>
      <c r="BT279" s="76">
        <v>0</v>
      </c>
      <c r="BU279" s="76">
        <v>0</v>
      </c>
      <c r="BV279" s="76">
        <v>33616</v>
      </c>
      <c r="BW279" s="76">
        <v>2954</v>
      </c>
      <c r="BX279" s="76">
        <v>0</v>
      </c>
      <c r="BY279" s="76">
        <v>10586</v>
      </c>
      <c r="BZ279" s="76">
        <v>96524</v>
      </c>
      <c r="CA279" s="76">
        <v>0</v>
      </c>
      <c r="CB279" s="76">
        <v>0</v>
      </c>
      <c r="CC279" s="76">
        <v>44942</v>
      </c>
      <c r="CD279" s="76">
        <v>34067</v>
      </c>
      <c r="CE279" s="76">
        <v>9812</v>
      </c>
      <c r="CF279" s="76">
        <v>1063</v>
      </c>
      <c r="CG279" s="76">
        <v>0</v>
      </c>
      <c r="CH279" s="76">
        <v>0</v>
      </c>
      <c r="CI279" s="76">
        <v>44942</v>
      </c>
      <c r="CJ279" s="76">
        <v>1546</v>
      </c>
      <c r="CK279" s="76">
        <v>950</v>
      </c>
      <c r="CL279" s="76">
        <v>0</v>
      </c>
      <c r="CM279" s="76">
        <v>596</v>
      </c>
      <c r="CN279" s="76">
        <v>6252</v>
      </c>
      <c r="CO279" s="76">
        <v>0</v>
      </c>
      <c r="CP279" s="76">
        <v>7407</v>
      </c>
      <c r="CQ279" s="76">
        <v>-1155</v>
      </c>
      <c r="CR279" s="76">
        <v>0</v>
      </c>
      <c r="CS279" s="76">
        <v>0</v>
      </c>
      <c r="CT279" s="76">
        <v>0</v>
      </c>
      <c r="CU279" s="76">
        <v>0</v>
      </c>
      <c r="CV279" s="76">
        <v>879</v>
      </c>
      <c r="CW279" s="76">
        <v>0</v>
      </c>
      <c r="CX279" s="76">
        <v>1603</v>
      </c>
      <c r="CY279" s="76">
        <v>-724</v>
      </c>
      <c r="CZ279" s="76">
        <v>494</v>
      </c>
      <c r="DA279" s="76">
        <v>0</v>
      </c>
      <c r="DB279" s="76">
        <v>545</v>
      </c>
      <c r="DC279" s="76">
        <v>-51</v>
      </c>
      <c r="DD279" s="76">
        <v>9171</v>
      </c>
      <c r="DE279" s="76">
        <v>950</v>
      </c>
      <c r="DF279" s="76">
        <v>9555</v>
      </c>
      <c r="DG279" s="76">
        <v>-1334</v>
      </c>
      <c r="DH279" s="76">
        <v>0</v>
      </c>
      <c r="DI279" s="76">
        <v>0</v>
      </c>
      <c r="DJ279" s="76">
        <v>0</v>
      </c>
      <c r="DK279" s="76">
        <v>0</v>
      </c>
      <c r="DL279" s="76">
        <v>0</v>
      </c>
      <c r="DM279" s="76">
        <v>0</v>
      </c>
      <c r="DN279" s="76">
        <v>0</v>
      </c>
      <c r="DO279" s="76">
        <v>0</v>
      </c>
      <c r="DP279" s="76">
        <v>0</v>
      </c>
      <c r="DQ279" s="76">
        <v>0</v>
      </c>
      <c r="DR279" s="76">
        <v>0</v>
      </c>
      <c r="DS279" s="76">
        <v>0</v>
      </c>
      <c r="DT279" s="76">
        <v>0</v>
      </c>
      <c r="DU279" s="76">
        <v>0</v>
      </c>
      <c r="DV279" s="76">
        <v>0</v>
      </c>
      <c r="DW279" s="76">
        <v>0</v>
      </c>
      <c r="DX279" s="76">
        <v>0</v>
      </c>
      <c r="DY279" s="76">
        <v>0</v>
      </c>
      <c r="DZ279" s="76">
        <v>0</v>
      </c>
      <c r="EA279" s="76">
        <v>0</v>
      </c>
      <c r="EB279" s="76">
        <v>5034</v>
      </c>
      <c r="EC279" s="76">
        <v>0</v>
      </c>
      <c r="ED279" s="76">
        <v>2854</v>
      </c>
      <c r="EE279" s="76">
        <v>2180</v>
      </c>
      <c r="EF279" s="76">
        <v>5034</v>
      </c>
      <c r="EG279" s="76">
        <v>0</v>
      </c>
      <c r="EH279" s="76">
        <v>2854</v>
      </c>
      <c r="EI279" s="76">
        <v>2180</v>
      </c>
      <c r="EJ279" s="76">
        <v>14205</v>
      </c>
      <c r="EK279" s="76">
        <v>950</v>
      </c>
      <c r="EL279" s="76">
        <v>12409</v>
      </c>
      <c r="EM279" s="76">
        <v>846</v>
      </c>
      <c r="EN279" s="76">
        <v>419</v>
      </c>
      <c r="EO279" s="76">
        <v>136</v>
      </c>
      <c r="EP279" s="76">
        <v>64</v>
      </c>
      <c r="EQ279" s="76">
        <v>136</v>
      </c>
      <c r="ER279" s="76">
        <v>138036</v>
      </c>
      <c r="ES279" s="76">
        <v>0</v>
      </c>
      <c r="ET279" s="76">
        <v>138036</v>
      </c>
      <c r="EU279" s="76">
        <v>9149</v>
      </c>
      <c r="EV279" s="76">
        <v>-9111</v>
      </c>
      <c r="EW279" s="76">
        <v>0</v>
      </c>
      <c r="EX279" s="76">
        <v>0</v>
      </c>
      <c r="EY279" s="76">
        <v>390</v>
      </c>
      <c r="EZ279" s="76">
        <v>138464</v>
      </c>
      <c r="FA279" s="76">
        <v>17966</v>
      </c>
      <c r="FB279" s="76">
        <v>2036</v>
      </c>
      <c r="FC279" s="76">
        <v>0</v>
      </c>
      <c r="FD279" s="76">
        <v>0</v>
      </c>
      <c r="FE279" s="76">
        <v>-565</v>
      </c>
      <c r="FF279" s="76">
        <v>0</v>
      </c>
      <c r="FG279" s="76">
        <v>-6</v>
      </c>
      <c r="FH279" s="76">
        <v>19431</v>
      </c>
      <c r="FI279" s="76">
        <v>119033</v>
      </c>
      <c r="FJ279" s="76">
        <v>120070</v>
      </c>
      <c r="FK279" s="76">
        <v>87</v>
      </c>
      <c r="FL279" s="76">
        <v>35</v>
      </c>
      <c r="FM279" s="76">
        <v>52</v>
      </c>
      <c r="FN279" s="76">
        <v>0</v>
      </c>
      <c r="FO279" s="76">
        <v>0</v>
      </c>
      <c r="FP279" s="76">
        <v>0</v>
      </c>
      <c r="FQ279" s="76">
        <v>0</v>
      </c>
      <c r="FR279" s="76">
        <v>0</v>
      </c>
      <c r="FS279" s="76">
        <v>0</v>
      </c>
      <c r="FT279" s="76">
        <v>4445</v>
      </c>
      <c r="FU279" s="76">
        <v>4161</v>
      </c>
      <c r="FV279" s="76">
        <v>284</v>
      </c>
      <c r="FW279" s="76">
        <v>0</v>
      </c>
      <c r="FX279" s="76">
        <v>0</v>
      </c>
      <c r="FY279" s="76">
        <v>0</v>
      </c>
      <c r="FZ279" s="76">
        <v>0</v>
      </c>
      <c r="GA279" s="76">
        <v>0</v>
      </c>
      <c r="GB279" s="76">
        <v>0</v>
      </c>
      <c r="GC279" s="76">
        <v>4532</v>
      </c>
      <c r="GD279" s="76">
        <v>4196</v>
      </c>
      <c r="GE279" s="76">
        <v>336</v>
      </c>
      <c r="GF279" s="76">
        <v>0</v>
      </c>
      <c r="GG279" s="76">
        <v>0</v>
      </c>
      <c r="GH279" s="76">
        <v>0</v>
      </c>
      <c r="GI279" s="76">
        <v>0</v>
      </c>
      <c r="GJ279" s="76">
        <v>0</v>
      </c>
      <c r="GK279" s="76">
        <v>109</v>
      </c>
      <c r="GL279" s="76">
        <v>109</v>
      </c>
      <c r="GM279" s="76">
        <v>951</v>
      </c>
      <c r="GN279" s="76">
        <v>241</v>
      </c>
      <c r="GO279" s="76">
        <v>0</v>
      </c>
      <c r="GP279" s="76">
        <v>141</v>
      </c>
      <c r="GQ279" s="76">
        <v>0</v>
      </c>
      <c r="GR279" s="76">
        <v>1177</v>
      </c>
      <c r="GS279" s="76">
        <v>0</v>
      </c>
      <c r="GT279" s="76">
        <v>0</v>
      </c>
      <c r="GU279" s="76">
        <v>0</v>
      </c>
      <c r="GV279" s="76">
        <v>0</v>
      </c>
      <c r="GW279" s="76">
        <v>495</v>
      </c>
      <c r="GX279" s="76">
        <v>3005</v>
      </c>
      <c r="GY279" s="76">
        <v>1095</v>
      </c>
      <c r="GZ279" s="76">
        <v>0</v>
      </c>
      <c r="HA279" s="76">
        <v>0</v>
      </c>
      <c r="HB279" s="76">
        <v>9491</v>
      </c>
      <c r="HC279" s="76">
        <v>10586</v>
      </c>
      <c r="HD279" s="76">
        <v>0</v>
      </c>
      <c r="HE279" s="76">
        <v>0</v>
      </c>
      <c r="HF279" s="76">
        <v>0</v>
      </c>
      <c r="HG279" s="76">
        <v>2420</v>
      </c>
      <c r="HH279" s="76">
        <v>0</v>
      </c>
      <c r="HI279" s="76">
        <v>0</v>
      </c>
      <c r="HJ279" s="76">
        <v>4</v>
      </c>
      <c r="HK279" s="76">
        <v>0</v>
      </c>
      <c r="HL279" s="76">
        <v>-514</v>
      </c>
      <c r="HM279" s="76">
        <v>1910</v>
      </c>
      <c r="HN279" s="76">
        <v>1454</v>
      </c>
      <c r="HO279" s="76">
        <v>2368</v>
      </c>
      <c r="HP279" s="76">
        <v>0</v>
      </c>
      <c r="HQ279" s="76">
        <v>40</v>
      </c>
      <c r="HR279" s="76">
        <v>-9</v>
      </c>
      <c r="HS279" s="76">
        <v>27</v>
      </c>
      <c r="HT279" s="76">
        <v>2360</v>
      </c>
      <c r="HU279" s="76">
        <v>0</v>
      </c>
      <c r="HV279" s="76">
        <v>0</v>
      </c>
      <c r="HW279" s="76">
        <v>0</v>
      </c>
      <c r="HX279" s="76">
        <v>211</v>
      </c>
    </row>
    <row r="280" spans="1:232" x14ac:dyDescent="0.2">
      <c r="A280" s="74" t="s">
        <v>173</v>
      </c>
      <c r="B280" s="74" t="s">
        <v>171</v>
      </c>
      <c r="C280" s="75" t="s">
        <v>200</v>
      </c>
      <c r="D280" s="75">
        <v>12</v>
      </c>
      <c r="E280" s="76">
        <v>13311</v>
      </c>
      <c r="F280" s="76">
        <v>0</v>
      </c>
      <c r="G280" s="76">
        <v>-8331</v>
      </c>
      <c r="H280" s="76">
        <v>4980</v>
      </c>
      <c r="I280" s="76">
        <v>301</v>
      </c>
      <c r="J280" s="76">
        <v>0</v>
      </c>
      <c r="K280" s="76">
        <v>0</v>
      </c>
      <c r="L280" s="76">
        <v>0</v>
      </c>
      <c r="M280" s="76">
        <v>22</v>
      </c>
      <c r="N280" s="76">
        <v>-1897</v>
      </c>
      <c r="O280" s="76">
        <v>1732</v>
      </c>
      <c r="P280" s="76">
        <v>0</v>
      </c>
      <c r="Q280" s="76">
        <v>0</v>
      </c>
      <c r="R280" s="76">
        <v>0</v>
      </c>
      <c r="S280" s="76">
        <v>5138</v>
      </c>
      <c r="T280" s="76">
        <v>0</v>
      </c>
      <c r="U280" s="76">
        <v>5138</v>
      </c>
      <c r="V280" s="76">
        <v>0</v>
      </c>
      <c r="W280" s="76">
        <v>15</v>
      </c>
      <c r="X280" s="76">
        <v>0</v>
      </c>
      <c r="Y280" s="76">
        <v>0</v>
      </c>
      <c r="Z280" s="76">
        <v>5153</v>
      </c>
      <c r="AA280" s="76">
        <v>11460</v>
      </c>
      <c r="AB280" s="76">
        <v>428</v>
      </c>
      <c r="AC280" s="76">
        <v>11888</v>
      </c>
      <c r="AD280" s="76">
        <v>233</v>
      </c>
      <c r="AE280" s="76">
        <v>0</v>
      </c>
      <c r="AF280" s="76">
        <v>0</v>
      </c>
      <c r="AG280" s="76">
        <v>19</v>
      </c>
      <c r="AH280" s="76">
        <v>12140</v>
      </c>
      <c r="AI280" s="76">
        <v>1666</v>
      </c>
      <c r="AJ280" s="76">
        <v>904</v>
      </c>
      <c r="AK280" s="76">
        <v>1368</v>
      </c>
      <c r="AL280" s="76">
        <v>838</v>
      </c>
      <c r="AM280" s="76">
        <v>506</v>
      </c>
      <c r="AN280" s="76">
        <v>77</v>
      </c>
      <c r="AO280" s="76">
        <v>1224</v>
      </c>
      <c r="AP280" s="76">
        <v>0</v>
      </c>
      <c r="AQ280" s="76">
        <v>0</v>
      </c>
      <c r="AR280" s="76">
        <v>6583</v>
      </c>
      <c r="AS280" s="76">
        <v>5557</v>
      </c>
      <c r="AT280" s="76">
        <v>15</v>
      </c>
      <c r="AU280" s="76">
        <v>74350</v>
      </c>
      <c r="AV280" s="76">
        <v>0</v>
      </c>
      <c r="AW280" s="76">
        <v>2768</v>
      </c>
      <c r="AX280" s="76">
        <v>85</v>
      </c>
      <c r="AY280" s="76">
        <v>0</v>
      </c>
      <c r="AZ280" s="76">
        <v>11898</v>
      </c>
      <c r="BA280" s="76">
        <v>0</v>
      </c>
      <c r="BB280" s="76">
        <v>0</v>
      </c>
      <c r="BC280" s="76">
        <v>0</v>
      </c>
      <c r="BD280" s="76">
        <v>0</v>
      </c>
      <c r="BE280" s="76">
        <v>89101</v>
      </c>
      <c r="BF280" s="76">
        <v>0</v>
      </c>
      <c r="BG280" s="76">
        <v>438</v>
      </c>
      <c r="BH280" s="76">
        <v>8879</v>
      </c>
      <c r="BI280" s="76">
        <v>0</v>
      </c>
      <c r="BJ280" s="76">
        <v>0</v>
      </c>
      <c r="BK280" s="76">
        <v>9317</v>
      </c>
      <c r="BL280" s="76">
        <v>1099</v>
      </c>
      <c r="BM280" s="76">
        <v>0</v>
      </c>
      <c r="BN280" s="76">
        <v>236</v>
      </c>
      <c r="BO280" s="76">
        <v>2337</v>
      </c>
      <c r="BP280" s="76">
        <v>3672</v>
      </c>
      <c r="BQ280" s="76">
        <v>5645</v>
      </c>
      <c r="BR280" s="76">
        <v>94746</v>
      </c>
      <c r="BS280" s="76">
        <v>42120</v>
      </c>
      <c r="BT280" s="76">
        <v>0</v>
      </c>
      <c r="BU280" s="76">
        <v>0</v>
      </c>
      <c r="BV280" s="76">
        <v>31080</v>
      </c>
      <c r="BW280" s="76">
        <v>0</v>
      </c>
      <c r="BX280" s="76">
        <v>0</v>
      </c>
      <c r="BY280" s="76">
        <v>293</v>
      </c>
      <c r="BZ280" s="76">
        <v>73493</v>
      </c>
      <c r="CA280" s="76">
        <v>1135</v>
      </c>
      <c r="CB280" s="76">
        <v>0</v>
      </c>
      <c r="CC280" s="76">
        <v>20118</v>
      </c>
      <c r="CD280" s="76">
        <v>20118</v>
      </c>
      <c r="CE280" s="76">
        <v>0</v>
      </c>
      <c r="CF280" s="76">
        <v>0</v>
      </c>
      <c r="CG280" s="76">
        <v>0</v>
      </c>
      <c r="CH280" s="76">
        <v>0</v>
      </c>
      <c r="CI280" s="76">
        <v>20118</v>
      </c>
      <c r="CJ280" s="76">
        <v>0</v>
      </c>
      <c r="CK280" s="76">
        <v>0</v>
      </c>
      <c r="CL280" s="76">
        <v>0</v>
      </c>
      <c r="CM280" s="76">
        <v>0</v>
      </c>
      <c r="CN280" s="76">
        <v>0</v>
      </c>
      <c r="CO280" s="76">
        <v>0</v>
      </c>
      <c r="CP280" s="76">
        <v>0</v>
      </c>
      <c r="CQ280" s="76">
        <v>0</v>
      </c>
      <c r="CR280" s="76">
        <v>0</v>
      </c>
      <c r="CS280" s="76">
        <v>0</v>
      </c>
      <c r="CT280" s="76">
        <v>0</v>
      </c>
      <c r="CU280" s="76">
        <v>0</v>
      </c>
      <c r="CV280" s="76">
        <v>0</v>
      </c>
      <c r="CW280" s="76">
        <v>0</v>
      </c>
      <c r="CX280" s="76">
        <v>0</v>
      </c>
      <c r="CY280" s="76">
        <v>0</v>
      </c>
      <c r="CZ280" s="76">
        <v>34</v>
      </c>
      <c r="DA280" s="76">
        <v>0</v>
      </c>
      <c r="DB280" s="76">
        <v>0</v>
      </c>
      <c r="DC280" s="76">
        <v>34</v>
      </c>
      <c r="DD280" s="76">
        <v>34</v>
      </c>
      <c r="DE280" s="76">
        <v>0</v>
      </c>
      <c r="DF280" s="76">
        <v>0</v>
      </c>
      <c r="DG280" s="76">
        <v>34</v>
      </c>
      <c r="DH280" s="76">
        <v>0</v>
      </c>
      <c r="DI280" s="76">
        <v>0</v>
      </c>
      <c r="DJ280" s="76">
        <v>0</v>
      </c>
      <c r="DK280" s="76">
        <v>0</v>
      </c>
      <c r="DL280" s="76">
        <v>0</v>
      </c>
      <c r="DM280" s="76">
        <v>0</v>
      </c>
      <c r="DN280" s="76">
        <v>0</v>
      </c>
      <c r="DO280" s="76">
        <v>0</v>
      </c>
      <c r="DP280" s="76">
        <v>0</v>
      </c>
      <c r="DQ280" s="76">
        <v>0</v>
      </c>
      <c r="DR280" s="76">
        <v>0</v>
      </c>
      <c r="DS280" s="76">
        <v>0</v>
      </c>
      <c r="DT280" s="76">
        <v>451</v>
      </c>
      <c r="DU280" s="76">
        <v>0</v>
      </c>
      <c r="DV280" s="76">
        <v>410</v>
      </c>
      <c r="DW280" s="76">
        <v>41</v>
      </c>
      <c r="DX280" s="76">
        <v>0</v>
      </c>
      <c r="DY280" s="76">
        <v>0</v>
      </c>
      <c r="DZ280" s="76">
        <v>0</v>
      </c>
      <c r="EA280" s="76">
        <v>0</v>
      </c>
      <c r="EB280" s="76">
        <v>686</v>
      </c>
      <c r="EC280" s="76">
        <v>0</v>
      </c>
      <c r="ED280" s="76">
        <v>1338</v>
      </c>
      <c r="EE280" s="76">
        <v>-652</v>
      </c>
      <c r="EF280" s="76">
        <v>1137</v>
      </c>
      <c r="EG280" s="76">
        <v>0</v>
      </c>
      <c r="EH280" s="76">
        <v>1748</v>
      </c>
      <c r="EI280" s="76">
        <v>-611</v>
      </c>
      <c r="EJ280" s="76">
        <v>1171</v>
      </c>
      <c r="EK280" s="76">
        <v>0</v>
      </c>
      <c r="EL280" s="76">
        <v>1748</v>
      </c>
      <c r="EM280" s="76">
        <v>-577</v>
      </c>
      <c r="EN280" s="76">
        <v>290</v>
      </c>
      <c r="EO280" s="76">
        <v>230</v>
      </c>
      <c r="EP280" s="76">
        <v>252</v>
      </c>
      <c r="EQ280" s="76">
        <v>230</v>
      </c>
      <c r="ER280" s="76">
        <v>87817</v>
      </c>
      <c r="ES280" s="76">
        <v>0</v>
      </c>
      <c r="ET280" s="76">
        <v>87817</v>
      </c>
      <c r="EU280" s="76">
        <v>1633</v>
      </c>
      <c r="EV280" s="76">
        <v>-351</v>
      </c>
      <c r="EW280" s="76">
        <v>0</v>
      </c>
      <c r="EX280" s="76">
        <v>0</v>
      </c>
      <c r="EY280" s="76">
        <v>-387</v>
      </c>
      <c r="EZ280" s="76">
        <v>88712</v>
      </c>
      <c r="FA280" s="76">
        <v>13405</v>
      </c>
      <c r="FB280" s="76">
        <v>1207</v>
      </c>
      <c r="FC280" s="76">
        <v>0</v>
      </c>
      <c r="FD280" s="76">
        <v>0</v>
      </c>
      <c r="FE280" s="76">
        <v>-250</v>
      </c>
      <c r="FF280" s="76">
        <v>0</v>
      </c>
      <c r="FG280" s="76">
        <v>0</v>
      </c>
      <c r="FH280" s="76">
        <v>14362</v>
      </c>
      <c r="FI280" s="76">
        <v>74350</v>
      </c>
      <c r="FJ280" s="76">
        <v>74412</v>
      </c>
      <c r="FK280" s="76">
        <v>0</v>
      </c>
      <c r="FL280" s="76">
        <v>0</v>
      </c>
      <c r="FM280" s="76">
        <v>0</v>
      </c>
      <c r="FN280" s="76">
        <v>400</v>
      </c>
      <c r="FO280" s="76">
        <v>99</v>
      </c>
      <c r="FP280" s="76">
        <v>301</v>
      </c>
      <c r="FQ280" s="76">
        <v>0</v>
      </c>
      <c r="FR280" s="76">
        <v>0</v>
      </c>
      <c r="FS280" s="76">
        <v>0</v>
      </c>
      <c r="FT280" s="76">
        <v>0</v>
      </c>
      <c r="FU280" s="76">
        <v>0</v>
      </c>
      <c r="FV280" s="76">
        <v>0</v>
      </c>
      <c r="FW280" s="76">
        <v>0</v>
      </c>
      <c r="FX280" s="76">
        <v>0</v>
      </c>
      <c r="FY280" s="76">
        <v>0</v>
      </c>
      <c r="FZ280" s="76">
        <v>0</v>
      </c>
      <c r="GA280" s="76">
        <v>0</v>
      </c>
      <c r="GB280" s="76">
        <v>0</v>
      </c>
      <c r="GC280" s="76">
        <v>400</v>
      </c>
      <c r="GD280" s="76">
        <v>99</v>
      </c>
      <c r="GE280" s="76">
        <v>301</v>
      </c>
      <c r="GF280" s="76">
        <v>0</v>
      </c>
      <c r="GG280" s="76">
        <v>0</v>
      </c>
      <c r="GH280" s="76">
        <v>0</v>
      </c>
      <c r="GI280" s="76">
        <v>0</v>
      </c>
      <c r="GJ280" s="76">
        <v>0</v>
      </c>
      <c r="GK280" s="76">
        <v>0</v>
      </c>
      <c r="GL280" s="76">
        <v>0</v>
      </c>
      <c r="GM280" s="76">
        <v>184</v>
      </c>
      <c r="GN280" s="76">
        <v>362</v>
      </c>
      <c r="GO280" s="76">
        <v>305</v>
      </c>
      <c r="GP280" s="76">
        <v>0</v>
      </c>
      <c r="GQ280" s="76">
        <v>0</v>
      </c>
      <c r="GR280" s="76">
        <v>1400</v>
      </c>
      <c r="GS280" s="76">
        <v>0</v>
      </c>
      <c r="GT280" s="76">
        <v>0</v>
      </c>
      <c r="GU280" s="76">
        <v>0</v>
      </c>
      <c r="GV280" s="76">
        <v>0</v>
      </c>
      <c r="GW280" s="76">
        <v>86</v>
      </c>
      <c r="GX280" s="76">
        <v>2337</v>
      </c>
      <c r="GY280" s="76">
        <v>0</v>
      </c>
      <c r="GZ280" s="76">
        <v>0</v>
      </c>
      <c r="HA280" s="76">
        <v>0</v>
      </c>
      <c r="HB280" s="76">
        <v>293</v>
      </c>
      <c r="HC280" s="76">
        <v>293</v>
      </c>
      <c r="HD280" s="76">
        <v>0</v>
      </c>
      <c r="HE280" s="76">
        <v>0</v>
      </c>
      <c r="HF280" s="76">
        <v>0</v>
      </c>
      <c r="HG280" s="76">
        <v>1811</v>
      </c>
      <c r="HH280" s="76">
        <v>56</v>
      </c>
      <c r="HI280" s="76">
        <v>30</v>
      </c>
      <c r="HJ280" s="76">
        <v>0</v>
      </c>
      <c r="HK280" s="76">
        <v>0</v>
      </c>
      <c r="HL280" s="76">
        <v>0</v>
      </c>
      <c r="HM280" s="76">
        <v>1897</v>
      </c>
      <c r="HN280" s="76">
        <v>1633</v>
      </c>
      <c r="HO280" s="76">
        <v>1445</v>
      </c>
      <c r="HP280" s="76">
        <v>0</v>
      </c>
      <c r="HQ280" s="76">
        <v>0</v>
      </c>
      <c r="HR280" s="76">
        <v>-9</v>
      </c>
      <c r="HS280" s="76">
        <v>0</v>
      </c>
      <c r="HT280" s="76">
        <v>2502</v>
      </c>
      <c r="HU280" s="76">
        <v>16</v>
      </c>
      <c r="HV280" s="76">
        <v>0</v>
      </c>
      <c r="HW280" s="76">
        <v>0</v>
      </c>
      <c r="HX280" s="76">
        <v>78</v>
      </c>
    </row>
    <row r="281" spans="1:232" x14ac:dyDescent="0.2">
      <c r="A281" s="74" t="s">
        <v>758</v>
      </c>
      <c r="B281" s="74" t="s">
        <v>757</v>
      </c>
      <c r="C281" s="75" t="s">
        <v>200</v>
      </c>
      <c r="D281" s="75">
        <v>12</v>
      </c>
      <c r="E281" s="76">
        <v>293890</v>
      </c>
      <c r="F281" s="76">
        <v>-3396</v>
      </c>
      <c r="G281" s="76">
        <v>-221340</v>
      </c>
      <c r="H281" s="76">
        <v>69154</v>
      </c>
      <c r="I281" s="76">
        <v>22324</v>
      </c>
      <c r="J281" s="76">
        <v>3174</v>
      </c>
      <c r="K281" s="76">
        <v>0</v>
      </c>
      <c r="L281" s="76">
        <v>0</v>
      </c>
      <c r="M281" s="76">
        <v>5667</v>
      </c>
      <c r="N281" s="76">
        <v>-38299</v>
      </c>
      <c r="O281" s="76">
        <v>89</v>
      </c>
      <c r="P281" s="76">
        <v>1199</v>
      </c>
      <c r="Q281" s="76">
        <v>0</v>
      </c>
      <c r="R281" s="76">
        <v>0</v>
      </c>
      <c r="S281" s="76">
        <v>63308</v>
      </c>
      <c r="T281" s="76">
        <v>0</v>
      </c>
      <c r="U281" s="76">
        <v>63308</v>
      </c>
      <c r="V281" s="76">
        <v>0</v>
      </c>
      <c r="W281" s="76">
        <v>-10742</v>
      </c>
      <c r="X281" s="76">
        <v>2715</v>
      </c>
      <c r="Y281" s="76">
        <v>0</v>
      </c>
      <c r="Z281" s="76">
        <v>55281</v>
      </c>
      <c r="AA281" s="76">
        <v>201245</v>
      </c>
      <c r="AB281" s="76">
        <v>33187</v>
      </c>
      <c r="AC281" s="76">
        <v>234432</v>
      </c>
      <c r="AD281" s="76">
        <v>10545</v>
      </c>
      <c r="AE281" s="76">
        <v>1026</v>
      </c>
      <c r="AF281" s="76">
        <v>371</v>
      </c>
      <c r="AG281" s="76">
        <v>0</v>
      </c>
      <c r="AH281" s="76">
        <v>246374</v>
      </c>
      <c r="AI281" s="76">
        <v>45606</v>
      </c>
      <c r="AJ281" s="76">
        <v>33187</v>
      </c>
      <c r="AK281" s="76">
        <v>52350</v>
      </c>
      <c r="AL281" s="76">
        <v>0</v>
      </c>
      <c r="AM281" s="76">
        <v>9234</v>
      </c>
      <c r="AN281" s="76">
        <v>1957</v>
      </c>
      <c r="AO281" s="76">
        <v>32450</v>
      </c>
      <c r="AP281" s="76">
        <v>3730</v>
      </c>
      <c r="AQ281" s="76">
        <v>0</v>
      </c>
      <c r="AR281" s="76">
        <v>178514</v>
      </c>
      <c r="AS281" s="76">
        <v>67860</v>
      </c>
      <c r="AT281" s="76">
        <v>3504</v>
      </c>
      <c r="AU281" s="76">
        <v>1694760</v>
      </c>
      <c r="AV281" s="76">
        <v>0</v>
      </c>
      <c r="AW281" s="76">
        <v>16932</v>
      </c>
      <c r="AX281" s="76">
        <v>0</v>
      </c>
      <c r="AY281" s="76">
        <v>329</v>
      </c>
      <c r="AZ281" s="76">
        <v>1212</v>
      </c>
      <c r="BA281" s="76">
        <v>1441</v>
      </c>
      <c r="BB281" s="76">
        <v>0</v>
      </c>
      <c r="BC281" s="76">
        <v>39971</v>
      </c>
      <c r="BD281" s="76">
        <v>57475</v>
      </c>
      <c r="BE281" s="76">
        <v>1812120</v>
      </c>
      <c r="BF281" s="76">
        <v>19823</v>
      </c>
      <c r="BG281" s="76">
        <v>60343</v>
      </c>
      <c r="BH281" s="76">
        <v>63514</v>
      </c>
      <c r="BI281" s="76">
        <v>45243</v>
      </c>
      <c r="BJ281" s="76">
        <v>0</v>
      </c>
      <c r="BK281" s="76">
        <v>188923</v>
      </c>
      <c r="BL281" s="76">
        <v>33357</v>
      </c>
      <c r="BM281" s="76">
        <v>0</v>
      </c>
      <c r="BN281" s="76">
        <v>10545</v>
      </c>
      <c r="BO281" s="76">
        <v>106836</v>
      </c>
      <c r="BP281" s="76">
        <v>150738</v>
      </c>
      <c r="BQ281" s="76">
        <v>38185</v>
      </c>
      <c r="BR281" s="76">
        <v>1850305</v>
      </c>
      <c r="BS281" s="76">
        <v>645289</v>
      </c>
      <c r="BT281" s="76">
        <v>0</v>
      </c>
      <c r="BU281" s="76">
        <v>0</v>
      </c>
      <c r="BV281" s="76">
        <v>663667</v>
      </c>
      <c r="BW281" s="76">
        <v>0</v>
      </c>
      <c r="BX281" s="76">
        <v>24902</v>
      </c>
      <c r="BY281" s="76">
        <v>37037</v>
      </c>
      <c r="BZ281" s="76">
        <v>1370895</v>
      </c>
      <c r="CA281" s="76">
        <v>16408</v>
      </c>
      <c r="CB281" s="76">
        <v>16459</v>
      </c>
      <c r="CC281" s="76">
        <v>446543</v>
      </c>
      <c r="CD281" s="76">
        <v>464103</v>
      </c>
      <c r="CE281" s="76">
        <v>0</v>
      </c>
      <c r="CF281" s="76">
        <v>1953</v>
      </c>
      <c r="CG281" s="76">
        <v>-20529</v>
      </c>
      <c r="CH281" s="76">
        <v>1016</v>
      </c>
      <c r="CI281" s="76">
        <v>446543</v>
      </c>
      <c r="CJ281" s="76">
        <v>3842</v>
      </c>
      <c r="CK281" s="76">
        <v>3396</v>
      </c>
      <c r="CL281" s="76">
        <v>0</v>
      </c>
      <c r="CM281" s="76">
        <v>446</v>
      </c>
      <c r="CN281" s="76">
        <v>25854</v>
      </c>
      <c r="CO281" s="76">
        <v>0</v>
      </c>
      <c r="CP281" s="76">
        <v>30620</v>
      </c>
      <c r="CQ281" s="76">
        <v>-4766</v>
      </c>
      <c r="CR281" s="76">
        <v>0</v>
      </c>
      <c r="CS281" s="76">
        <v>0</v>
      </c>
      <c r="CT281" s="76">
        <v>0</v>
      </c>
      <c r="CU281" s="76">
        <v>0</v>
      </c>
      <c r="CV281" s="76">
        <v>0</v>
      </c>
      <c r="CW281" s="76">
        <v>0</v>
      </c>
      <c r="CX281" s="76">
        <v>3941</v>
      </c>
      <c r="CY281" s="76">
        <v>-3941</v>
      </c>
      <c r="CZ281" s="76">
        <v>14927</v>
      </c>
      <c r="DA281" s="76">
        <v>0</v>
      </c>
      <c r="DB281" s="76">
        <v>7109</v>
      </c>
      <c r="DC281" s="76">
        <v>7818</v>
      </c>
      <c r="DD281" s="76">
        <v>44623</v>
      </c>
      <c r="DE281" s="76">
        <v>3396</v>
      </c>
      <c r="DF281" s="76">
        <v>41670</v>
      </c>
      <c r="DG281" s="76">
        <v>-443</v>
      </c>
      <c r="DH281" s="76">
        <v>0</v>
      </c>
      <c r="DI281" s="76">
        <v>0</v>
      </c>
      <c r="DJ281" s="76">
        <v>0</v>
      </c>
      <c r="DK281" s="76">
        <v>0</v>
      </c>
      <c r="DL281" s="76">
        <v>0</v>
      </c>
      <c r="DM281" s="76">
        <v>0</v>
      </c>
      <c r="DN281" s="76">
        <v>0</v>
      </c>
      <c r="DO281" s="76">
        <v>0</v>
      </c>
      <c r="DP281" s="76">
        <v>0</v>
      </c>
      <c r="DQ281" s="76">
        <v>0</v>
      </c>
      <c r="DR281" s="76">
        <v>0</v>
      </c>
      <c r="DS281" s="76">
        <v>0</v>
      </c>
      <c r="DT281" s="76">
        <v>2871</v>
      </c>
      <c r="DU281" s="76">
        <v>0</v>
      </c>
      <c r="DV281" s="76">
        <v>1060</v>
      </c>
      <c r="DW281" s="76">
        <v>1811</v>
      </c>
      <c r="DX281" s="76">
        <v>0</v>
      </c>
      <c r="DY281" s="76">
        <v>0</v>
      </c>
      <c r="DZ281" s="76">
        <v>0</v>
      </c>
      <c r="EA281" s="76">
        <v>0</v>
      </c>
      <c r="EB281" s="76">
        <v>22</v>
      </c>
      <c r="EC281" s="76">
        <v>0</v>
      </c>
      <c r="ED281" s="76">
        <v>96</v>
      </c>
      <c r="EE281" s="76">
        <v>-74</v>
      </c>
      <c r="EF281" s="76">
        <v>2893</v>
      </c>
      <c r="EG281" s="76">
        <v>0</v>
      </c>
      <c r="EH281" s="76">
        <v>1156</v>
      </c>
      <c r="EI281" s="76">
        <v>1737</v>
      </c>
      <c r="EJ281" s="76">
        <v>47516</v>
      </c>
      <c r="EK281" s="76">
        <v>3396</v>
      </c>
      <c r="EL281" s="76">
        <v>42826</v>
      </c>
      <c r="EM281" s="76">
        <v>1294</v>
      </c>
      <c r="EN281" s="76">
        <v>9176</v>
      </c>
      <c r="EO281" s="76">
        <v>7246</v>
      </c>
      <c r="EP281" s="76">
        <v>1853</v>
      </c>
      <c r="EQ281" s="76">
        <v>7246</v>
      </c>
      <c r="ER281" s="76">
        <v>2008378</v>
      </c>
      <c r="ES281" s="76">
        <v>0</v>
      </c>
      <c r="ET281" s="76">
        <v>2008378</v>
      </c>
      <c r="EU281" s="76">
        <v>75648</v>
      </c>
      <c r="EV281" s="76">
        <v>-36252</v>
      </c>
      <c r="EW281" s="76">
        <v>0</v>
      </c>
      <c r="EX281" s="76">
        <v>0</v>
      </c>
      <c r="EY281" s="76">
        <v>368</v>
      </c>
      <c r="EZ281" s="76">
        <v>2048142</v>
      </c>
      <c r="FA281" s="76">
        <v>328816</v>
      </c>
      <c r="FB281" s="76">
        <v>32461</v>
      </c>
      <c r="FC281" s="76">
        <v>762</v>
      </c>
      <c r="FD281" s="76">
        <v>0</v>
      </c>
      <c r="FE281" s="76">
        <v>-8657</v>
      </c>
      <c r="FF281" s="76">
        <v>0</v>
      </c>
      <c r="FG281" s="76">
        <v>0</v>
      </c>
      <c r="FH281" s="76">
        <v>353382</v>
      </c>
      <c r="FI281" s="76">
        <v>1694760</v>
      </c>
      <c r="FJ281" s="76">
        <v>1679562</v>
      </c>
      <c r="FK281" s="76">
        <v>3965</v>
      </c>
      <c r="FL281" s="76">
        <v>3492</v>
      </c>
      <c r="FM281" s="76">
        <v>473</v>
      </c>
      <c r="FN281" s="76">
        <v>20686</v>
      </c>
      <c r="FO281" s="76">
        <v>7718</v>
      </c>
      <c r="FP281" s="76">
        <v>12968</v>
      </c>
      <c r="FQ281" s="76">
        <v>1416</v>
      </c>
      <c r="FR281" s="76">
        <v>1128</v>
      </c>
      <c r="FS281" s="76">
        <v>288</v>
      </c>
      <c r="FT281" s="76">
        <v>21002</v>
      </c>
      <c r="FU281" s="76">
        <v>13797</v>
      </c>
      <c r="FV281" s="76">
        <v>7205</v>
      </c>
      <c r="FW281" s="76">
        <v>2600</v>
      </c>
      <c r="FX281" s="76">
        <v>1207</v>
      </c>
      <c r="FY281" s="76">
        <v>1393</v>
      </c>
      <c r="FZ281" s="76">
        <v>0</v>
      </c>
      <c r="GA281" s="76">
        <v>3</v>
      </c>
      <c r="GB281" s="76">
        <v>-3</v>
      </c>
      <c r="GC281" s="76">
        <v>49669</v>
      </c>
      <c r="GD281" s="76">
        <v>27345</v>
      </c>
      <c r="GE281" s="76">
        <v>22324</v>
      </c>
      <c r="GF281" s="76">
        <v>0</v>
      </c>
      <c r="GG281" s="76">
        <v>0</v>
      </c>
      <c r="GH281" s="76">
        <v>0</v>
      </c>
      <c r="GI281" s="76">
        <v>0</v>
      </c>
      <c r="GJ281" s="76">
        <v>0</v>
      </c>
      <c r="GK281" s="76">
        <v>0</v>
      </c>
      <c r="GL281" s="76">
        <v>0</v>
      </c>
      <c r="GM281" s="76">
        <v>6527</v>
      </c>
      <c r="GN281" s="76">
        <v>4178</v>
      </c>
      <c r="GO281" s="76">
        <v>5142</v>
      </c>
      <c r="GP281" s="76">
        <v>3178</v>
      </c>
      <c r="GQ281" s="76">
        <v>449</v>
      </c>
      <c r="GR281" s="76">
        <v>50350</v>
      </c>
      <c r="GS281" s="76">
        <v>0</v>
      </c>
      <c r="GT281" s="76">
        <v>0</v>
      </c>
      <c r="GU281" s="76">
        <v>0</v>
      </c>
      <c r="GV281" s="76">
        <v>0</v>
      </c>
      <c r="GW281" s="76">
        <v>37012</v>
      </c>
      <c r="GX281" s="76">
        <v>106836</v>
      </c>
      <c r="GY281" s="76">
        <v>13178</v>
      </c>
      <c r="GZ281" s="76">
        <v>1872</v>
      </c>
      <c r="HA281" s="76">
        <v>15173</v>
      </c>
      <c r="HB281" s="76">
        <v>6814</v>
      </c>
      <c r="HC281" s="76">
        <v>37037</v>
      </c>
      <c r="HD281" s="76">
        <v>11312</v>
      </c>
      <c r="HE281" s="76">
        <v>5147</v>
      </c>
      <c r="HF281" s="76">
        <v>16459</v>
      </c>
      <c r="HG281" s="76">
        <v>37308</v>
      </c>
      <c r="HH281" s="76">
        <v>673</v>
      </c>
      <c r="HI281" s="76">
        <v>251</v>
      </c>
      <c r="HJ281" s="76">
        <v>67</v>
      </c>
      <c r="HK281" s="76">
        <v>0</v>
      </c>
      <c r="HL281" s="76">
        <v>0</v>
      </c>
      <c r="HM281" s="76">
        <v>38299</v>
      </c>
      <c r="HN281" s="76">
        <v>29255</v>
      </c>
      <c r="HO281" s="76">
        <v>36863</v>
      </c>
      <c r="HP281" s="76">
        <v>762</v>
      </c>
      <c r="HQ281" s="76">
        <v>416</v>
      </c>
      <c r="HR281" s="76">
        <v>-748</v>
      </c>
      <c r="HS281" s="76">
        <v>-65</v>
      </c>
      <c r="HT281" s="76">
        <v>48482</v>
      </c>
      <c r="HU281" s="76">
        <v>0</v>
      </c>
      <c r="HV281" s="76">
        <v>0</v>
      </c>
      <c r="HW281" s="76">
        <v>50</v>
      </c>
      <c r="HX281" s="76">
        <v>1905</v>
      </c>
    </row>
    <row r="282" spans="1:232" x14ac:dyDescent="0.2">
      <c r="A282" s="74" t="s">
        <v>759</v>
      </c>
      <c r="B282" s="74" t="s">
        <v>760</v>
      </c>
      <c r="C282" s="75" t="s">
        <v>200</v>
      </c>
      <c r="D282" s="75">
        <v>12</v>
      </c>
      <c r="E282" s="76">
        <v>65373</v>
      </c>
      <c r="F282" s="76">
        <v>-3320</v>
      </c>
      <c r="G282" s="76">
        <v>-41020</v>
      </c>
      <c r="H282" s="76">
        <v>21033</v>
      </c>
      <c r="I282" s="76">
        <v>40527</v>
      </c>
      <c r="J282" s="76">
        <v>-23000</v>
      </c>
      <c r="K282" s="76">
        <v>0</v>
      </c>
      <c r="L282" s="76">
        <v>0</v>
      </c>
      <c r="M282" s="76">
        <v>984</v>
      </c>
      <c r="N282" s="76">
        <v>-9858</v>
      </c>
      <c r="O282" s="76">
        <v>751</v>
      </c>
      <c r="P282" s="76">
        <v>61</v>
      </c>
      <c r="Q282" s="76">
        <v>0</v>
      </c>
      <c r="R282" s="76">
        <v>0</v>
      </c>
      <c r="S282" s="76">
        <v>30498</v>
      </c>
      <c r="T282" s="76">
        <v>382</v>
      </c>
      <c r="U282" s="76">
        <v>30880</v>
      </c>
      <c r="V282" s="76">
        <v>0</v>
      </c>
      <c r="W282" s="76">
        <v>-3735</v>
      </c>
      <c r="X282" s="76">
        <v>0</v>
      </c>
      <c r="Y282" s="76">
        <v>0</v>
      </c>
      <c r="Z282" s="76">
        <v>27145</v>
      </c>
      <c r="AA282" s="76">
        <v>37430</v>
      </c>
      <c r="AB282" s="76">
        <v>1635</v>
      </c>
      <c r="AC282" s="76">
        <v>39065</v>
      </c>
      <c r="AD282" s="76">
        <v>2232</v>
      </c>
      <c r="AE282" s="76">
        <v>0</v>
      </c>
      <c r="AF282" s="76">
        <v>0</v>
      </c>
      <c r="AG282" s="76">
        <v>0</v>
      </c>
      <c r="AH282" s="76">
        <v>41297</v>
      </c>
      <c r="AI282" s="76">
        <v>6640</v>
      </c>
      <c r="AJ282" s="76">
        <v>2056</v>
      </c>
      <c r="AK282" s="76">
        <v>3008</v>
      </c>
      <c r="AL282" s="76">
        <v>1495</v>
      </c>
      <c r="AM282" s="76">
        <v>2668</v>
      </c>
      <c r="AN282" s="76">
        <v>50</v>
      </c>
      <c r="AO282" s="76">
        <v>5600</v>
      </c>
      <c r="AP282" s="76">
        <v>0</v>
      </c>
      <c r="AQ282" s="76">
        <v>-1683</v>
      </c>
      <c r="AR282" s="76">
        <v>19834</v>
      </c>
      <c r="AS282" s="76">
        <v>21463</v>
      </c>
      <c r="AT282" s="76">
        <v>214</v>
      </c>
      <c r="AU282" s="76">
        <v>525736</v>
      </c>
      <c r="AV282" s="76">
        <v>0</v>
      </c>
      <c r="AW282" s="76">
        <v>10506</v>
      </c>
      <c r="AX282" s="76">
        <v>0</v>
      </c>
      <c r="AY282" s="76">
        <v>47322</v>
      </c>
      <c r="AZ282" s="76">
        <v>28555</v>
      </c>
      <c r="BA282" s="76">
        <v>0</v>
      </c>
      <c r="BB282" s="76">
        <v>0</v>
      </c>
      <c r="BC282" s="76">
        <v>0</v>
      </c>
      <c r="BD282" s="76">
        <v>0</v>
      </c>
      <c r="BE282" s="76">
        <v>612119</v>
      </c>
      <c r="BF282" s="76">
        <v>12427</v>
      </c>
      <c r="BG282" s="76">
        <v>3026</v>
      </c>
      <c r="BH282" s="76">
        <v>2877</v>
      </c>
      <c r="BI282" s="76">
        <v>0</v>
      </c>
      <c r="BJ282" s="76">
        <v>55726</v>
      </c>
      <c r="BK282" s="76">
        <v>74056</v>
      </c>
      <c r="BL282" s="76">
        <v>2961</v>
      </c>
      <c r="BM282" s="76">
        <v>0</v>
      </c>
      <c r="BN282" s="76">
        <v>2313</v>
      </c>
      <c r="BO282" s="76">
        <v>27855</v>
      </c>
      <c r="BP282" s="76">
        <v>33129</v>
      </c>
      <c r="BQ282" s="76">
        <v>40927</v>
      </c>
      <c r="BR282" s="76">
        <v>653046</v>
      </c>
      <c r="BS282" s="76">
        <v>262866</v>
      </c>
      <c r="BT282" s="76">
        <v>0</v>
      </c>
      <c r="BU282" s="76">
        <v>0</v>
      </c>
      <c r="BV282" s="76">
        <v>198768</v>
      </c>
      <c r="BW282" s="76">
        <v>39165</v>
      </c>
      <c r="BX282" s="76">
        <v>0</v>
      </c>
      <c r="BY282" s="76">
        <v>21055</v>
      </c>
      <c r="BZ282" s="76">
        <v>521854</v>
      </c>
      <c r="CA282" s="76">
        <v>13389</v>
      </c>
      <c r="CB282" s="76">
        <v>0</v>
      </c>
      <c r="CC282" s="76">
        <v>117803</v>
      </c>
      <c r="CD282" s="76">
        <v>117803</v>
      </c>
      <c r="CE282" s="76">
        <v>0</v>
      </c>
      <c r="CF282" s="76">
        <v>0</v>
      </c>
      <c r="CG282" s="76">
        <v>0</v>
      </c>
      <c r="CH282" s="76">
        <v>0</v>
      </c>
      <c r="CI282" s="76">
        <v>117803</v>
      </c>
      <c r="CJ282" s="76">
        <v>5461</v>
      </c>
      <c r="CK282" s="76">
        <v>3320</v>
      </c>
      <c r="CL282" s="76">
        <v>2251</v>
      </c>
      <c r="CM282" s="76">
        <v>-110</v>
      </c>
      <c r="CN282" s="76">
        <v>14408</v>
      </c>
      <c r="CO282" s="76">
        <v>0</v>
      </c>
      <c r="CP282" s="76">
        <v>14408</v>
      </c>
      <c r="CQ282" s="76">
        <v>0</v>
      </c>
      <c r="CR282" s="76">
        <v>0</v>
      </c>
      <c r="CS282" s="76">
        <v>0</v>
      </c>
      <c r="CT282" s="76">
        <v>2255</v>
      </c>
      <c r="CU282" s="76">
        <v>-2255</v>
      </c>
      <c r="CV282" s="76">
        <v>0</v>
      </c>
      <c r="CW282" s="76">
        <v>0</v>
      </c>
      <c r="CX282" s="76">
        <v>0</v>
      </c>
      <c r="CY282" s="76">
        <v>0</v>
      </c>
      <c r="CZ282" s="76">
        <v>1894</v>
      </c>
      <c r="DA282" s="76">
        <v>0</v>
      </c>
      <c r="DB282" s="76">
        <v>1362</v>
      </c>
      <c r="DC282" s="76">
        <v>532</v>
      </c>
      <c r="DD282" s="76">
        <v>21763</v>
      </c>
      <c r="DE282" s="76">
        <v>3320</v>
      </c>
      <c r="DF282" s="76">
        <v>20276</v>
      </c>
      <c r="DG282" s="76">
        <v>-1833</v>
      </c>
      <c r="DH282" s="76">
        <v>0</v>
      </c>
      <c r="DI282" s="76">
        <v>0</v>
      </c>
      <c r="DJ282" s="76">
        <v>0</v>
      </c>
      <c r="DK282" s="76">
        <v>0</v>
      </c>
      <c r="DL282" s="76">
        <v>0</v>
      </c>
      <c r="DM282" s="76">
        <v>0</v>
      </c>
      <c r="DN282" s="76">
        <v>0</v>
      </c>
      <c r="DO282" s="76">
        <v>0</v>
      </c>
      <c r="DP282" s="76">
        <v>0</v>
      </c>
      <c r="DQ282" s="76">
        <v>0</v>
      </c>
      <c r="DR282" s="76">
        <v>0</v>
      </c>
      <c r="DS282" s="76">
        <v>0</v>
      </c>
      <c r="DT282" s="76">
        <v>1635</v>
      </c>
      <c r="DU282" s="76">
        <v>0</v>
      </c>
      <c r="DV282" s="76">
        <v>495</v>
      </c>
      <c r="DW282" s="76">
        <v>1140</v>
      </c>
      <c r="DX282" s="76">
        <v>256</v>
      </c>
      <c r="DY282" s="76">
        <v>0</v>
      </c>
      <c r="DZ282" s="76">
        <v>253</v>
      </c>
      <c r="EA282" s="76">
        <v>3</v>
      </c>
      <c r="EB282" s="76">
        <v>422</v>
      </c>
      <c r="EC282" s="76">
        <v>0</v>
      </c>
      <c r="ED282" s="76">
        <v>162</v>
      </c>
      <c r="EE282" s="76">
        <v>260</v>
      </c>
      <c r="EF282" s="76">
        <v>2313</v>
      </c>
      <c r="EG282" s="76">
        <v>0</v>
      </c>
      <c r="EH282" s="76">
        <v>910</v>
      </c>
      <c r="EI282" s="76">
        <v>1403</v>
      </c>
      <c r="EJ282" s="76">
        <v>24076</v>
      </c>
      <c r="EK282" s="76">
        <v>3320</v>
      </c>
      <c r="EL282" s="76">
        <v>21186</v>
      </c>
      <c r="EM282" s="76">
        <v>-430</v>
      </c>
      <c r="EN282" s="76">
        <v>1631</v>
      </c>
      <c r="EO282" s="76">
        <v>231</v>
      </c>
      <c r="EP282" s="76">
        <v>339</v>
      </c>
      <c r="EQ282" s="76">
        <v>231</v>
      </c>
      <c r="ER282" s="76">
        <v>567812</v>
      </c>
      <c r="ES282" s="76">
        <v>0</v>
      </c>
      <c r="ET282" s="76">
        <v>567812</v>
      </c>
      <c r="EU282" s="76">
        <v>32334</v>
      </c>
      <c r="EV282" s="76">
        <v>-5302</v>
      </c>
      <c r="EW282" s="76">
        <v>0</v>
      </c>
      <c r="EX282" s="76">
        <v>-14092</v>
      </c>
      <c r="EY282" s="76">
        <v>-4787</v>
      </c>
      <c r="EZ282" s="76">
        <v>575965</v>
      </c>
      <c r="FA282" s="76">
        <v>48230</v>
      </c>
      <c r="FB282" s="76">
        <v>5600</v>
      </c>
      <c r="FC282" s="76">
        <v>0</v>
      </c>
      <c r="FD282" s="76">
        <v>0</v>
      </c>
      <c r="FE282" s="76">
        <v>-861</v>
      </c>
      <c r="FF282" s="76">
        <v>-2740</v>
      </c>
      <c r="FG282" s="76">
        <v>0</v>
      </c>
      <c r="FH282" s="76">
        <v>50229</v>
      </c>
      <c r="FI282" s="76">
        <v>525736</v>
      </c>
      <c r="FJ282" s="76">
        <v>519582</v>
      </c>
      <c r="FK282" s="76">
        <v>4252</v>
      </c>
      <c r="FL282" s="76">
        <v>2622</v>
      </c>
      <c r="FM282" s="76">
        <v>1630</v>
      </c>
      <c r="FN282" s="76">
        <v>122</v>
      </c>
      <c r="FO282" s="76">
        <v>107</v>
      </c>
      <c r="FP282" s="76">
        <v>15</v>
      </c>
      <c r="FQ282" s="76">
        <v>67</v>
      </c>
      <c r="FR282" s="76">
        <v>61</v>
      </c>
      <c r="FS282" s="76">
        <v>6</v>
      </c>
      <c r="FT282" s="76">
        <v>0</v>
      </c>
      <c r="FU282" s="76">
        <v>0</v>
      </c>
      <c r="FV282" s="76">
        <v>0</v>
      </c>
      <c r="FW282" s="76">
        <v>42757</v>
      </c>
      <c r="FX282" s="76">
        <v>4143</v>
      </c>
      <c r="FY282" s="76">
        <v>38614</v>
      </c>
      <c r="FZ282" s="76">
        <v>8554</v>
      </c>
      <c r="GA282" s="76">
        <v>8292</v>
      </c>
      <c r="GB282" s="76">
        <v>262</v>
      </c>
      <c r="GC282" s="76">
        <v>55752</v>
      </c>
      <c r="GD282" s="76">
        <v>15225</v>
      </c>
      <c r="GE282" s="76">
        <v>40527</v>
      </c>
      <c r="GF282" s="76">
        <v>0</v>
      </c>
      <c r="GG282" s="76">
        <v>123</v>
      </c>
      <c r="GH282" s="76">
        <v>1095</v>
      </c>
      <c r="GI282" s="76">
        <v>0</v>
      </c>
      <c r="GJ282" s="76">
        <v>735</v>
      </c>
      <c r="GK282" s="76">
        <v>53773</v>
      </c>
      <c r="GL282" s="76">
        <v>55726</v>
      </c>
      <c r="GM282" s="76">
        <v>11453</v>
      </c>
      <c r="GN282" s="76">
        <v>772</v>
      </c>
      <c r="GO282" s="76">
        <v>5005</v>
      </c>
      <c r="GP282" s="76">
        <v>0</v>
      </c>
      <c r="GQ282" s="76">
        <v>0</v>
      </c>
      <c r="GR282" s="76">
        <v>4093</v>
      </c>
      <c r="GS282" s="76">
        <v>0</v>
      </c>
      <c r="GT282" s="76">
        <v>0</v>
      </c>
      <c r="GU282" s="76">
        <v>0</v>
      </c>
      <c r="GV282" s="76">
        <v>0</v>
      </c>
      <c r="GW282" s="76">
        <v>6532</v>
      </c>
      <c r="GX282" s="76">
        <v>27855</v>
      </c>
      <c r="GY282" s="76">
        <v>13761</v>
      </c>
      <c r="GZ282" s="76">
        <v>159</v>
      </c>
      <c r="HA282" s="76">
        <v>0</v>
      </c>
      <c r="HB282" s="76">
        <v>7135</v>
      </c>
      <c r="HC282" s="76">
        <v>21055</v>
      </c>
      <c r="HD282" s="76">
        <v>0</v>
      </c>
      <c r="HE282" s="76">
        <v>0</v>
      </c>
      <c r="HF282" s="76">
        <v>0</v>
      </c>
      <c r="HG282" s="76">
        <v>9528</v>
      </c>
      <c r="HH282" s="76">
        <v>13</v>
      </c>
      <c r="HI282" s="76">
        <v>0</v>
      </c>
      <c r="HJ282" s="76">
        <v>40</v>
      </c>
      <c r="HK282" s="76">
        <v>277</v>
      </c>
      <c r="HL282" s="76">
        <v>0</v>
      </c>
      <c r="HM282" s="76">
        <v>9858</v>
      </c>
      <c r="HN282" s="76">
        <v>2212</v>
      </c>
      <c r="HO282" s="76">
        <v>6519</v>
      </c>
      <c r="HP282" s="76">
        <v>0</v>
      </c>
      <c r="HQ282" s="76">
        <v>225</v>
      </c>
      <c r="HR282" s="76">
        <v>-12</v>
      </c>
      <c r="HS282" s="76">
        <v>-267</v>
      </c>
      <c r="HT282" s="76">
        <v>7051</v>
      </c>
      <c r="HU282" s="76">
        <v>0</v>
      </c>
      <c r="HV282" s="76">
        <v>0</v>
      </c>
      <c r="HW282" s="76">
        <v>1</v>
      </c>
      <c r="HX282" s="76">
        <v>212</v>
      </c>
    </row>
    <row r="283" spans="1:232" x14ac:dyDescent="0.2">
      <c r="A283" s="74" t="s">
        <v>761</v>
      </c>
      <c r="B283" s="74" t="s">
        <v>762</v>
      </c>
      <c r="C283" s="75" t="s">
        <v>200</v>
      </c>
      <c r="D283" s="75">
        <v>12</v>
      </c>
      <c r="E283" s="76">
        <v>11596</v>
      </c>
      <c r="F283" s="76">
        <v>0</v>
      </c>
      <c r="G283" s="76">
        <v>-9428</v>
      </c>
      <c r="H283" s="76">
        <v>2168</v>
      </c>
      <c r="I283" s="76">
        <v>192</v>
      </c>
      <c r="J283" s="76">
        <v>-420</v>
      </c>
      <c r="K283" s="76">
        <v>0</v>
      </c>
      <c r="L283" s="76">
        <v>0</v>
      </c>
      <c r="M283" s="76">
        <v>4</v>
      </c>
      <c r="N283" s="76">
        <v>-1101</v>
      </c>
      <c r="O283" s="76">
        <v>130</v>
      </c>
      <c r="P283" s="76">
        <v>0</v>
      </c>
      <c r="Q283" s="76">
        <v>0</v>
      </c>
      <c r="R283" s="76">
        <v>0</v>
      </c>
      <c r="S283" s="76">
        <v>973</v>
      </c>
      <c r="T283" s="76">
        <v>-459</v>
      </c>
      <c r="U283" s="76">
        <v>514</v>
      </c>
      <c r="V283" s="76">
        <v>0</v>
      </c>
      <c r="W283" s="76">
        <v>-208</v>
      </c>
      <c r="X283" s="76">
        <v>0</v>
      </c>
      <c r="Y283" s="76">
        <v>-36</v>
      </c>
      <c r="Z283" s="76">
        <v>270</v>
      </c>
      <c r="AA283" s="76">
        <v>10364</v>
      </c>
      <c r="AB283" s="76">
        <v>527</v>
      </c>
      <c r="AC283" s="76">
        <v>10891</v>
      </c>
      <c r="AD283" s="76">
        <v>191</v>
      </c>
      <c r="AE283" s="76">
        <v>0</v>
      </c>
      <c r="AF283" s="76">
        <v>96</v>
      </c>
      <c r="AG283" s="76">
        <v>0</v>
      </c>
      <c r="AH283" s="76">
        <v>11178</v>
      </c>
      <c r="AI283" s="76">
        <v>2290</v>
      </c>
      <c r="AJ283" s="76">
        <v>692</v>
      </c>
      <c r="AK283" s="76">
        <v>1722</v>
      </c>
      <c r="AL283" s="76">
        <v>582</v>
      </c>
      <c r="AM283" s="76">
        <v>416</v>
      </c>
      <c r="AN283" s="76">
        <v>61</v>
      </c>
      <c r="AO283" s="76">
        <v>1853</v>
      </c>
      <c r="AP283" s="76">
        <v>0</v>
      </c>
      <c r="AQ283" s="76">
        <v>1414</v>
      </c>
      <c r="AR283" s="76">
        <v>9030</v>
      </c>
      <c r="AS283" s="76">
        <v>2148</v>
      </c>
      <c r="AT283" s="76">
        <v>125</v>
      </c>
      <c r="AU283" s="76">
        <v>56958</v>
      </c>
      <c r="AV283" s="76">
        <v>0</v>
      </c>
      <c r="AW283" s="76">
        <v>684</v>
      </c>
      <c r="AX283" s="76">
        <v>0</v>
      </c>
      <c r="AY283" s="76">
        <v>0</v>
      </c>
      <c r="AZ283" s="76">
        <v>1895</v>
      </c>
      <c r="BA283" s="76">
        <v>0</v>
      </c>
      <c r="BB283" s="76">
        <v>0</v>
      </c>
      <c r="BC283" s="76">
        <v>0</v>
      </c>
      <c r="BD283" s="76">
        <v>0</v>
      </c>
      <c r="BE283" s="76">
        <v>59537</v>
      </c>
      <c r="BF283" s="76">
        <v>0</v>
      </c>
      <c r="BG283" s="76">
        <v>1221</v>
      </c>
      <c r="BH283" s="76">
        <v>4340</v>
      </c>
      <c r="BI283" s="76">
        <v>0</v>
      </c>
      <c r="BJ283" s="76">
        <v>0</v>
      </c>
      <c r="BK283" s="76">
        <v>5561</v>
      </c>
      <c r="BL283" s="76">
        <v>1008</v>
      </c>
      <c r="BM283" s="76">
        <v>0</v>
      </c>
      <c r="BN283" s="76">
        <v>262</v>
      </c>
      <c r="BO283" s="76">
        <v>5249</v>
      </c>
      <c r="BP283" s="76">
        <v>6519</v>
      </c>
      <c r="BQ283" s="76">
        <v>-958</v>
      </c>
      <c r="BR283" s="76">
        <v>58579</v>
      </c>
      <c r="BS283" s="76">
        <v>23698</v>
      </c>
      <c r="BT283" s="76">
        <v>0</v>
      </c>
      <c r="BU283" s="76">
        <v>0</v>
      </c>
      <c r="BV283" s="76">
        <v>6588</v>
      </c>
      <c r="BW283" s="76">
        <v>0</v>
      </c>
      <c r="BX283" s="76">
        <v>0</v>
      </c>
      <c r="BY283" s="76">
        <v>1179</v>
      </c>
      <c r="BZ283" s="76">
        <v>31465</v>
      </c>
      <c r="CA283" s="76">
        <v>849</v>
      </c>
      <c r="CB283" s="76">
        <v>791</v>
      </c>
      <c r="CC283" s="76">
        <v>25474</v>
      </c>
      <c r="CD283" s="76">
        <v>25474</v>
      </c>
      <c r="CE283" s="76">
        <v>0</v>
      </c>
      <c r="CF283" s="76">
        <v>0</v>
      </c>
      <c r="CG283" s="76">
        <v>0</v>
      </c>
      <c r="CH283" s="76">
        <v>0</v>
      </c>
      <c r="CI283" s="76">
        <v>25474</v>
      </c>
      <c r="CJ283" s="76">
        <v>0</v>
      </c>
      <c r="CK283" s="76">
        <v>0</v>
      </c>
      <c r="CL283" s="76">
        <v>0</v>
      </c>
      <c r="CM283" s="76">
        <v>0</v>
      </c>
      <c r="CN283" s="76">
        <v>193</v>
      </c>
      <c r="CO283" s="76">
        <v>0</v>
      </c>
      <c r="CP283" s="76">
        <v>212</v>
      </c>
      <c r="CQ283" s="76">
        <v>-19</v>
      </c>
      <c r="CR283" s="76">
        <v>0</v>
      </c>
      <c r="CS283" s="76">
        <v>0</v>
      </c>
      <c r="CT283" s="76">
        <v>0</v>
      </c>
      <c r="CU283" s="76">
        <v>0</v>
      </c>
      <c r="CV283" s="76">
        <v>0</v>
      </c>
      <c r="CW283" s="76">
        <v>0</v>
      </c>
      <c r="CX283" s="76">
        <v>0</v>
      </c>
      <c r="CY283" s="76">
        <v>0</v>
      </c>
      <c r="CZ283" s="76">
        <v>9</v>
      </c>
      <c r="DA283" s="76">
        <v>0</v>
      </c>
      <c r="DB283" s="76">
        <v>7</v>
      </c>
      <c r="DC283" s="76">
        <v>2</v>
      </c>
      <c r="DD283" s="76">
        <v>202</v>
      </c>
      <c r="DE283" s="76">
        <v>0</v>
      </c>
      <c r="DF283" s="76">
        <v>219</v>
      </c>
      <c r="DG283" s="76">
        <v>-17</v>
      </c>
      <c r="DH283" s="76">
        <v>0</v>
      </c>
      <c r="DI283" s="76">
        <v>0</v>
      </c>
      <c r="DJ283" s="76">
        <v>0</v>
      </c>
      <c r="DK283" s="76">
        <v>0</v>
      </c>
      <c r="DL283" s="76">
        <v>0</v>
      </c>
      <c r="DM283" s="76">
        <v>0</v>
      </c>
      <c r="DN283" s="76">
        <v>0</v>
      </c>
      <c r="DO283" s="76">
        <v>0</v>
      </c>
      <c r="DP283" s="76">
        <v>0</v>
      </c>
      <c r="DQ283" s="76">
        <v>0</v>
      </c>
      <c r="DR283" s="76">
        <v>0</v>
      </c>
      <c r="DS283" s="76">
        <v>0</v>
      </c>
      <c r="DT283" s="76">
        <v>0</v>
      </c>
      <c r="DU283" s="76">
        <v>0</v>
      </c>
      <c r="DV283" s="76">
        <v>0</v>
      </c>
      <c r="DW283" s="76">
        <v>0</v>
      </c>
      <c r="DX283" s="76">
        <v>0</v>
      </c>
      <c r="DY283" s="76">
        <v>0</v>
      </c>
      <c r="DZ283" s="76">
        <v>0</v>
      </c>
      <c r="EA283" s="76">
        <v>0</v>
      </c>
      <c r="EB283" s="76">
        <v>216</v>
      </c>
      <c r="EC283" s="76">
        <v>0</v>
      </c>
      <c r="ED283" s="76">
        <v>179</v>
      </c>
      <c r="EE283" s="76">
        <v>37</v>
      </c>
      <c r="EF283" s="76">
        <v>216</v>
      </c>
      <c r="EG283" s="76">
        <v>0</v>
      </c>
      <c r="EH283" s="76">
        <v>179</v>
      </c>
      <c r="EI283" s="76">
        <v>37</v>
      </c>
      <c r="EJ283" s="76">
        <v>418</v>
      </c>
      <c r="EK283" s="76">
        <v>0</v>
      </c>
      <c r="EL283" s="76">
        <v>398</v>
      </c>
      <c r="EM283" s="76">
        <v>20</v>
      </c>
      <c r="EN283" s="76">
        <v>774</v>
      </c>
      <c r="EO283" s="76">
        <v>604</v>
      </c>
      <c r="EP283" s="76">
        <v>323</v>
      </c>
      <c r="EQ283" s="76">
        <v>566</v>
      </c>
      <c r="ER283" s="76">
        <v>70361</v>
      </c>
      <c r="ES283" s="76">
        <v>0</v>
      </c>
      <c r="ET283" s="76">
        <v>70361</v>
      </c>
      <c r="EU283" s="76">
        <v>7507</v>
      </c>
      <c r="EV283" s="76">
        <v>-182</v>
      </c>
      <c r="EW283" s="76">
        <v>0</v>
      </c>
      <c r="EX283" s="76">
        <v>0</v>
      </c>
      <c r="EY283" s="76">
        <v>0</v>
      </c>
      <c r="EZ283" s="76">
        <v>77686</v>
      </c>
      <c r="FA283" s="76">
        <v>18891</v>
      </c>
      <c r="FB283" s="76">
        <v>1889</v>
      </c>
      <c r="FC283" s="76">
        <v>0</v>
      </c>
      <c r="FD283" s="76">
        <v>0</v>
      </c>
      <c r="FE283" s="76">
        <v>-52</v>
      </c>
      <c r="FF283" s="76">
        <v>0</v>
      </c>
      <c r="FG283" s="76">
        <v>0</v>
      </c>
      <c r="FH283" s="76">
        <v>20728</v>
      </c>
      <c r="FI283" s="76">
        <v>56958</v>
      </c>
      <c r="FJ283" s="76">
        <v>51470</v>
      </c>
      <c r="FK283" s="76">
        <v>0</v>
      </c>
      <c r="FL283" s="76">
        <v>0</v>
      </c>
      <c r="FM283" s="76">
        <v>0</v>
      </c>
      <c r="FN283" s="76">
        <v>320</v>
      </c>
      <c r="FO283" s="76">
        <v>128</v>
      </c>
      <c r="FP283" s="76">
        <v>192</v>
      </c>
      <c r="FQ283" s="76">
        <v>0</v>
      </c>
      <c r="FR283" s="76">
        <v>0</v>
      </c>
      <c r="FS283" s="76">
        <v>0</v>
      </c>
      <c r="FT283" s="76">
        <v>0</v>
      </c>
      <c r="FU283" s="76">
        <v>0</v>
      </c>
      <c r="FV283" s="76">
        <v>0</v>
      </c>
      <c r="FW283" s="76">
        <v>0</v>
      </c>
      <c r="FX283" s="76">
        <v>0</v>
      </c>
      <c r="FY283" s="76">
        <v>0</v>
      </c>
      <c r="FZ283" s="76">
        <v>0</v>
      </c>
      <c r="GA283" s="76">
        <v>0</v>
      </c>
      <c r="GB283" s="76">
        <v>0</v>
      </c>
      <c r="GC283" s="76">
        <v>320</v>
      </c>
      <c r="GD283" s="76">
        <v>128</v>
      </c>
      <c r="GE283" s="76">
        <v>192</v>
      </c>
      <c r="GF283" s="76">
        <v>0</v>
      </c>
      <c r="GG283" s="76">
        <v>0</v>
      </c>
      <c r="GH283" s="76">
        <v>0</v>
      </c>
      <c r="GI283" s="76">
        <v>0</v>
      </c>
      <c r="GJ283" s="76">
        <v>0</v>
      </c>
      <c r="GK283" s="76">
        <v>0</v>
      </c>
      <c r="GL283" s="76">
        <v>0</v>
      </c>
      <c r="GM283" s="76">
        <v>24</v>
      </c>
      <c r="GN283" s="76">
        <v>0</v>
      </c>
      <c r="GO283" s="76">
        <v>3942</v>
      </c>
      <c r="GP283" s="76">
        <v>0</v>
      </c>
      <c r="GQ283" s="76">
        <v>0</v>
      </c>
      <c r="GR283" s="76">
        <v>935</v>
      </c>
      <c r="GS283" s="76">
        <v>0</v>
      </c>
      <c r="GT283" s="76">
        <v>0</v>
      </c>
      <c r="GU283" s="76">
        <v>1</v>
      </c>
      <c r="GV283" s="76">
        <v>0</v>
      </c>
      <c r="GW283" s="76">
        <v>347</v>
      </c>
      <c r="GX283" s="76">
        <v>5249</v>
      </c>
      <c r="GY283" s="76">
        <v>0</v>
      </c>
      <c r="GZ283" s="76">
        <v>0</v>
      </c>
      <c r="HA283" s="76">
        <v>1179</v>
      </c>
      <c r="HB283" s="76">
        <v>0</v>
      </c>
      <c r="HC283" s="76">
        <v>1179</v>
      </c>
      <c r="HD283" s="76">
        <v>0</v>
      </c>
      <c r="HE283" s="76">
        <v>791</v>
      </c>
      <c r="HF283" s="76">
        <v>791</v>
      </c>
      <c r="HG283" s="76">
        <v>1011</v>
      </c>
      <c r="HH283" s="76">
        <v>0</v>
      </c>
      <c r="HI283" s="76">
        <v>25</v>
      </c>
      <c r="HJ283" s="76">
        <v>0</v>
      </c>
      <c r="HK283" s="76">
        <v>65</v>
      </c>
      <c r="HL283" s="76">
        <v>0</v>
      </c>
      <c r="HM283" s="76">
        <v>1101</v>
      </c>
      <c r="HN283" s="76">
        <v>7507</v>
      </c>
      <c r="HO283" s="76">
        <v>1889</v>
      </c>
      <c r="HP283" s="76">
        <v>0</v>
      </c>
      <c r="HQ283" s="76">
        <v>0</v>
      </c>
      <c r="HR283" s="76">
        <v>-9</v>
      </c>
      <c r="HS283" s="76">
        <v>-2</v>
      </c>
      <c r="HT283" s="76">
        <v>2535</v>
      </c>
      <c r="HU283" s="76">
        <v>0</v>
      </c>
      <c r="HV283" s="76">
        <v>0</v>
      </c>
      <c r="HW283" s="76">
        <v>2</v>
      </c>
      <c r="HX283" s="76">
        <v>2</v>
      </c>
    </row>
    <row r="284" spans="1:232" x14ac:dyDescent="0.2">
      <c r="A284" s="71" t="s">
        <v>765</v>
      </c>
      <c r="B284" s="71" t="s">
        <v>766</v>
      </c>
      <c r="C284" s="72" t="s">
        <v>200</v>
      </c>
      <c r="D284" s="72">
        <v>12</v>
      </c>
      <c r="E284" s="73">
        <v>67019</v>
      </c>
      <c r="F284" s="73">
        <v>0</v>
      </c>
      <c r="G284" s="73">
        <v>-43121</v>
      </c>
      <c r="H284" s="73">
        <v>23898</v>
      </c>
      <c r="I284" s="73">
        <v>4417</v>
      </c>
      <c r="J284" s="73">
        <v>1937</v>
      </c>
      <c r="K284" s="73">
        <v>0</v>
      </c>
      <c r="L284" s="73">
        <v>0</v>
      </c>
      <c r="M284" s="73">
        <v>6</v>
      </c>
      <c r="N284" s="73">
        <v>-19846</v>
      </c>
      <c r="O284" s="73">
        <v>175</v>
      </c>
      <c r="P284" s="73">
        <v>0</v>
      </c>
      <c r="Q284" s="73">
        <v>0</v>
      </c>
      <c r="R284" s="73">
        <v>0</v>
      </c>
      <c r="S284" s="73">
        <v>10587</v>
      </c>
      <c r="T284" s="73">
        <v>-50</v>
      </c>
      <c r="U284" s="73">
        <v>10537</v>
      </c>
      <c r="V284" s="73">
        <v>0</v>
      </c>
      <c r="W284" s="73">
        <v>-9019</v>
      </c>
      <c r="X284" s="73">
        <v>0</v>
      </c>
      <c r="Y284" s="73">
        <v>0</v>
      </c>
      <c r="Z284" s="73">
        <v>1518</v>
      </c>
      <c r="AA284" s="73">
        <v>56545</v>
      </c>
      <c r="AB284" s="73">
        <v>5451</v>
      </c>
      <c r="AC284" s="73">
        <v>61996</v>
      </c>
      <c r="AD284" s="73">
        <v>685</v>
      </c>
      <c r="AE284" s="73">
        <v>0</v>
      </c>
      <c r="AF284" s="73">
        <v>0</v>
      </c>
      <c r="AG284" s="73">
        <v>0</v>
      </c>
      <c r="AH284" s="73">
        <v>62681</v>
      </c>
      <c r="AI284" s="73">
        <v>5931</v>
      </c>
      <c r="AJ284" s="73">
        <v>7639</v>
      </c>
      <c r="AK284" s="73">
        <v>11720</v>
      </c>
      <c r="AL284" s="73">
        <v>0</v>
      </c>
      <c r="AM284" s="73">
        <v>5481</v>
      </c>
      <c r="AN284" s="73">
        <v>115</v>
      </c>
      <c r="AO284" s="73">
        <v>10040</v>
      </c>
      <c r="AP284" s="73">
        <v>0</v>
      </c>
      <c r="AQ284" s="73">
        <v>0</v>
      </c>
      <c r="AR284" s="73">
        <v>40926</v>
      </c>
      <c r="AS284" s="73">
        <v>21755</v>
      </c>
      <c r="AT284" s="73">
        <v>438</v>
      </c>
      <c r="AU284" s="73">
        <v>538614</v>
      </c>
      <c r="AV284" s="73">
        <v>0</v>
      </c>
      <c r="AW284" s="73">
        <v>3887</v>
      </c>
      <c r="AX284" s="73">
        <v>0</v>
      </c>
      <c r="AY284" s="73">
        <v>0</v>
      </c>
      <c r="AZ284" s="73">
        <v>11276</v>
      </c>
      <c r="BA284" s="73">
        <v>0</v>
      </c>
      <c r="BB284" s="73">
        <v>0</v>
      </c>
      <c r="BC284" s="73">
        <v>0</v>
      </c>
      <c r="BD284" s="73">
        <v>0</v>
      </c>
      <c r="BE284" s="73">
        <v>553777</v>
      </c>
      <c r="BF284" s="73">
        <v>1816</v>
      </c>
      <c r="BG284" s="73">
        <v>7333</v>
      </c>
      <c r="BH284" s="73">
        <v>220</v>
      </c>
      <c r="BI284" s="73">
        <v>0</v>
      </c>
      <c r="BJ284" s="73">
        <v>283</v>
      </c>
      <c r="BK284" s="73">
        <v>9652</v>
      </c>
      <c r="BL284" s="73">
        <v>0</v>
      </c>
      <c r="BM284" s="73">
        <v>0</v>
      </c>
      <c r="BN284" s="73">
        <v>685</v>
      </c>
      <c r="BO284" s="73">
        <v>12478</v>
      </c>
      <c r="BP284" s="73">
        <v>13163</v>
      </c>
      <c r="BQ284" s="73">
        <v>-3511</v>
      </c>
      <c r="BR284" s="73">
        <v>550266</v>
      </c>
      <c r="BS284" s="73">
        <v>354007</v>
      </c>
      <c r="BT284" s="73">
        <v>0</v>
      </c>
      <c r="BU284" s="73">
        <v>0</v>
      </c>
      <c r="BV284" s="73">
        <v>73745</v>
      </c>
      <c r="BW284" s="73">
        <v>0</v>
      </c>
      <c r="BX284" s="73">
        <v>0</v>
      </c>
      <c r="BY284" s="73">
        <v>1989</v>
      </c>
      <c r="BZ284" s="73">
        <v>429741</v>
      </c>
      <c r="CA284" s="73">
        <v>40716</v>
      </c>
      <c r="CB284" s="73">
        <v>0</v>
      </c>
      <c r="CC284" s="73">
        <v>79809</v>
      </c>
      <c r="CD284" s="73">
        <v>78963</v>
      </c>
      <c r="CE284" s="73">
        <v>0</v>
      </c>
      <c r="CF284" s="73">
        <v>846</v>
      </c>
      <c r="CG284" s="73">
        <v>0</v>
      </c>
      <c r="CH284" s="73">
        <v>0</v>
      </c>
      <c r="CI284" s="73">
        <v>79809</v>
      </c>
      <c r="CJ284" s="73">
        <v>1705</v>
      </c>
      <c r="CK284" s="73">
        <v>0</v>
      </c>
      <c r="CL284" s="73">
        <v>1221</v>
      </c>
      <c r="CM284" s="73">
        <v>484</v>
      </c>
      <c r="CN284" s="73">
        <v>0</v>
      </c>
      <c r="CO284" s="73">
        <v>0</v>
      </c>
      <c r="CP284" s="73">
        <v>0</v>
      </c>
      <c r="CQ284" s="73">
        <v>0</v>
      </c>
      <c r="CR284" s="73">
        <v>0</v>
      </c>
      <c r="CS284" s="73">
        <v>0</v>
      </c>
      <c r="CT284" s="73">
        <v>0</v>
      </c>
      <c r="CU284" s="73">
        <v>0</v>
      </c>
      <c r="CV284" s="73">
        <v>0</v>
      </c>
      <c r="CW284" s="73">
        <v>0</v>
      </c>
      <c r="CX284" s="73">
        <v>0</v>
      </c>
      <c r="CY284" s="73">
        <v>0</v>
      </c>
      <c r="CZ284" s="73">
        <v>1545</v>
      </c>
      <c r="DA284" s="73">
        <v>0</v>
      </c>
      <c r="DB284" s="73">
        <v>974</v>
      </c>
      <c r="DC284" s="73">
        <v>571</v>
      </c>
      <c r="DD284" s="73">
        <v>3250</v>
      </c>
      <c r="DE284" s="73">
        <v>0</v>
      </c>
      <c r="DF284" s="73">
        <v>2195</v>
      </c>
      <c r="DG284" s="73">
        <v>1055</v>
      </c>
      <c r="DH284" s="73">
        <v>0</v>
      </c>
      <c r="DI284" s="73">
        <v>0</v>
      </c>
      <c r="DJ284" s="73">
        <v>0</v>
      </c>
      <c r="DK284" s="73">
        <v>0</v>
      </c>
      <c r="DL284" s="73">
        <v>0</v>
      </c>
      <c r="DM284" s="73">
        <v>0</v>
      </c>
      <c r="DN284" s="73">
        <v>0</v>
      </c>
      <c r="DO284" s="73">
        <v>0</v>
      </c>
      <c r="DP284" s="73">
        <v>0</v>
      </c>
      <c r="DQ284" s="73">
        <v>0</v>
      </c>
      <c r="DR284" s="73">
        <v>0</v>
      </c>
      <c r="DS284" s="73">
        <v>0</v>
      </c>
      <c r="DT284" s="73">
        <v>0</v>
      </c>
      <c r="DU284" s="73">
        <v>0</v>
      </c>
      <c r="DV284" s="73">
        <v>0</v>
      </c>
      <c r="DW284" s="73">
        <v>0</v>
      </c>
      <c r="DX284" s="73">
        <v>0</v>
      </c>
      <c r="DY284" s="73">
        <v>0</v>
      </c>
      <c r="DZ284" s="73">
        <v>0</v>
      </c>
      <c r="EA284" s="73">
        <v>0</v>
      </c>
      <c r="EB284" s="73">
        <v>1088</v>
      </c>
      <c r="EC284" s="73">
        <v>0</v>
      </c>
      <c r="ED284" s="73">
        <v>0</v>
      </c>
      <c r="EE284" s="73">
        <v>1088</v>
      </c>
      <c r="EF284" s="73">
        <v>1088</v>
      </c>
      <c r="EG284" s="73">
        <v>0</v>
      </c>
      <c r="EH284" s="73">
        <v>0</v>
      </c>
      <c r="EI284" s="73">
        <v>1088</v>
      </c>
      <c r="EJ284" s="73">
        <v>4338</v>
      </c>
      <c r="EK284" s="73">
        <v>0</v>
      </c>
      <c r="EL284" s="73">
        <v>2195</v>
      </c>
      <c r="EM284" s="73">
        <v>2143</v>
      </c>
      <c r="EN284" s="73">
        <v>372</v>
      </c>
      <c r="EO284" s="73">
        <v>557</v>
      </c>
      <c r="EP284" s="73">
        <v>199</v>
      </c>
      <c r="EQ284" s="73">
        <v>557</v>
      </c>
      <c r="ER284" s="73">
        <v>544944</v>
      </c>
      <c r="ES284" s="73">
        <v>0</v>
      </c>
      <c r="ET284" s="73">
        <v>544944</v>
      </c>
      <c r="EU284" s="73">
        <v>77631</v>
      </c>
      <c r="EV284" s="73">
        <v>-12306</v>
      </c>
      <c r="EW284" s="73">
        <v>0</v>
      </c>
      <c r="EX284" s="73">
        <v>0</v>
      </c>
      <c r="EY284" s="73">
        <v>0</v>
      </c>
      <c r="EZ284" s="73">
        <v>610269</v>
      </c>
      <c r="FA284" s="73">
        <v>64681</v>
      </c>
      <c r="FB284" s="73">
        <v>10040</v>
      </c>
      <c r="FC284" s="73">
        <v>0</v>
      </c>
      <c r="FD284" s="73">
        <v>0</v>
      </c>
      <c r="FE284" s="73">
        <v>-3066</v>
      </c>
      <c r="FF284" s="73">
        <v>0</v>
      </c>
      <c r="FG284" s="73">
        <v>0</v>
      </c>
      <c r="FH284" s="73">
        <v>71655</v>
      </c>
      <c r="FI284" s="73">
        <v>538614</v>
      </c>
      <c r="FJ284" s="73">
        <v>480263</v>
      </c>
      <c r="FK284" s="73">
        <v>0</v>
      </c>
      <c r="FL284" s="73">
        <v>0</v>
      </c>
      <c r="FM284" s="73">
        <v>0</v>
      </c>
      <c r="FN284" s="73">
        <v>1620</v>
      </c>
      <c r="FO284" s="73">
        <v>1247</v>
      </c>
      <c r="FP284" s="73">
        <v>373</v>
      </c>
      <c r="FQ284" s="73">
        <v>1360</v>
      </c>
      <c r="FR284" s="73">
        <v>1216</v>
      </c>
      <c r="FS284" s="73">
        <v>144</v>
      </c>
      <c r="FT284" s="73">
        <v>9403</v>
      </c>
      <c r="FU284" s="73">
        <v>5549</v>
      </c>
      <c r="FV284" s="73">
        <v>3854</v>
      </c>
      <c r="FW284" s="73">
        <v>0</v>
      </c>
      <c r="FX284" s="73">
        <v>0</v>
      </c>
      <c r="FY284" s="73">
        <v>0</v>
      </c>
      <c r="FZ284" s="73">
        <v>46</v>
      </c>
      <c r="GA284" s="73">
        <v>0</v>
      </c>
      <c r="GB284" s="73">
        <v>46</v>
      </c>
      <c r="GC284" s="73">
        <v>12429</v>
      </c>
      <c r="GD284" s="73">
        <v>8012</v>
      </c>
      <c r="GE284" s="73">
        <v>4417</v>
      </c>
      <c r="GF284" s="73">
        <v>0</v>
      </c>
      <c r="GG284" s="73">
        <v>0</v>
      </c>
      <c r="GH284" s="73">
        <v>0</v>
      </c>
      <c r="GI284" s="73">
        <v>0</v>
      </c>
      <c r="GJ284" s="73">
        <v>0</v>
      </c>
      <c r="GK284" s="73">
        <v>283</v>
      </c>
      <c r="GL284" s="73">
        <v>283</v>
      </c>
      <c r="GM284" s="73">
        <v>1791</v>
      </c>
      <c r="GN284" s="73">
        <v>1199</v>
      </c>
      <c r="GO284" s="73">
        <v>3969</v>
      </c>
      <c r="GP284" s="73">
        <v>0</v>
      </c>
      <c r="GQ284" s="73">
        <v>1021</v>
      </c>
      <c r="GR284" s="73">
        <v>3079</v>
      </c>
      <c r="GS284" s="73">
        <v>0</v>
      </c>
      <c r="GT284" s="73">
        <v>0</v>
      </c>
      <c r="GU284" s="73">
        <v>0</v>
      </c>
      <c r="GV284" s="73">
        <v>0</v>
      </c>
      <c r="GW284" s="73">
        <v>1419</v>
      </c>
      <c r="GX284" s="73">
        <v>12478</v>
      </c>
      <c r="GY284" s="73">
        <v>492</v>
      </c>
      <c r="GZ284" s="73">
        <v>1497</v>
      </c>
      <c r="HA284" s="73">
        <v>0</v>
      </c>
      <c r="HB284" s="73">
        <v>0</v>
      </c>
      <c r="HC284" s="73">
        <v>1989</v>
      </c>
      <c r="HD284" s="73">
        <v>0</v>
      </c>
      <c r="HE284" s="73">
        <v>0</v>
      </c>
      <c r="HF284" s="73">
        <v>0</v>
      </c>
      <c r="HG284" s="73">
        <v>17351</v>
      </c>
      <c r="HH284" s="73">
        <v>1428</v>
      </c>
      <c r="HI284" s="73">
        <v>1045</v>
      </c>
      <c r="HJ284" s="73">
        <v>11</v>
      </c>
      <c r="HK284" s="73">
        <v>11</v>
      </c>
      <c r="HL284" s="73">
        <v>0</v>
      </c>
      <c r="HM284" s="73">
        <v>19846</v>
      </c>
      <c r="HN284" s="73">
        <v>6080</v>
      </c>
      <c r="HO284" s="73">
        <v>10552</v>
      </c>
      <c r="HP284" s="73">
        <v>0</v>
      </c>
      <c r="HQ284" s="73">
        <v>445</v>
      </c>
      <c r="HR284" s="73">
        <v>-308</v>
      </c>
      <c r="HS284" s="73">
        <v>0</v>
      </c>
      <c r="HT284" s="73">
        <v>11740</v>
      </c>
      <c r="HU284" s="73">
        <v>0</v>
      </c>
      <c r="HV284" s="73">
        <v>0</v>
      </c>
      <c r="HW284" s="73">
        <v>0</v>
      </c>
      <c r="HX284" s="73">
        <v>0</v>
      </c>
    </row>
    <row r="285" spans="1:232" x14ac:dyDescent="0.2">
      <c r="A285" s="71" t="s">
        <v>769</v>
      </c>
      <c r="B285" s="71" t="s">
        <v>770</v>
      </c>
      <c r="C285" s="72" t="s">
        <v>200</v>
      </c>
      <c r="D285" s="72">
        <v>12</v>
      </c>
      <c r="E285" s="73">
        <v>18516</v>
      </c>
      <c r="F285" s="73">
        <v>-309</v>
      </c>
      <c r="G285" s="73">
        <v>-12089</v>
      </c>
      <c r="H285" s="73">
        <v>6118</v>
      </c>
      <c r="I285" s="73">
        <v>61</v>
      </c>
      <c r="J285" s="73">
        <v>734</v>
      </c>
      <c r="K285" s="73">
        <v>0</v>
      </c>
      <c r="L285" s="73">
        <v>374</v>
      </c>
      <c r="M285" s="73">
        <v>11</v>
      </c>
      <c r="N285" s="73">
        <v>-3190</v>
      </c>
      <c r="O285" s="73">
        <v>0</v>
      </c>
      <c r="P285" s="73">
        <v>0</v>
      </c>
      <c r="Q285" s="73">
        <v>0</v>
      </c>
      <c r="R285" s="73">
        <v>0</v>
      </c>
      <c r="S285" s="73">
        <v>4108</v>
      </c>
      <c r="T285" s="73">
        <v>-17</v>
      </c>
      <c r="U285" s="73">
        <v>4091</v>
      </c>
      <c r="V285" s="73">
        <v>0</v>
      </c>
      <c r="W285" s="73">
        <v>0</v>
      </c>
      <c r="X285" s="73">
        <v>0</v>
      </c>
      <c r="Y285" s="73">
        <v>0</v>
      </c>
      <c r="Z285" s="73">
        <v>4091</v>
      </c>
      <c r="AA285" s="73">
        <v>13946</v>
      </c>
      <c r="AB285" s="73">
        <v>1658</v>
      </c>
      <c r="AC285" s="73">
        <v>15604</v>
      </c>
      <c r="AD285" s="73">
        <v>1655</v>
      </c>
      <c r="AE285" s="73">
        <v>0</v>
      </c>
      <c r="AF285" s="73">
        <v>0</v>
      </c>
      <c r="AG285" s="73">
        <v>10</v>
      </c>
      <c r="AH285" s="73">
        <v>17269</v>
      </c>
      <c r="AI285" s="73">
        <v>2123</v>
      </c>
      <c r="AJ285" s="73">
        <v>1415</v>
      </c>
      <c r="AK285" s="73">
        <v>1946</v>
      </c>
      <c r="AL285" s="73">
        <v>1688</v>
      </c>
      <c r="AM285" s="73">
        <v>135</v>
      </c>
      <c r="AN285" s="73">
        <v>170</v>
      </c>
      <c r="AO285" s="73">
        <v>3502</v>
      </c>
      <c r="AP285" s="73">
        <v>0</v>
      </c>
      <c r="AQ285" s="73">
        <v>70</v>
      </c>
      <c r="AR285" s="73">
        <v>11049</v>
      </c>
      <c r="AS285" s="73">
        <v>6220</v>
      </c>
      <c r="AT285" s="73">
        <v>481</v>
      </c>
      <c r="AU285" s="73">
        <v>187288</v>
      </c>
      <c r="AV285" s="73">
        <v>0</v>
      </c>
      <c r="AW285" s="73">
        <v>1537</v>
      </c>
      <c r="AX285" s="73">
        <v>0</v>
      </c>
      <c r="AY285" s="73">
        <v>222</v>
      </c>
      <c r="AZ285" s="73">
        <v>0</v>
      </c>
      <c r="BA285" s="73">
        <v>0</v>
      </c>
      <c r="BB285" s="73">
        <v>0</v>
      </c>
      <c r="BC285" s="73">
        <v>0</v>
      </c>
      <c r="BD285" s="73">
        <v>6</v>
      </c>
      <c r="BE285" s="73">
        <v>189053</v>
      </c>
      <c r="BF285" s="73">
        <v>0</v>
      </c>
      <c r="BG285" s="73">
        <v>539</v>
      </c>
      <c r="BH285" s="73">
        <v>5097</v>
      </c>
      <c r="BI285" s="73">
        <v>0</v>
      </c>
      <c r="BJ285" s="73">
        <v>1612</v>
      </c>
      <c r="BK285" s="73">
        <v>7248</v>
      </c>
      <c r="BL285" s="73">
        <v>2997</v>
      </c>
      <c r="BM285" s="73">
        <v>0</v>
      </c>
      <c r="BN285" s="73">
        <v>1655</v>
      </c>
      <c r="BO285" s="73">
        <v>5681</v>
      </c>
      <c r="BP285" s="73">
        <v>10333</v>
      </c>
      <c r="BQ285" s="73">
        <v>-3085</v>
      </c>
      <c r="BR285" s="73">
        <v>185968</v>
      </c>
      <c r="BS285" s="73">
        <v>73351</v>
      </c>
      <c r="BT285" s="73">
        <v>0</v>
      </c>
      <c r="BU285" s="73">
        <v>0</v>
      </c>
      <c r="BV285" s="73">
        <v>80397</v>
      </c>
      <c r="BW285" s="73">
        <v>222</v>
      </c>
      <c r="BX285" s="73">
        <v>0</v>
      </c>
      <c r="BY285" s="73">
        <v>3339</v>
      </c>
      <c r="BZ285" s="73">
        <v>157309</v>
      </c>
      <c r="CA285" s="73">
        <v>0</v>
      </c>
      <c r="CB285" s="73">
        <v>0</v>
      </c>
      <c r="CC285" s="73">
        <v>28659</v>
      </c>
      <c r="CD285" s="73">
        <v>28659</v>
      </c>
      <c r="CE285" s="73">
        <v>0</v>
      </c>
      <c r="CF285" s="73">
        <v>0</v>
      </c>
      <c r="CG285" s="73">
        <v>0</v>
      </c>
      <c r="CH285" s="73">
        <v>0</v>
      </c>
      <c r="CI285" s="73">
        <v>28659</v>
      </c>
      <c r="CJ285" s="73">
        <v>331</v>
      </c>
      <c r="CK285" s="73">
        <v>309</v>
      </c>
      <c r="CL285" s="73">
        <v>0</v>
      </c>
      <c r="CM285" s="73">
        <v>22</v>
      </c>
      <c r="CN285" s="73">
        <v>0</v>
      </c>
      <c r="CO285" s="73">
        <v>0</v>
      </c>
      <c r="CP285" s="73">
        <v>0</v>
      </c>
      <c r="CQ285" s="73">
        <v>0</v>
      </c>
      <c r="CR285" s="73">
        <v>0</v>
      </c>
      <c r="CS285" s="73">
        <v>0</v>
      </c>
      <c r="CT285" s="73">
        <v>245</v>
      </c>
      <c r="CU285" s="73">
        <v>-245</v>
      </c>
      <c r="CV285" s="73">
        <v>0</v>
      </c>
      <c r="CW285" s="73">
        <v>0</v>
      </c>
      <c r="CX285" s="73">
        <v>0</v>
      </c>
      <c r="CY285" s="73">
        <v>0</v>
      </c>
      <c r="CZ285" s="73">
        <v>0</v>
      </c>
      <c r="DA285" s="73">
        <v>0</v>
      </c>
      <c r="DB285" s="73">
        <v>-133</v>
      </c>
      <c r="DC285" s="73">
        <v>133</v>
      </c>
      <c r="DD285" s="73">
        <v>331</v>
      </c>
      <c r="DE285" s="73">
        <v>309</v>
      </c>
      <c r="DF285" s="73">
        <v>112</v>
      </c>
      <c r="DG285" s="73">
        <v>-90</v>
      </c>
      <c r="DH285" s="73">
        <v>0</v>
      </c>
      <c r="DI285" s="73">
        <v>0</v>
      </c>
      <c r="DJ285" s="73">
        <v>0</v>
      </c>
      <c r="DK285" s="73">
        <v>0</v>
      </c>
      <c r="DL285" s="73">
        <v>0</v>
      </c>
      <c r="DM285" s="73">
        <v>0</v>
      </c>
      <c r="DN285" s="73">
        <v>0</v>
      </c>
      <c r="DO285" s="73">
        <v>0</v>
      </c>
      <c r="DP285" s="73">
        <v>0</v>
      </c>
      <c r="DQ285" s="73">
        <v>0</v>
      </c>
      <c r="DR285" s="73">
        <v>0</v>
      </c>
      <c r="DS285" s="73">
        <v>0</v>
      </c>
      <c r="DT285" s="73">
        <v>0</v>
      </c>
      <c r="DU285" s="73">
        <v>0</v>
      </c>
      <c r="DV285" s="73">
        <v>0</v>
      </c>
      <c r="DW285" s="73">
        <v>0</v>
      </c>
      <c r="DX285" s="73">
        <v>0</v>
      </c>
      <c r="DY285" s="73">
        <v>0</v>
      </c>
      <c r="DZ285" s="73">
        <v>0</v>
      </c>
      <c r="EA285" s="73">
        <v>0</v>
      </c>
      <c r="EB285" s="73">
        <v>916</v>
      </c>
      <c r="EC285" s="73">
        <v>0</v>
      </c>
      <c r="ED285" s="73">
        <v>928</v>
      </c>
      <c r="EE285" s="73">
        <v>-12</v>
      </c>
      <c r="EF285" s="73">
        <v>916</v>
      </c>
      <c r="EG285" s="73">
        <v>0</v>
      </c>
      <c r="EH285" s="73">
        <v>928</v>
      </c>
      <c r="EI285" s="73">
        <v>-12</v>
      </c>
      <c r="EJ285" s="73">
        <v>1247</v>
      </c>
      <c r="EK285" s="73">
        <v>309</v>
      </c>
      <c r="EL285" s="73">
        <v>1040</v>
      </c>
      <c r="EM285" s="73">
        <v>-102</v>
      </c>
      <c r="EN285" s="73">
        <v>636</v>
      </c>
      <c r="EO285" s="73">
        <v>610</v>
      </c>
      <c r="EP285" s="73">
        <v>97</v>
      </c>
      <c r="EQ285" s="73">
        <v>610</v>
      </c>
      <c r="ER285" s="73">
        <v>217440</v>
      </c>
      <c r="ES285" s="73">
        <v>0</v>
      </c>
      <c r="ET285" s="73">
        <v>217440</v>
      </c>
      <c r="EU285" s="73">
        <v>6870</v>
      </c>
      <c r="EV285" s="73">
        <v>-397</v>
      </c>
      <c r="EW285" s="73">
        <v>0</v>
      </c>
      <c r="EX285" s="73">
        <v>0</v>
      </c>
      <c r="EY285" s="73">
        <v>0</v>
      </c>
      <c r="EZ285" s="73">
        <v>223913</v>
      </c>
      <c r="FA285" s="73">
        <v>33180</v>
      </c>
      <c r="FB285" s="73">
        <v>3502</v>
      </c>
      <c r="FC285" s="73">
        <v>0</v>
      </c>
      <c r="FD285" s="73">
        <v>0</v>
      </c>
      <c r="FE285" s="73">
        <v>-57</v>
      </c>
      <c r="FF285" s="73">
        <v>0</v>
      </c>
      <c r="FG285" s="73">
        <v>0</v>
      </c>
      <c r="FH285" s="73">
        <v>36625</v>
      </c>
      <c r="FI285" s="73">
        <v>187288</v>
      </c>
      <c r="FJ285" s="73">
        <v>184260</v>
      </c>
      <c r="FK285" s="73">
        <v>327</v>
      </c>
      <c r="FL285" s="73">
        <v>266</v>
      </c>
      <c r="FM285" s="73">
        <v>61</v>
      </c>
      <c r="FN285" s="73">
        <v>0</v>
      </c>
      <c r="FO285" s="73">
        <v>0</v>
      </c>
      <c r="FP285" s="73">
        <v>0</v>
      </c>
      <c r="FQ285" s="73">
        <v>0</v>
      </c>
      <c r="FR285" s="73">
        <v>0</v>
      </c>
      <c r="FS285" s="73">
        <v>0</v>
      </c>
      <c r="FT285" s="73">
        <v>0</v>
      </c>
      <c r="FU285" s="73">
        <v>0</v>
      </c>
      <c r="FV285" s="73">
        <v>0</v>
      </c>
      <c r="FW285" s="73">
        <v>0</v>
      </c>
      <c r="FX285" s="73">
        <v>0</v>
      </c>
      <c r="FY285" s="73">
        <v>0</v>
      </c>
      <c r="FZ285" s="73">
        <v>0</v>
      </c>
      <c r="GA285" s="73">
        <v>0</v>
      </c>
      <c r="GB285" s="73">
        <v>0</v>
      </c>
      <c r="GC285" s="73">
        <v>327</v>
      </c>
      <c r="GD285" s="73">
        <v>266</v>
      </c>
      <c r="GE285" s="73">
        <v>61</v>
      </c>
      <c r="GF285" s="73">
        <v>151</v>
      </c>
      <c r="GG285" s="73">
        <v>0</v>
      </c>
      <c r="GH285" s="73">
        <v>0</v>
      </c>
      <c r="GI285" s="73">
        <v>0</v>
      </c>
      <c r="GJ285" s="73">
        <v>0</v>
      </c>
      <c r="GK285" s="73">
        <v>1461</v>
      </c>
      <c r="GL285" s="73">
        <v>1612</v>
      </c>
      <c r="GM285" s="73">
        <v>92</v>
      </c>
      <c r="GN285" s="73">
        <v>281</v>
      </c>
      <c r="GO285" s="73">
        <v>253</v>
      </c>
      <c r="GP285" s="73">
        <v>138</v>
      </c>
      <c r="GQ285" s="73">
        <v>53</v>
      </c>
      <c r="GR285" s="73">
        <v>3715</v>
      </c>
      <c r="GS285" s="73">
        <v>0</v>
      </c>
      <c r="GT285" s="73">
        <v>0</v>
      </c>
      <c r="GU285" s="73">
        <v>396</v>
      </c>
      <c r="GV285" s="73">
        <v>0</v>
      </c>
      <c r="GW285" s="73">
        <v>753</v>
      </c>
      <c r="GX285" s="73">
        <v>5681</v>
      </c>
      <c r="GY285" s="73">
        <v>80</v>
      </c>
      <c r="GZ285" s="73">
        <v>0</v>
      </c>
      <c r="HA285" s="73">
        <v>3195</v>
      </c>
      <c r="HB285" s="73">
        <v>64</v>
      </c>
      <c r="HC285" s="73">
        <v>3339</v>
      </c>
      <c r="HD285" s="73">
        <v>0</v>
      </c>
      <c r="HE285" s="73">
        <v>0</v>
      </c>
      <c r="HF285" s="73">
        <v>0</v>
      </c>
      <c r="HG285" s="73">
        <v>3174</v>
      </c>
      <c r="HH285" s="73">
        <v>60</v>
      </c>
      <c r="HI285" s="73">
        <v>0</v>
      </c>
      <c r="HJ285" s="73">
        <v>0</v>
      </c>
      <c r="HK285" s="73">
        <v>75</v>
      </c>
      <c r="HL285" s="73">
        <v>-119</v>
      </c>
      <c r="HM285" s="73">
        <v>3190</v>
      </c>
      <c r="HN285" s="73">
        <v>3287</v>
      </c>
      <c r="HO285" s="73">
        <v>3634</v>
      </c>
      <c r="HP285" s="73">
        <v>0</v>
      </c>
      <c r="HQ285" s="73">
        <v>16</v>
      </c>
      <c r="HR285" s="73">
        <v>-3</v>
      </c>
      <c r="HS285" s="73">
        <v>-1</v>
      </c>
      <c r="HT285" s="73">
        <v>3137</v>
      </c>
      <c r="HU285" s="73">
        <v>0</v>
      </c>
      <c r="HV285" s="73">
        <v>0</v>
      </c>
      <c r="HW285" s="73">
        <v>56</v>
      </c>
      <c r="HX285" s="73">
        <v>56</v>
      </c>
    </row>
    <row r="286" spans="1:232" x14ac:dyDescent="0.2">
      <c r="A286" s="74" t="s">
        <v>175</v>
      </c>
      <c r="B286" s="74" t="s">
        <v>174</v>
      </c>
      <c r="C286" s="75" t="s">
        <v>200</v>
      </c>
      <c r="D286" s="75">
        <v>12</v>
      </c>
      <c r="E286" s="76">
        <v>27893</v>
      </c>
      <c r="F286" s="76">
        <v>-2585</v>
      </c>
      <c r="G286" s="76">
        <v>-17130</v>
      </c>
      <c r="H286" s="76">
        <v>8178</v>
      </c>
      <c r="I286" s="76">
        <v>134</v>
      </c>
      <c r="J286" s="76">
        <v>97</v>
      </c>
      <c r="K286" s="76">
        <v>0</v>
      </c>
      <c r="L286" s="76">
        <v>0</v>
      </c>
      <c r="M286" s="76">
        <v>218</v>
      </c>
      <c r="N286" s="76">
        <v>-4326</v>
      </c>
      <c r="O286" s="76">
        <v>0</v>
      </c>
      <c r="P286" s="76">
        <v>0</v>
      </c>
      <c r="Q286" s="76">
        <v>0</v>
      </c>
      <c r="R286" s="76">
        <v>0</v>
      </c>
      <c r="S286" s="76">
        <v>4301</v>
      </c>
      <c r="T286" s="76">
        <v>0</v>
      </c>
      <c r="U286" s="76">
        <v>4301</v>
      </c>
      <c r="V286" s="76">
        <v>0</v>
      </c>
      <c r="W286" s="76">
        <v>-488</v>
      </c>
      <c r="X286" s="76">
        <v>0</v>
      </c>
      <c r="Y286" s="76">
        <v>0</v>
      </c>
      <c r="Z286" s="76">
        <v>3813</v>
      </c>
      <c r="AA286" s="76">
        <v>22055</v>
      </c>
      <c r="AB286" s="76">
        <v>1830</v>
      </c>
      <c r="AC286" s="76">
        <v>23885</v>
      </c>
      <c r="AD286" s="76">
        <v>39</v>
      </c>
      <c r="AE286" s="76">
        <v>0</v>
      </c>
      <c r="AF286" s="76">
        <v>0</v>
      </c>
      <c r="AG286" s="76">
        <v>25</v>
      </c>
      <c r="AH286" s="76">
        <v>23949</v>
      </c>
      <c r="AI286" s="76">
        <v>6268</v>
      </c>
      <c r="AJ286" s="76">
        <v>2008</v>
      </c>
      <c r="AK286" s="76">
        <v>2655</v>
      </c>
      <c r="AL286" s="76">
        <v>1606</v>
      </c>
      <c r="AM286" s="76">
        <v>0</v>
      </c>
      <c r="AN286" s="76">
        <v>71</v>
      </c>
      <c r="AO286" s="76">
        <v>2916</v>
      </c>
      <c r="AP286" s="76">
        <v>0</v>
      </c>
      <c r="AQ286" s="76">
        <v>0</v>
      </c>
      <c r="AR286" s="76">
        <v>15524</v>
      </c>
      <c r="AS286" s="76">
        <v>8425</v>
      </c>
      <c r="AT286" s="76">
        <v>84</v>
      </c>
      <c r="AU286" s="76">
        <v>100864</v>
      </c>
      <c r="AV286" s="76">
        <v>0</v>
      </c>
      <c r="AW286" s="76">
        <v>23917</v>
      </c>
      <c r="AX286" s="76">
        <v>1040</v>
      </c>
      <c r="AY286" s="76">
        <v>0</v>
      </c>
      <c r="AZ286" s="76">
        <v>0</v>
      </c>
      <c r="BA286" s="76">
        <v>0</v>
      </c>
      <c r="BB286" s="76">
        <v>0</v>
      </c>
      <c r="BC286" s="76">
        <v>0</v>
      </c>
      <c r="BD286" s="76">
        <v>52</v>
      </c>
      <c r="BE286" s="76">
        <v>125873</v>
      </c>
      <c r="BF286" s="76">
        <v>458</v>
      </c>
      <c r="BG286" s="76">
        <v>1264</v>
      </c>
      <c r="BH286" s="76">
        <v>37537</v>
      </c>
      <c r="BI286" s="76">
        <v>0</v>
      </c>
      <c r="BJ286" s="76">
        <v>5021</v>
      </c>
      <c r="BK286" s="76">
        <v>44280</v>
      </c>
      <c r="BL286" s="76">
        <v>0</v>
      </c>
      <c r="BM286" s="76">
        <v>0</v>
      </c>
      <c r="BN286" s="76">
        <v>39</v>
      </c>
      <c r="BO286" s="76">
        <v>10478</v>
      </c>
      <c r="BP286" s="76">
        <v>10517</v>
      </c>
      <c r="BQ286" s="76">
        <v>33763</v>
      </c>
      <c r="BR286" s="76">
        <v>159636</v>
      </c>
      <c r="BS286" s="76">
        <v>0</v>
      </c>
      <c r="BT286" s="76">
        <v>99290</v>
      </c>
      <c r="BU286" s="76">
        <v>0</v>
      </c>
      <c r="BV286" s="76">
        <v>3372</v>
      </c>
      <c r="BW286" s="76">
        <v>0</v>
      </c>
      <c r="BX286" s="76">
        <v>0</v>
      </c>
      <c r="BY286" s="76">
        <v>507</v>
      </c>
      <c r="BZ286" s="76">
        <v>103169</v>
      </c>
      <c r="CA286" s="76">
        <v>982</v>
      </c>
      <c r="CB286" s="76">
        <v>23628</v>
      </c>
      <c r="CC286" s="76">
        <v>31857</v>
      </c>
      <c r="CD286" s="76">
        <v>31857</v>
      </c>
      <c r="CE286" s="76">
        <v>0</v>
      </c>
      <c r="CF286" s="76">
        <v>0</v>
      </c>
      <c r="CG286" s="76">
        <v>0</v>
      </c>
      <c r="CH286" s="76">
        <v>0</v>
      </c>
      <c r="CI286" s="76">
        <v>31857</v>
      </c>
      <c r="CJ286" s="76">
        <v>3889</v>
      </c>
      <c r="CK286" s="76">
        <v>2585</v>
      </c>
      <c r="CL286" s="76">
        <v>0</v>
      </c>
      <c r="CM286" s="76">
        <v>1304</v>
      </c>
      <c r="CN286" s="76">
        <v>55</v>
      </c>
      <c r="CO286" s="76">
        <v>0</v>
      </c>
      <c r="CP286" s="76">
        <v>286</v>
      </c>
      <c r="CQ286" s="76">
        <v>-231</v>
      </c>
      <c r="CR286" s="76">
        <v>0</v>
      </c>
      <c r="CS286" s="76">
        <v>0</v>
      </c>
      <c r="CT286" s="76">
        <v>302</v>
      </c>
      <c r="CU286" s="76">
        <v>-302</v>
      </c>
      <c r="CV286" s="76">
        <v>0</v>
      </c>
      <c r="CW286" s="76">
        <v>0</v>
      </c>
      <c r="CX286" s="76">
        <v>0</v>
      </c>
      <c r="CY286" s="76">
        <v>0</v>
      </c>
      <c r="CZ286" s="76">
        <v>0</v>
      </c>
      <c r="DA286" s="76">
        <v>0</v>
      </c>
      <c r="DB286" s="76">
        <v>1018</v>
      </c>
      <c r="DC286" s="76">
        <v>-1018</v>
      </c>
      <c r="DD286" s="76">
        <v>3944</v>
      </c>
      <c r="DE286" s="76">
        <v>2585</v>
      </c>
      <c r="DF286" s="76">
        <v>1606</v>
      </c>
      <c r="DG286" s="76">
        <v>-247</v>
      </c>
      <c r="DH286" s="76">
        <v>0</v>
      </c>
      <c r="DI286" s="76">
        <v>0</v>
      </c>
      <c r="DJ286" s="76">
        <v>0</v>
      </c>
      <c r="DK286" s="76">
        <v>0</v>
      </c>
      <c r="DL286" s="76">
        <v>0</v>
      </c>
      <c r="DM286" s="76">
        <v>0</v>
      </c>
      <c r="DN286" s="76">
        <v>0</v>
      </c>
      <c r="DO286" s="76">
        <v>0</v>
      </c>
      <c r="DP286" s="76">
        <v>0</v>
      </c>
      <c r="DQ286" s="76">
        <v>0</v>
      </c>
      <c r="DR286" s="76">
        <v>0</v>
      </c>
      <c r="DS286" s="76">
        <v>0</v>
      </c>
      <c r="DT286" s="76">
        <v>0</v>
      </c>
      <c r="DU286" s="76">
        <v>0</v>
      </c>
      <c r="DV286" s="76">
        <v>0</v>
      </c>
      <c r="DW286" s="76">
        <v>0</v>
      </c>
      <c r="DX286" s="76">
        <v>0</v>
      </c>
      <c r="DY286" s="76">
        <v>0</v>
      </c>
      <c r="DZ286" s="76">
        <v>0</v>
      </c>
      <c r="EA286" s="76">
        <v>0</v>
      </c>
      <c r="EB286" s="76">
        <v>0</v>
      </c>
      <c r="EC286" s="76">
        <v>0</v>
      </c>
      <c r="ED286" s="76">
        <v>0</v>
      </c>
      <c r="EE286" s="76">
        <v>0</v>
      </c>
      <c r="EF286" s="76">
        <v>0</v>
      </c>
      <c r="EG286" s="76">
        <v>0</v>
      </c>
      <c r="EH286" s="76">
        <v>0</v>
      </c>
      <c r="EI286" s="76">
        <v>0</v>
      </c>
      <c r="EJ286" s="76">
        <v>3944</v>
      </c>
      <c r="EK286" s="76">
        <v>2585</v>
      </c>
      <c r="EL286" s="76">
        <v>1606</v>
      </c>
      <c r="EM286" s="76">
        <v>-247</v>
      </c>
      <c r="EN286" s="76">
        <v>862</v>
      </c>
      <c r="EO286" s="76">
        <v>71</v>
      </c>
      <c r="EP286" s="76">
        <v>239</v>
      </c>
      <c r="EQ286" s="76">
        <v>71</v>
      </c>
      <c r="ER286" s="76">
        <v>100629</v>
      </c>
      <c r="ES286" s="76">
        <v>0</v>
      </c>
      <c r="ET286" s="76">
        <v>100629</v>
      </c>
      <c r="EU286" s="76">
        <v>19214</v>
      </c>
      <c r="EV286" s="76">
        <v>-2607</v>
      </c>
      <c r="EW286" s="76">
        <v>0</v>
      </c>
      <c r="EX286" s="76">
        <v>0</v>
      </c>
      <c r="EY286" s="76">
        <v>1174</v>
      </c>
      <c r="EZ286" s="76">
        <v>118410</v>
      </c>
      <c r="FA286" s="76">
        <v>14846</v>
      </c>
      <c r="FB286" s="76">
        <v>2916</v>
      </c>
      <c r="FC286" s="76">
        <v>0</v>
      </c>
      <c r="FD286" s="76">
        <v>0</v>
      </c>
      <c r="FE286" s="76">
        <v>-29</v>
      </c>
      <c r="FF286" s="76">
        <v>0</v>
      </c>
      <c r="FG286" s="76">
        <v>-187</v>
      </c>
      <c r="FH286" s="76">
        <v>17546</v>
      </c>
      <c r="FI286" s="76">
        <v>100864</v>
      </c>
      <c r="FJ286" s="76">
        <v>85783</v>
      </c>
      <c r="FK286" s="76">
        <v>0</v>
      </c>
      <c r="FL286" s="76">
        <v>0</v>
      </c>
      <c r="FM286" s="76">
        <v>0</v>
      </c>
      <c r="FN286" s="76">
        <v>190</v>
      </c>
      <c r="FO286" s="76">
        <v>100</v>
      </c>
      <c r="FP286" s="76">
        <v>90</v>
      </c>
      <c r="FQ286" s="76">
        <v>591</v>
      </c>
      <c r="FR286" s="76">
        <v>547</v>
      </c>
      <c r="FS286" s="76">
        <v>44</v>
      </c>
      <c r="FT286" s="76">
        <v>0</v>
      </c>
      <c r="FU286" s="76">
        <v>0</v>
      </c>
      <c r="FV286" s="76">
        <v>0</v>
      </c>
      <c r="FW286" s="76">
        <v>0</v>
      </c>
      <c r="FX286" s="76">
        <v>0</v>
      </c>
      <c r="FY286" s="76">
        <v>0</v>
      </c>
      <c r="FZ286" s="76">
        <v>0</v>
      </c>
      <c r="GA286" s="76">
        <v>0</v>
      </c>
      <c r="GB286" s="76">
        <v>0</v>
      </c>
      <c r="GC286" s="76">
        <v>781</v>
      </c>
      <c r="GD286" s="76">
        <v>647</v>
      </c>
      <c r="GE286" s="76">
        <v>134</v>
      </c>
      <c r="GF286" s="76">
        <v>97</v>
      </c>
      <c r="GG286" s="76">
        <v>0</v>
      </c>
      <c r="GH286" s="76">
        <v>0</v>
      </c>
      <c r="GI286" s="76">
        <v>4292</v>
      </c>
      <c r="GJ286" s="76">
        <v>0</v>
      </c>
      <c r="GK286" s="76">
        <v>632</v>
      </c>
      <c r="GL286" s="76">
        <v>5021</v>
      </c>
      <c r="GM286" s="76">
        <v>600</v>
      </c>
      <c r="GN286" s="76">
        <v>430</v>
      </c>
      <c r="GO286" s="76">
        <v>92</v>
      </c>
      <c r="GP286" s="76">
        <v>0</v>
      </c>
      <c r="GQ286" s="76">
        <v>0</v>
      </c>
      <c r="GR286" s="76">
        <v>3446</v>
      </c>
      <c r="GS286" s="76">
        <v>0</v>
      </c>
      <c r="GT286" s="76">
        <v>4292</v>
      </c>
      <c r="GU286" s="76">
        <v>0</v>
      </c>
      <c r="GV286" s="76">
        <v>0</v>
      </c>
      <c r="GW286" s="76">
        <v>1618</v>
      </c>
      <c r="GX286" s="76">
        <v>10478</v>
      </c>
      <c r="GY286" s="76">
        <v>0</v>
      </c>
      <c r="GZ286" s="76">
        <v>507</v>
      </c>
      <c r="HA286" s="76">
        <v>0</v>
      </c>
      <c r="HB286" s="76">
        <v>0</v>
      </c>
      <c r="HC286" s="76">
        <v>507</v>
      </c>
      <c r="HD286" s="76">
        <v>23628</v>
      </c>
      <c r="HE286" s="76">
        <v>0</v>
      </c>
      <c r="HF286" s="76">
        <v>23628</v>
      </c>
      <c r="HG286" s="76">
        <v>4680</v>
      </c>
      <c r="HH286" s="76">
        <v>41</v>
      </c>
      <c r="HI286" s="76">
        <v>15</v>
      </c>
      <c r="HJ286" s="76">
        <v>0</v>
      </c>
      <c r="HK286" s="76">
        <v>0</v>
      </c>
      <c r="HL286" s="76">
        <v>-410</v>
      </c>
      <c r="HM286" s="76">
        <v>4326</v>
      </c>
      <c r="HN286" s="76">
        <v>4002</v>
      </c>
      <c r="HO286" s="76">
        <v>3294</v>
      </c>
      <c r="HP286" s="76">
        <v>0</v>
      </c>
      <c r="HQ286" s="76">
        <v>147</v>
      </c>
      <c r="HR286" s="76">
        <v>-10</v>
      </c>
      <c r="HS286" s="76">
        <v>2</v>
      </c>
      <c r="HT286" s="76">
        <v>4431</v>
      </c>
      <c r="HU286" s="76">
        <v>0</v>
      </c>
      <c r="HV286" s="76">
        <v>0</v>
      </c>
      <c r="HW286" s="76">
        <v>0</v>
      </c>
      <c r="HX286" s="76">
        <v>1</v>
      </c>
    </row>
    <row r="287" spans="1:232" x14ac:dyDescent="0.2">
      <c r="A287" s="74" t="s">
        <v>771</v>
      </c>
      <c r="B287" s="74" t="s">
        <v>772</v>
      </c>
      <c r="C287" s="75" t="s">
        <v>200</v>
      </c>
      <c r="D287" s="75">
        <v>12</v>
      </c>
      <c r="E287" s="76">
        <v>173773</v>
      </c>
      <c r="F287" s="76">
        <v>-3634</v>
      </c>
      <c r="G287" s="76">
        <v>-116851</v>
      </c>
      <c r="H287" s="76">
        <v>53288</v>
      </c>
      <c r="I287" s="76">
        <v>1340</v>
      </c>
      <c r="J287" s="76">
        <v>0</v>
      </c>
      <c r="K287" s="76">
        <v>0</v>
      </c>
      <c r="L287" s="76">
        <v>0</v>
      </c>
      <c r="M287" s="76">
        <v>1986</v>
      </c>
      <c r="N287" s="76">
        <v>-27681</v>
      </c>
      <c r="O287" s="76">
        <v>-2143</v>
      </c>
      <c r="P287" s="76">
        <v>0</v>
      </c>
      <c r="Q287" s="76">
        <v>0</v>
      </c>
      <c r="R287" s="76">
        <v>0</v>
      </c>
      <c r="S287" s="76">
        <v>26790</v>
      </c>
      <c r="T287" s="76">
        <v>-32</v>
      </c>
      <c r="U287" s="76">
        <v>26758</v>
      </c>
      <c r="V287" s="76">
        <v>0</v>
      </c>
      <c r="W287" s="76">
        <v>-12540</v>
      </c>
      <c r="X287" s="76">
        <v>-446</v>
      </c>
      <c r="Y287" s="76">
        <v>270</v>
      </c>
      <c r="Z287" s="76">
        <v>14042</v>
      </c>
      <c r="AA287" s="76">
        <v>144243</v>
      </c>
      <c r="AB287" s="76">
        <v>10641</v>
      </c>
      <c r="AC287" s="76">
        <v>154884</v>
      </c>
      <c r="AD287" s="76">
        <v>5718</v>
      </c>
      <c r="AE287" s="76">
        <v>0</v>
      </c>
      <c r="AF287" s="76">
        <v>19</v>
      </c>
      <c r="AG287" s="76">
        <v>4542</v>
      </c>
      <c r="AH287" s="76">
        <v>165163</v>
      </c>
      <c r="AI287" s="76">
        <v>30590</v>
      </c>
      <c r="AJ287" s="76">
        <v>9240</v>
      </c>
      <c r="AK287" s="76">
        <v>28730</v>
      </c>
      <c r="AL287" s="76">
        <v>0</v>
      </c>
      <c r="AM287" s="76">
        <v>5869</v>
      </c>
      <c r="AN287" s="76">
        <v>1137</v>
      </c>
      <c r="AO287" s="76">
        <v>30664</v>
      </c>
      <c r="AP287" s="76">
        <v>1128</v>
      </c>
      <c r="AQ287" s="76">
        <v>6196</v>
      </c>
      <c r="AR287" s="76">
        <v>113554</v>
      </c>
      <c r="AS287" s="76">
        <v>51609</v>
      </c>
      <c r="AT287" s="76">
        <v>3704</v>
      </c>
      <c r="AU287" s="76">
        <v>937818</v>
      </c>
      <c r="AV287" s="76">
        <v>0</v>
      </c>
      <c r="AW287" s="76">
        <v>17849</v>
      </c>
      <c r="AX287" s="76">
        <v>0</v>
      </c>
      <c r="AY287" s="76">
        <v>0</v>
      </c>
      <c r="AZ287" s="76">
        <v>4634</v>
      </c>
      <c r="BA287" s="76">
        <v>0</v>
      </c>
      <c r="BB287" s="76">
        <v>0</v>
      </c>
      <c r="BC287" s="76">
        <v>0</v>
      </c>
      <c r="BD287" s="76">
        <v>26391</v>
      </c>
      <c r="BE287" s="76">
        <v>986692</v>
      </c>
      <c r="BF287" s="76">
        <v>1697</v>
      </c>
      <c r="BG287" s="76">
        <v>23951</v>
      </c>
      <c r="BH287" s="76">
        <v>69044</v>
      </c>
      <c r="BI287" s="76">
        <v>0</v>
      </c>
      <c r="BJ287" s="76">
        <v>393</v>
      </c>
      <c r="BK287" s="76">
        <v>95085</v>
      </c>
      <c r="BL287" s="76">
        <v>7144</v>
      </c>
      <c r="BM287" s="76">
        <v>0</v>
      </c>
      <c r="BN287" s="76">
        <v>4991</v>
      </c>
      <c r="BO287" s="76">
        <v>19054</v>
      </c>
      <c r="BP287" s="76">
        <v>31189</v>
      </c>
      <c r="BQ287" s="76">
        <v>63896</v>
      </c>
      <c r="BR287" s="76">
        <v>1050588</v>
      </c>
      <c r="BS287" s="76">
        <v>550622</v>
      </c>
      <c r="BT287" s="76">
        <v>0</v>
      </c>
      <c r="BU287" s="76">
        <v>616</v>
      </c>
      <c r="BV287" s="76">
        <v>302313</v>
      </c>
      <c r="BW287" s="76">
        <v>0</v>
      </c>
      <c r="BX287" s="76">
        <v>1023</v>
      </c>
      <c r="BY287" s="76">
        <v>11991</v>
      </c>
      <c r="BZ287" s="76">
        <v>866565</v>
      </c>
      <c r="CA287" s="76">
        <v>52599</v>
      </c>
      <c r="CB287" s="76">
        <v>1033</v>
      </c>
      <c r="CC287" s="76">
        <v>130391</v>
      </c>
      <c r="CD287" s="76">
        <v>131414</v>
      </c>
      <c r="CE287" s="76">
        <v>0</v>
      </c>
      <c r="CF287" s="76">
        <v>0</v>
      </c>
      <c r="CG287" s="76">
        <v>-1023</v>
      </c>
      <c r="CH287" s="76">
        <v>0</v>
      </c>
      <c r="CI287" s="76">
        <v>130391</v>
      </c>
      <c r="CJ287" s="76">
        <v>4235</v>
      </c>
      <c r="CK287" s="76">
        <v>3634</v>
      </c>
      <c r="CL287" s="76">
        <v>0</v>
      </c>
      <c r="CM287" s="76">
        <v>601</v>
      </c>
      <c r="CN287" s="76">
        <v>0</v>
      </c>
      <c r="CO287" s="76">
        <v>0</v>
      </c>
      <c r="CP287" s="76">
        <v>0</v>
      </c>
      <c r="CQ287" s="76">
        <v>0</v>
      </c>
      <c r="CR287" s="76">
        <v>0</v>
      </c>
      <c r="CS287" s="76">
        <v>0</v>
      </c>
      <c r="CT287" s="76">
        <v>0</v>
      </c>
      <c r="CU287" s="76">
        <v>0</v>
      </c>
      <c r="CV287" s="76">
        <v>1041</v>
      </c>
      <c r="CW287" s="76">
        <v>0</v>
      </c>
      <c r="CX287" s="76">
        <v>605</v>
      </c>
      <c r="CY287" s="76">
        <v>436</v>
      </c>
      <c r="CZ287" s="76">
        <v>2814</v>
      </c>
      <c r="DA287" s="76">
        <v>0</v>
      </c>
      <c r="DB287" s="76">
        <v>2472</v>
      </c>
      <c r="DC287" s="76">
        <v>342</v>
      </c>
      <c r="DD287" s="76">
        <v>8090</v>
      </c>
      <c r="DE287" s="76">
        <v>3634</v>
      </c>
      <c r="DF287" s="76">
        <v>3077</v>
      </c>
      <c r="DG287" s="76">
        <v>1379</v>
      </c>
      <c r="DH287" s="76">
        <v>0</v>
      </c>
      <c r="DI287" s="76">
        <v>0</v>
      </c>
      <c r="DJ287" s="76">
        <v>0</v>
      </c>
      <c r="DK287" s="76">
        <v>0</v>
      </c>
      <c r="DL287" s="76">
        <v>0</v>
      </c>
      <c r="DM287" s="76">
        <v>0</v>
      </c>
      <c r="DN287" s="76">
        <v>0</v>
      </c>
      <c r="DO287" s="76">
        <v>0</v>
      </c>
      <c r="DP287" s="76">
        <v>0</v>
      </c>
      <c r="DQ287" s="76">
        <v>0</v>
      </c>
      <c r="DR287" s="76">
        <v>0</v>
      </c>
      <c r="DS287" s="76">
        <v>0</v>
      </c>
      <c r="DT287" s="76">
        <v>225</v>
      </c>
      <c r="DU287" s="76">
        <v>0</v>
      </c>
      <c r="DV287" s="76">
        <v>110</v>
      </c>
      <c r="DW287" s="76">
        <v>115</v>
      </c>
      <c r="DX287" s="76">
        <v>0</v>
      </c>
      <c r="DY287" s="76">
        <v>0</v>
      </c>
      <c r="DZ287" s="76">
        <v>0</v>
      </c>
      <c r="EA287" s="76">
        <v>0</v>
      </c>
      <c r="EB287" s="76">
        <v>295</v>
      </c>
      <c r="EC287" s="76">
        <v>0</v>
      </c>
      <c r="ED287" s="76">
        <v>110</v>
      </c>
      <c r="EE287" s="76">
        <v>185</v>
      </c>
      <c r="EF287" s="76">
        <v>520</v>
      </c>
      <c r="EG287" s="76">
        <v>0</v>
      </c>
      <c r="EH287" s="76">
        <v>220</v>
      </c>
      <c r="EI287" s="76">
        <v>300</v>
      </c>
      <c r="EJ287" s="76">
        <v>8610</v>
      </c>
      <c r="EK287" s="76">
        <v>3634</v>
      </c>
      <c r="EL287" s="76">
        <v>3297</v>
      </c>
      <c r="EM287" s="76">
        <v>1679</v>
      </c>
      <c r="EN287" s="76">
        <v>5510</v>
      </c>
      <c r="EO287" s="76">
        <v>4247</v>
      </c>
      <c r="EP287" s="76">
        <v>3167</v>
      </c>
      <c r="EQ287" s="76">
        <v>4247</v>
      </c>
      <c r="ER287" s="76">
        <v>1238293</v>
      </c>
      <c r="ES287" s="76">
        <v>0</v>
      </c>
      <c r="ET287" s="76">
        <v>1238293</v>
      </c>
      <c r="EU287" s="76">
        <v>37677</v>
      </c>
      <c r="EV287" s="76">
        <v>-9864</v>
      </c>
      <c r="EW287" s="76">
        <v>0</v>
      </c>
      <c r="EX287" s="76">
        <v>0</v>
      </c>
      <c r="EY287" s="76">
        <v>1401</v>
      </c>
      <c r="EZ287" s="76">
        <v>1267507</v>
      </c>
      <c r="FA287" s="76">
        <v>299661</v>
      </c>
      <c r="FB287" s="76">
        <v>30664</v>
      </c>
      <c r="FC287" s="76">
        <v>1128</v>
      </c>
      <c r="FD287" s="76">
        <v>0</v>
      </c>
      <c r="FE287" s="76">
        <v>-1764</v>
      </c>
      <c r="FF287" s="76">
        <v>0</v>
      </c>
      <c r="FG287" s="76">
        <v>0</v>
      </c>
      <c r="FH287" s="76">
        <v>329689</v>
      </c>
      <c r="FI287" s="76">
        <v>937818</v>
      </c>
      <c r="FJ287" s="76">
        <v>938632</v>
      </c>
      <c r="FK287" s="76">
        <v>784</v>
      </c>
      <c r="FL287" s="76">
        <v>924</v>
      </c>
      <c r="FM287" s="76">
        <v>-140</v>
      </c>
      <c r="FN287" s="76">
        <v>3395</v>
      </c>
      <c r="FO287" s="76">
        <v>1279</v>
      </c>
      <c r="FP287" s="76">
        <v>2116</v>
      </c>
      <c r="FQ287" s="76">
        <v>3465</v>
      </c>
      <c r="FR287" s="76">
        <v>4624</v>
      </c>
      <c r="FS287" s="76">
        <v>-1159</v>
      </c>
      <c r="FT287" s="76">
        <v>847</v>
      </c>
      <c r="FU287" s="76">
        <v>347</v>
      </c>
      <c r="FV287" s="76">
        <v>500</v>
      </c>
      <c r="FW287" s="76">
        <v>0</v>
      </c>
      <c r="FX287" s="76">
        <v>0</v>
      </c>
      <c r="FY287" s="76">
        <v>0</v>
      </c>
      <c r="FZ287" s="76">
        <v>32</v>
      </c>
      <c r="GA287" s="76">
        <v>8</v>
      </c>
      <c r="GB287" s="76">
        <v>24</v>
      </c>
      <c r="GC287" s="76">
        <v>8523</v>
      </c>
      <c r="GD287" s="76">
        <v>7182</v>
      </c>
      <c r="GE287" s="76">
        <v>1341</v>
      </c>
      <c r="GF287" s="76">
        <v>0</v>
      </c>
      <c r="GG287" s="76">
        <v>0</v>
      </c>
      <c r="GH287" s="76">
        <v>0</v>
      </c>
      <c r="GI287" s="76">
        <v>0</v>
      </c>
      <c r="GJ287" s="76">
        <v>0</v>
      </c>
      <c r="GK287" s="76">
        <v>393</v>
      </c>
      <c r="GL287" s="76">
        <v>393</v>
      </c>
      <c r="GM287" s="76">
        <v>1122</v>
      </c>
      <c r="GN287" s="76">
        <v>1976</v>
      </c>
      <c r="GO287" s="76">
        <v>8420</v>
      </c>
      <c r="GP287" s="76">
        <v>0</v>
      </c>
      <c r="GQ287" s="76">
        <v>1568</v>
      </c>
      <c r="GR287" s="76">
        <v>4465</v>
      </c>
      <c r="GS287" s="76">
        <v>208</v>
      </c>
      <c r="GT287" s="76">
        <v>0</v>
      </c>
      <c r="GU287" s="76">
        <v>0</v>
      </c>
      <c r="GV287" s="76">
        <v>0</v>
      </c>
      <c r="GW287" s="76">
        <v>1295</v>
      </c>
      <c r="GX287" s="76">
        <v>19054</v>
      </c>
      <c r="GY287" s="76">
        <v>1615</v>
      </c>
      <c r="GZ287" s="76">
        <v>5236</v>
      </c>
      <c r="HA287" s="76">
        <v>0</v>
      </c>
      <c r="HB287" s="76">
        <v>5140</v>
      </c>
      <c r="HC287" s="76">
        <v>11991</v>
      </c>
      <c r="HD287" s="76">
        <v>0</v>
      </c>
      <c r="HE287" s="76">
        <v>1033</v>
      </c>
      <c r="HF287" s="76">
        <v>1033</v>
      </c>
      <c r="HG287" s="76">
        <v>25863</v>
      </c>
      <c r="HH287" s="76">
        <v>596</v>
      </c>
      <c r="HI287" s="76">
        <v>1253</v>
      </c>
      <c r="HJ287" s="76">
        <v>0</v>
      </c>
      <c r="HK287" s="76">
        <v>36</v>
      </c>
      <c r="HL287" s="76">
        <v>-67</v>
      </c>
      <c r="HM287" s="76">
        <v>27681</v>
      </c>
      <c r="HN287" s="76">
        <v>13969</v>
      </c>
      <c r="HO287" s="76">
        <v>31733</v>
      </c>
      <c r="HP287" s="76">
        <v>1128</v>
      </c>
      <c r="HQ287" s="76">
        <v>120</v>
      </c>
      <c r="HR287" s="76">
        <v>-237</v>
      </c>
      <c r="HS287" s="76">
        <v>-463</v>
      </c>
      <c r="HT287" s="76">
        <v>36014</v>
      </c>
      <c r="HU287" s="76">
        <v>0</v>
      </c>
      <c r="HV287" s="76">
        <v>0</v>
      </c>
      <c r="HW287" s="76">
        <v>293</v>
      </c>
      <c r="HX287" s="76">
        <v>395</v>
      </c>
    </row>
    <row r="288" spans="1:232" x14ac:dyDescent="0.2">
      <c r="A288" s="74" t="s">
        <v>777</v>
      </c>
      <c r="B288" s="74" t="s">
        <v>778</v>
      </c>
      <c r="C288" s="75" t="s">
        <v>200</v>
      </c>
      <c r="D288" s="75">
        <v>12</v>
      </c>
      <c r="E288" s="76">
        <v>18913</v>
      </c>
      <c r="F288" s="76">
        <v>-1139</v>
      </c>
      <c r="G288" s="76">
        <v>-14352</v>
      </c>
      <c r="H288" s="76">
        <v>3422</v>
      </c>
      <c r="I288" s="76">
        <v>1334</v>
      </c>
      <c r="J288" s="76">
        <v>2600</v>
      </c>
      <c r="K288" s="76">
        <v>0</v>
      </c>
      <c r="L288" s="76">
        <v>0</v>
      </c>
      <c r="M288" s="76">
        <v>151</v>
      </c>
      <c r="N288" s="76">
        <v>-3360</v>
      </c>
      <c r="O288" s="76">
        <v>2031</v>
      </c>
      <c r="P288" s="76">
        <v>0</v>
      </c>
      <c r="Q288" s="76">
        <v>0</v>
      </c>
      <c r="R288" s="76">
        <v>0</v>
      </c>
      <c r="S288" s="76">
        <v>6178</v>
      </c>
      <c r="T288" s="76">
        <v>0</v>
      </c>
      <c r="U288" s="76">
        <v>6178</v>
      </c>
      <c r="V288" s="76">
        <v>0</v>
      </c>
      <c r="W288" s="76">
        <v>406</v>
      </c>
      <c r="X288" s="76">
        <v>0</v>
      </c>
      <c r="Y288" s="76">
        <v>0</v>
      </c>
      <c r="Z288" s="76">
        <v>6584</v>
      </c>
      <c r="AA288" s="76">
        <v>13568</v>
      </c>
      <c r="AB288" s="76">
        <v>3362</v>
      </c>
      <c r="AC288" s="76">
        <v>16930</v>
      </c>
      <c r="AD288" s="76">
        <v>60</v>
      </c>
      <c r="AE288" s="76">
        <v>0</v>
      </c>
      <c r="AF288" s="76">
        <v>0</v>
      </c>
      <c r="AG288" s="76">
        <v>203</v>
      </c>
      <c r="AH288" s="76">
        <v>17193</v>
      </c>
      <c r="AI288" s="76">
        <v>2553</v>
      </c>
      <c r="AJ288" s="76">
        <v>3505</v>
      </c>
      <c r="AK288" s="76">
        <v>2484</v>
      </c>
      <c r="AL288" s="76">
        <v>2436</v>
      </c>
      <c r="AM288" s="76">
        <v>0</v>
      </c>
      <c r="AN288" s="76">
        <v>130</v>
      </c>
      <c r="AO288" s="76">
        <v>2076</v>
      </c>
      <c r="AP288" s="76">
        <v>0</v>
      </c>
      <c r="AQ288" s="76">
        <v>0</v>
      </c>
      <c r="AR288" s="76">
        <v>13184</v>
      </c>
      <c r="AS288" s="76">
        <v>4009</v>
      </c>
      <c r="AT288" s="76">
        <v>39</v>
      </c>
      <c r="AU288" s="76">
        <v>154245</v>
      </c>
      <c r="AV288" s="76">
        <v>0</v>
      </c>
      <c r="AW288" s="76">
        <v>4177</v>
      </c>
      <c r="AX288" s="76">
        <v>282</v>
      </c>
      <c r="AY288" s="76">
        <v>0</v>
      </c>
      <c r="AZ288" s="76">
        <v>7135</v>
      </c>
      <c r="BA288" s="76">
        <v>0</v>
      </c>
      <c r="BB288" s="76">
        <v>0</v>
      </c>
      <c r="BC288" s="76">
        <v>0</v>
      </c>
      <c r="BD288" s="76">
        <v>11</v>
      </c>
      <c r="BE288" s="76">
        <v>165850</v>
      </c>
      <c r="BF288" s="76">
        <v>1479</v>
      </c>
      <c r="BG288" s="76">
        <v>1205</v>
      </c>
      <c r="BH288" s="76">
        <v>8276</v>
      </c>
      <c r="BI288" s="76">
        <v>0</v>
      </c>
      <c r="BJ288" s="76">
        <v>3925</v>
      </c>
      <c r="BK288" s="76">
        <v>14885</v>
      </c>
      <c r="BL288" s="76">
        <v>0</v>
      </c>
      <c r="BM288" s="76">
        <v>0</v>
      </c>
      <c r="BN288" s="76">
        <v>1080</v>
      </c>
      <c r="BO288" s="76">
        <v>5035</v>
      </c>
      <c r="BP288" s="76">
        <v>6115</v>
      </c>
      <c r="BQ288" s="76">
        <v>8770</v>
      </c>
      <c r="BR288" s="76">
        <v>174620</v>
      </c>
      <c r="BS288" s="76">
        <v>56614</v>
      </c>
      <c r="BT288" s="76">
        <v>0</v>
      </c>
      <c r="BU288" s="76">
        <v>0</v>
      </c>
      <c r="BV288" s="76">
        <v>6552</v>
      </c>
      <c r="BW288" s="76">
        <v>0</v>
      </c>
      <c r="BX288" s="76">
        <v>0</v>
      </c>
      <c r="BY288" s="76">
        <v>2217</v>
      </c>
      <c r="BZ288" s="76">
        <v>65383</v>
      </c>
      <c r="CA288" s="76">
        <v>2461</v>
      </c>
      <c r="CB288" s="76">
        <v>0</v>
      </c>
      <c r="CC288" s="76">
        <v>106776</v>
      </c>
      <c r="CD288" s="76">
        <v>91233</v>
      </c>
      <c r="CE288" s="76">
        <v>15454</v>
      </c>
      <c r="CF288" s="76">
        <v>89</v>
      </c>
      <c r="CG288" s="76">
        <v>0</v>
      </c>
      <c r="CH288" s="76">
        <v>0</v>
      </c>
      <c r="CI288" s="76">
        <v>106776</v>
      </c>
      <c r="CJ288" s="76">
        <v>544</v>
      </c>
      <c r="CK288" s="76">
        <v>484</v>
      </c>
      <c r="CL288" s="76">
        <v>0</v>
      </c>
      <c r="CM288" s="76">
        <v>60</v>
      </c>
      <c r="CN288" s="76">
        <v>0</v>
      </c>
      <c r="CO288" s="76">
        <v>0</v>
      </c>
      <c r="CP288" s="76">
        <v>0</v>
      </c>
      <c r="CQ288" s="76">
        <v>0</v>
      </c>
      <c r="CR288" s="76">
        <v>0</v>
      </c>
      <c r="CS288" s="76">
        <v>0</v>
      </c>
      <c r="CT288" s="76">
        <v>320</v>
      </c>
      <c r="CU288" s="76">
        <v>-320</v>
      </c>
      <c r="CV288" s="76">
        <v>35</v>
      </c>
      <c r="CW288" s="76">
        <v>0</v>
      </c>
      <c r="CX288" s="76">
        <v>423</v>
      </c>
      <c r="CY288" s="76">
        <v>-388</v>
      </c>
      <c r="CZ288" s="76">
        <v>0</v>
      </c>
      <c r="DA288" s="76">
        <v>0</v>
      </c>
      <c r="DB288" s="76">
        <v>0</v>
      </c>
      <c r="DC288" s="76">
        <v>0</v>
      </c>
      <c r="DD288" s="76">
        <v>579</v>
      </c>
      <c r="DE288" s="76">
        <v>484</v>
      </c>
      <c r="DF288" s="76">
        <v>743</v>
      </c>
      <c r="DG288" s="76">
        <v>-648</v>
      </c>
      <c r="DH288" s="76">
        <v>0</v>
      </c>
      <c r="DI288" s="76">
        <v>0</v>
      </c>
      <c r="DJ288" s="76">
        <v>0</v>
      </c>
      <c r="DK288" s="76">
        <v>0</v>
      </c>
      <c r="DL288" s="76">
        <v>0</v>
      </c>
      <c r="DM288" s="76">
        <v>0</v>
      </c>
      <c r="DN288" s="76">
        <v>0</v>
      </c>
      <c r="DO288" s="76">
        <v>0</v>
      </c>
      <c r="DP288" s="76">
        <v>0</v>
      </c>
      <c r="DQ288" s="76">
        <v>0</v>
      </c>
      <c r="DR288" s="76">
        <v>0</v>
      </c>
      <c r="DS288" s="76">
        <v>0</v>
      </c>
      <c r="DT288" s="76">
        <v>0</v>
      </c>
      <c r="DU288" s="76">
        <v>0</v>
      </c>
      <c r="DV288" s="76">
        <v>0</v>
      </c>
      <c r="DW288" s="76">
        <v>0</v>
      </c>
      <c r="DX288" s="76">
        <v>0</v>
      </c>
      <c r="DY288" s="76">
        <v>0</v>
      </c>
      <c r="DZ288" s="76">
        <v>0</v>
      </c>
      <c r="EA288" s="76">
        <v>0</v>
      </c>
      <c r="EB288" s="76">
        <v>1140</v>
      </c>
      <c r="EC288" s="76">
        <v>655</v>
      </c>
      <c r="ED288" s="76">
        <v>425</v>
      </c>
      <c r="EE288" s="76">
        <v>60</v>
      </c>
      <c r="EF288" s="76">
        <v>1140</v>
      </c>
      <c r="EG288" s="76">
        <v>655</v>
      </c>
      <c r="EH288" s="76">
        <v>425</v>
      </c>
      <c r="EI288" s="76">
        <v>60</v>
      </c>
      <c r="EJ288" s="76">
        <v>1719</v>
      </c>
      <c r="EK288" s="76">
        <v>1139</v>
      </c>
      <c r="EL288" s="76">
        <v>1168</v>
      </c>
      <c r="EM288" s="76">
        <v>-588</v>
      </c>
      <c r="EN288" s="76">
        <v>847</v>
      </c>
      <c r="EO288" s="76">
        <v>233</v>
      </c>
      <c r="EP288" s="76">
        <v>847</v>
      </c>
      <c r="EQ288" s="76">
        <v>0</v>
      </c>
      <c r="ER288" s="76">
        <v>157945</v>
      </c>
      <c r="ES288" s="76">
        <v>0</v>
      </c>
      <c r="ET288" s="76">
        <v>157945</v>
      </c>
      <c r="EU288" s="76">
        <v>1687</v>
      </c>
      <c r="EV288" s="76">
        <v>-802</v>
      </c>
      <c r="EW288" s="76">
        <v>0</v>
      </c>
      <c r="EX288" s="76">
        <v>1335</v>
      </c>
      <c r="EY288" s="76">
        <v>464</v>
      </c>
      <c r="EZ288" s="76">
        <v>160629</v>
      </c>
      <c r="FA288" s="76">
        <v>4354</v>
      </c>
      <c r="FB288" s="76">
        <v>2064</v>
      </c>
      <c r="FC288" s="76">
        <v>0</v>
      </c>
      <c r="FD288" s="76">
        <v>0</v>
      </c>
      <c r="FE288" s="76">
        <v>-34</v>
      </c>
      <c r="FF288" s="76">
        <v>0</v>
      </c>
      <c r="FG288" s="76">
        <v>0</v>
      </c>
      <c r="FH288" s="76">
        <v>6384</v>
      </c>
      <c r="FI288" s="76">
        <v>154245</v>
      </c>
      <c r="FJ288" s="76">
        <v>153591</v>
      </c>
      <c r="FK288" s="76">
        <v>911</v>
      </c>
      <c r="FL288" s="76">
        <v>320</v>
      </c>
      <c r="FM288" s="76">
        <v>591</v>
      </c>
      <c r="FN288" s="76">
        <v>1558</v>
      </c>
      <c r="FO288" s="76">
        <v>850</v>
      </c>
      <c r="FP288" s="76">
        <v>708</v>
      </c>
      <c r="FQ288" s="76">
        <v>0</v>
      </c>
      <c r="FR288" s="76">
        <v>0</v>
      </c>
      <c r="FS288" s="76">
        <v>0</v>
      </c>
      <c r="FT288" s="76">
        <v>35</v>
      </c>
      <c r="FU288" s="76">
        <v>0</v>
      </c>
      <c r="FV288" s="76">
        <v>35</v>
      </c>
      <c r="FW288" s="76">
        <v>0</v>
      </c>
      <c r="FX288" s="76">
        <v>0</v>
      </c>
      <c r="FY288" s="76">
        <v>0</v>
      </c>
      <c r="FZ288" s="76">
        <v>0</v>
      </c>
      <c r="GA288" s="76">
        <v>0</v>
      </c>
      <c r="GB288" s="76">
        <v>0</v>
      </c>
      <c r="GC288" s="76">
        <v>2504</v>
      </c>
      <c r="GD288" s="76">
        <v>1170</v>
      </c>
      <c r="GE288" s="76">
        <v>1334</v>
      </c>
      <c r="GF288" s="76">
        <v>2600</v>
      </c>
      <c r="GG288" s="76">
        <v>13</v>
      </c>
      <c r="GH288" s="76">
        <v>0</v>
      </c>
      <c r="GI288" s="76">
        <v>0</v>
      </c>
      <c r="GJ288" s="76">
        <v>0</v>
      </c>
      <c r="GK288" s="76">
        <v>1312</v>
      </c>
      <c r="GL288" s="76">
        <v>3925</v>
      </c>
      <c r="GM288" s="76">
        <v>196</v>
      </c>
      <c r="GN288" s="76">
        <v>442</v>
      </c>
      <c r="GO288" s="76">
        <v>0</v>
      </c>
      <c r="GP288" s="76">
        <v>184</v>
      </c>
      <c r="GQ288" s="76">
        <v>927</v>
      </c>
      <c r="GR288" s="76">
        <v>2797</v>
      </c>
      <c r="GS288" s="76">
        <v>0</v>
      </c>
      <c r="GT288" s="76">
        <v>0</v>
      </c>
      <c r="GU288" s="76">
        <v>0</v>
      </c>
      <c r="GV288" s="76">
        <v>0</v>
      </c>
      <c r="GW288" s="76">
        <v>489</v>
      </c>
      <c r="GX288" s="76">
        <v>5035</v>
      </c>
      <c r="GY288" s="76">
        <v>933</v>
      </c>
      <c r="GZ288" s="76">
        <v>1284</v>
      </c>
      <c r="HA288" s="76">
        <v>0</v>
      </c>
      <c r="HB288" s="76">
        <v>0</v>
      </c>
      <c r="HC288" s="76">
        <v>2217</v>
      </c>
      <c r="HD288" s="76">
        <v>0</v>
      </c>
      <c r="HE288" s="76">
        <v>0</v>
      </c>
      <c r="HF288" s="76">
        <v>0</v>
      </c>
      <c r="HG288" s="76">
        <v>3399</v>
      </c>
      <c r="HH288" s="76">
        <v>0</v>
      </c>
      <c r="HI288" s="76">
        <v>70</v>
      </c>
      <c r="HJ288" s="76">
        <v>7</v>
      </c>
      <c r="HK288" s="76">
        <v>0</v>
      </c>
      <c r="HL288" s="76">
        <v>-116</v>
      </c>
      <c r="HM288" s="76">
        <v>3360</v>
      </c>
      <c r="HN288" s="76">
        <v>706</v>
      </c>
      <c r="HO288" s="76">
        <v>2374</v>
      </c>
      <c r="HP288" s="76">
        <v>0</v>
      </c>
      <c r="HQ288" s="76">
        <v>27</v>
      </c>
      <c r="HR288" s="76">
        <v>-10</v>
      </c>
      <c r="HS288" s="76">
        <v>10</v>
      </c>
      <c r="HT288" s="76">
        <v>3193</v>
      </c>
      <c r="HU288" s="76">
        <v>0</v>
      </c>
      <c r="HV288" s="76">
        <v>0</v>
      </c>
      <c r="HW288" s="76">
        <v>0</v>
      </c>
      <c r="HX288" s="76">
        <v>0</v>
      </c>
    </row>
    <row r="289" spans="1:232" x14ac:dyDescent="0.2">
      <c r="A289" s="74" t="s">
        <v>178</v>
      </c>
      <c r="B289" s="74" t="s">
        <v>177</v>
      </c>
      <c r="C289" s="75" t="s">
        <v>200</v>
      </c>
      <c r="D289" s="75">
        <v>12</v>
      </c>
      <c r="E289" s="76">
        <v>62423</v>
      </c>
      <c r="F289" s="76">
        <v>0</v>
      </c>
      <c r="G289" s="76">
        <v>-33904</v>
      </c>
      <c r="H289" s="76">
        <v>28519</v>
      </c>
      <c r="I289" s="76">
        <v>6161</v>
      </c>
      <c r="J289" s="76">
        <v>0</v>
      </c>
      <c r="K289" s="76">
        <v>0</v>
      </c>
      <c r="L289" s="76">
        <v>0</v>
      </c>
      <c r="M289" s="76">
        <v>375</v>
      </c>
      <c r="N289" s="76">
        <v>-9645</v>
      </c>
      <c r="O289" s="76">
        <v>2715</v>
      </c>
      <c r="P289" s="76">
        <v>0</v>
      </c>
      <c r="Q289" s="76">
        <v>0</v>
      </c>
      <c r="R289" s="76">
        <v>0</v>
      </c>
      <c r="S289" s="76">
        <v>28125</v>
      </c>
      <c r="T289" s="76">
        <v>-16</v>
      </c>
      <c r="U289" s="76">
        <v>28109</v>
      </c>
      <c r="V289" s="76">
        <v>0</v>
      </c>
      <c r="W289" s="76">
        <v>-1035</v>
      </c>
      <c r="X289" s="76">
        <v>0</v>
      </c>
      <c r="Y289" s="76">
        <v>0</v>
      </c>
      <c r="Z289" s="76">
        <v>27074</v>
      </c>
      <c r="AA289" s="76">
        <v>50823</v>
      </c>
      <c r="AB289" s="76">
        <v>2534</v>
      </c>
      <c r="AC289" s="76">
        <v>53357</v>
      </c>
      <c r="AD289" s="76">
        <v>85</v>
      </c>
      <c r="AE289" s="76">
        <v>0</v>
      </c>
      <c r="AF289" s="76">
        <v>0</v>
      </c>
      <c r="AG289" s="76">
        <v>0</v>
      </c>
      <c r="AH289" s="76">
        <v>53442</v>
      </c>
      <c r="AI289" s="76">
        <v>9271</v>
      </c>
      <c r="AJ289" s="76">
        <v>2659</v>
      </c>
      <c r="AK289" s="76">
        <v>5089</v>
      </c>
      <c r="AL289" s="76">
        <v>4145</v>
      </c>
      <c r="AM289" s="76">
        <v>1041</v>
      </c>
      <c r="AN289" s="76">
        <v>343</v>
      </c>
      <c r="AO289" s="76">
        <v>5941</v>
      </c>
      <c r="AP289" s="76">
        <v>0</v>
      </c>
      <c r="AQ289" s="76">
        <v>129</v>
      </c>
      <c r="AR289" s="76">
        <v>28618</v>
      </c>
      <c r="AS289" s="76">
        <v>24824</v>
      </c>
      <c r="AT289" s="76">
        <v>710</v>
      </c>
      <c r="AU289" s="76">
        <v>751048</v>
      </c>
      <c r="AV289" s="76">
        <v>0</v>
      </c>
      <c r="AW289" s="76">
        <v>2029</v>
      </c>
      <c r="AX289" s="76">
        <v>304</v>
      </c>
      <c r="AY289" s="76">
        <v>0</v>
      </c>
      <c r="AZ289" s="76">
        <v>22360</v>
      </c>
      <c r="BA289" s="76">
        <v>0</v>
      </c>
      <c r="BB289" s="76">
        <v>0</v>
      </c>
      <c r="BC289" s="76">
        <v>0</v>
      </c>
      <c r="BD289" s="76">
        <v>3102</v>
      </c>
      <c r="BE289" s="76">
        <v>778843</v>
      </c>
      <c r="BF289" s="76">
        <v>521</v>
      </c>
      <c r="BG289" s="76">
        <v>1334</v>
      </c>
      <c r="BH289" s="76">
        <v>7400</v>
      </c>
      <c r="BI289" s="76">
        <v>0</v>
      </c>
      <c r="BJ289" s="76">
        <v>8011</v>
      </c>
      <c r="BK289" s="76">
        <v>17266</v>
      </c>
      <c r="BL289" s="76">
        <v>0</v>
      </c>
      <c r="BM289" s="76">
        <v>0</v>
      </c>
      <c r="BN289" s="76">
        <v>0</v>
      </c>
      <c r="BO289" s="76">
        <v>10796</v>
      </c>
      <c r="BP289" s="76">
        <v>10796</v>
      </c>
      <c r="BQ289" s="76">
        <v>6470</v>
      </c>
      <c r="BR289" s="76">
        <v>785313</v>
      </c>
      <c r="BS289" s="76">
        <v>385174</v>
      </c>
      <c r="BT289" s="76">
        <v>0</v>
      </c>
      <c r="BU289" s="76">
        <v>0</v>
      </c>
      <c r="BV289" s="76">
        <v>12665</v>
      </c>
      <c r="BW289" s="76">
        <v>0</v>
      </c>
      <c r="BX289" s="76">
        <v>0</v>
      </c>
      <c r="BY289" s="76">
        <v>1443</v>
      </c>
      <c r="BZ289" s="76">
        <v>399282</v>
      </c>
      <c r="CA289" s="76">
        <v>6344</v>
      </c>
      <c r="CB289" s="76">
        <v>0</v>
      </c>
      <c r="CC289" s="76">
        <v>379687</v>
      </c>
      <c r="CD289" s="76">
        <v>190815</v>
      </c>
      <c r="CE289" s="76">
        <v>186672</v>
      </c>
      <c r="CF289" s="76">
        <v>0</v>
      </c>
      <c r="CG289" s="76">
        <v>0</v>
      </c>
      <c r="CH289" s="76">
        <v>2200</v>
      </c>
      <c r="CI289" s="76">
        <v>379687</v>
      </c>
      <c r="CJ289" s="76">
        <v>6547</v>
      </c>
      <c r="CK289" s="76">
        <v>0</v>
      </c>
      <c r="CL289" s="76">
        <v>4279</v>
      </c>
      <c r="CM289" s="76">
        <v>2268</v>
      </c>
      <c r="CN289" s="76">
        <v>0</v>
      </c>
      <c r="CO289" s="76">
        <v>0</v>
      </c>
      <c r="CP289" s="76">
        <v>0</v>
      </c>
      <c r="CQ289" s="76">
        <v>0</v>
      </c>
      <c r="CR289" s="76">
        <v>0</v>
      </c>
      <c r="CS289" s="76">
        <v>0</v>
      </c>
      <c r="CT289" s="76">
        <v>0</v>
      </c>
      <c r="CU289" s="76">
        <v>0</v>
      </c>
      <c r="CV289" s="76">
        <v>0</v>
      </c>
      <c r="CW289" s="76">
        <v>0</v>
      </c>
      <c r="CX289" s="76">
        <v>0</v>
      </c>
      <c r="CY289" s="76">
        <v>0</v>
      </c>
      <c r="CZ289" s="76">
        <v>182</v>
      </c>
      <c r="DA289" s="76">
        <v>0</v>
      </c>
      <c r="DB289" s="76">
        <v>0</v>
      </c>
      <c r="DC289" s="76">
        <v>182</v>
      </c>
      <c r="DD289" s="76">
        <v>6729</v>
      </c>
      <c r="DE289" s="76">
        <v>0</v>
      </c>
      <c r="DF289" s="76">
        <v>4279</v>
      </c>
      <c r="DG289" s="76">
        <v>2450</v>
      </c>
      <c r="DH289" s="76">
        <v>0</v>
      </c>
      <c r="DI289" s="76">
        <v>0</v>
      </c>
      <c r="DJ289" s="76">
        <v>0</v>
      </c>
      <c r="DK289" s="76">
        <v>0</v>
      </c>
      <c r="DL289" s="76">
        <v>0</v>
      </c>
      <c r="DM289" s="76">
        <v>0</v>
      </c>
      <c r="DN289" s="76">
        <v>0</v>
      </c>
      <c r="DO289" s="76">
        <v>0</v>
      </c>
      <c r="DP289" s="76">
        <v>0</v>
      </c>
      <c r="DQ289" s="76">
        <v>0</v>
      </c>
      <c r="DR289" s="76">
        <v>0</v>
      </c>
      <c r="DS289" s="76">
        <v>0</v>
      </c>
      <c r="DT289" s="76">
        <v>1336</v>
      </c>
      <c r="DU289" s="76">
        <v>0</v>
      </c>
      <c r="DV289" s="76">
        <v>486</v>
      </c>
      <c r="DW289" s="76">
        <v>850</v>
      </c>
      <c r="DX289" s="76">
        <v>0</v>
      </c>
      <c r="DY289" s="76">
        <v>0</v>
      </c>
      <c r="DZ289" s="76">
        <v>0</v>
      </c>
      <c r="EA289" s="76">
        <v>0</v>
      </c>
      <c r="EB289" s="76">
        <v>916</v>
      </c>
      <c r="EC289" s="76">
        <v>0</v>
      </c>
      <c r="ED289" s="76">
        <v>521</v>
      </c>
      <c r="EE289" s="76">
        <v>395</v>
      </c>
      <c r="EF289" s="76">
        <v>2252</v>
      </c>
      <c r="EG289" s="76">
        <v>0</v>
      </c>
      <c r="EH289" s="76">
        <v>1007</v>
      </c>
      <c r="EI289" s="76">
        <v>1245</v>
      </c>
      <c r="EJ289" s="76">
        <v>8981</v>
      </c>
      <c r="EK289" s="76">
        <v>0</v>
      </c>
      <c r="EL289" s="76">
        <v>5286</v>
      </c>
      <c r="EM289" s="76">
        <v>3695</v>
      </c>
      <c r="EN289" s="76">
        <v>1387</v>
      </c>
      <c r="EO289" s="76">
        <v>1009</v>
      </c>
      <c r="EP289" s="76">
        <v>53</v>
      </c>
      <c r="EQ289" s="76">
        <v>1009</v>
      </c>
      <c r="ER289" s="76">
        <v>800444</v>
      </c>
      <c r="ES289" s="76">
        <v>0</v>
      </c>
      <c r="ET289" s="76">
        <v>800444</v>
      </c>
      <c r="EU289" s="76">
        <v>7231</v>
      </c>
      <c r="EV289" s="76">
        <v>-40509</v>
      </c>
      <c r="EW289" s="76">
        <v>0</v>
      </c>
      <c r="EX289" s="76">
        <v>0</v>
      </c>
      <c r="EY289" s="76">
        <v>-1708</v>
      </c>
      <c r="EZ289" s="76">
        <v>765458</v>
      </c>
      <c r="FA289" s="76">
        <v>13899</v>
      </c>
      <c r="FB289" s="76">
        <v>5941</v>
      </c>
      <c r="FC289" s="76">
        <v>0</v>
      </c>
      <c r="FD289" s="76">
        <v>0</v>
      </c>
      <c r="FE289" s="76">
        <v>-5807</v>
      </c>
      <c r="FF289" s="76">
        <v>0</v>
      </c>
      <c r="FG289" s="76">
        <v>377</v>
      </c>
      <c r="FH289" s="76">
        <v>14410</v>
      </c>
      <c r="FI289" s="76">
        <v>751048</v>
      </c>
      <c r="FJ289" s="76">
        <v>786545</v>
      </c>
      <c r="FK289" s="76">
        <v>1807</v>
      </c>
      <c r="FL289" s="76">
        <v>1319</v>
      </c>
      <c r="FM289" s="76">
        <v>488</v>
      </c>
      <c r="FN289" s="76">
        <v>0</v>
      </c>
      <c r="FO289" s="76">
        <v>0</v>
      </c>
      <c r="FP289" s="76">
        <v>0</v>
      </c>
      <c r="FQ289" s="76">
        <v>0</v>
      </c>
      <c r="FR289" s="76">
        <v>0</v>
      </c>
      <c r="FS289" s="76">
        <v>0</v>
      </c>
      <c r="FT289" s="76">
        <v>4171</v>
      </c>
      <c r="FU289" s="76">
        <v>1688</v>
      </c>
      <c r="FV289" s="76">
        <v>2483</v>
      </c>
      <c r="FW289" s="76">
        <v>36041</v>
      </c>
      <c r="FX289" s="76">
        <v>34201</v>
      </c>
      <c r="FY289" s="76">
        <v>1840</v>
      </c>
      <c r="FZ289" s="76">
        <v>1725</v>
      </c>
      <c r="GA289" s="76">
        <v>375</v>
      </c>
      <c r="GB289" s="76">
        <v>1350</v>
      </c>
      <c r="GC289" s="76">
        <v>43744</v>
      </c>
      <c r="GD289" s="76">
        <v>37583</v>
      </c>
      <c r="GE289" s="76">
        <v>6161</v>
      </c>
      <c r="GF289" s="76">
        <v>5111</v>
      </c>
      <c r="GG289" s="76">
        <v>0</v>
      </c>
      <c r="GH289" s="76">
        <v>0</v>
      </c>
      <c r="GI289" s="76">
        <v>0</v>
      </c>
      <c r="GJ289" s="76">
        <v>0</v>
      </c>
      <c r="GK289" s="76">
        <v>2900</v>
      </c>
      <c r="GL289" s="76">
        <v>8011</v>
      </c>
      <c r="GM289" s="76">
        <v>1110</v>
      </c>
      <c r="GN289" s="76">
        <v>1734</v>
      </c>
      <c r="GO289" s="76">
        <v>1278</v>
      </c>
      <c r="GP289" s="76">
        <v>476</v>
      </c>
      <c r="GQ289" s="76">
        <v>225</v>
      </c>
      <c r="GR289" s="76">
        <v>4547</v>
      </c>
      <c r="GS289" s="76">
        <v>0</v>
      </c>
      <c r="GT289" s="76">
        <v>0</v>
      </c>
      <c r="GU289" s="76">
        <v>0</v>
      </c>
      <c r="GV289" s="76">
        <v>0</v>
      </c>
      <c r="GW289" s="76">
        <v>1426</v>
      </c>
      <c r="GX289" s="76">
        <v>10796</v>
      </c>
      <c r="GY289" s="76">
        <v>939</v>
      </c>
      <c r="GZ289" s="76">
        <v>0</v>
      </c>
      <c r="HA289" s="76">
        <v>0</v>
      </c>
      <c r="HB289" s="76">
        <v>504</v>
      </c>
      <c r="HC289" s="76">
        <v>1443</v>
      </c>
      <c r="HD289" s="76">
        <v>0</v>
      </c>
      <c r="HE289" s="76">
        <v>0</v>
      </c>
      <c r="HF289" s="76">
        <v>0</v>
      </c>
      <c r="HG289" s="76">
        <v>17189</v>
      </c>
      <c r="HH289" s="76">
        <v>0</v>
      </c>
      <c r="HI289" s="76">
        <v>186</v>
      </c>
      <c r="HJ289" s="76">
        <v>0</v>
      </c>
      <c r="HK289" s="76">
        <v>-7493</v>
      </c>
      <c r="HL289" s="76">
        <v>-237</v>
      </c>
      <c r="HM289" s="76">
        <v>9645</v>
      </c>
      <c r="HN289" s="76">
        <v>3336</v>
      </c>
      <c r="HO289" s="76">
        <v>6204</v>
      </c>
      <c r="HP289" s="76">
        <v>0</v>
      </c>
      <c r="HQ289" s="76">
        <v>49</v>
      </c>
      <c r="HR289" s="76">
        <v>-15</v>
      </c>
      <c r="HS289" s="76">
        <v>-272</v>
      </c>
      <c r="HT289" s="76">
        <v>8755</v>
      </c>
      <c r="HU289" s="76">
        <v>0</v>
      </c>
      <c r="HV289" s="76">
        <v>0</v>
      </c>
      <c r="HW289" s="76">
        <v>0</v>
      </c>
      <c r="HX289" s="76">
        <v>151</v>
      </c>
    </row>
    <row r="290" spans="1:232" x14ac:dyDescent="0.2">
      <c r="A290" s="74" t="s">
        <v>782</v>
      </c>
      <c r="B290" s="74" t="s">
        <v>781</v>
      </c>
      <c r="C290" s="75" t="s">
        <v>200</v>
      </c>
      <c r="D290" s="75">
        <v>12</v>
      </c>
      <c r="E290" s="76">
        <v>50619</v>
      </c>
      <c r="F290" s="76">
        <v>-1246</v>
      </c>
      <c r="G290" s="76">
        <v>-40536</v>
      </c>
      <c r="H290" s="76">
        <v>8837</v>
      </c>
      <c r="I290" s="76">
        <v>3596</v>
      </c>
      <c r="J290" s="76">
        <v>0</v>
      </c>
      <c r="K290" s="76">
        <v>-28589</v>
      </c>
      <c r="L290" s="76">
        <v>0</v>
      </c>
      <c r="M290" s="76">
        <v>940</v>
      </c>
      <c r="N290" s="76">
        <v>-6332</v>
      </c>
      <c r="O290" s="76">
        <v>0</v>
      </c>
      <c r="P290" s="76">
        <v>0</v>
      </c>
      <c r="Q290" s="76">
        <v>0</v>
      </c>
      <c r="R290" s="76">
        <v>0</v>
      </c>
      <c r="S290" s="76">
        <v>-21548</v>
      </c>
      <c r="T290" s="76">
        <v>0</v>
      </c>
      <c r="U290" s="76">
        <v>-21548</v>
      </c>
      <c r="V290" s="76">
        <v>0</v>
      </c>
      <c r="W290" s="76">
        <v>-2352</v>
      </c>
      <c r="X290" s="76">
        <v>0</v>
      </c>
      <c r="Y290" s="76">
        <v>0</v>
      </c>
      <c r="Z290" s="76">
        <v>-23900</v>
      </c>
      <c r="AA290" s="76">
        <v>42514</v>
      </c>
      <c r="AB290" s="76">
        <v>3186</v>
      </c>
      <c r="AC290" s="76">
        <v>45700</v>
      </c>
      <c r="AD290" s="76">
        <v>225</v>
      </c>
      <c r="AE290" s="76">
        <v>0</v>
      </c>
      <c r="AF290" s="76">
        <v>0</v>
      </c>
      <c r="AG290" s="76">
        <v>0</v>
      </c>
      <c r="AH290" s="76">
        <v>45925</v>
      </c>
      <c r="AI290" s="76">
        <v>11655</v>
      </c>
      <c r="AJ290" s="76">
        <v>3785</v>
      </c>
      <c r="AK290" s="76">
        <v>4142</v>
      </c>
      <c r="AL290" s="76">
        <v>3672</v>
      </c>
      <c r="AM290" s="76">
        <v>417</v>
      </c>
      <c r="AN290" s="76">
        <v>410</v>
      </c>
      <c r="AO290" s="76">
        <v>9579</v>
      </c>
      <c r="AP290" s="76">
        <v>0</v>
      </c>
      <c r="AQ290" s="76">
        <v>806</v>
      </c>
      <c r="AR290" s="76">
        <v>34466</v>
      </c>
      <c r="AS290" s="76">
        <v>11459</v>
      </c>
      <c r="AT290" s="76">
        <v>380</v>
      </c>
      <c r="AU290" s="76">
        <v>190370</v>
      </c>
      <c r="AV290" s="76">
        <v>0</v>
      </c>
      <c r="AW290" s="76">
        <v>7917</v>
      </c>
      <c r="AX290" s="76">
        <v>0</v>
      </c>
      <c r="AY290" s="76">
        <v>0</v>
      </c>
      <c r="AZ290" s="76">
        <v>2264</v>
      </c>
      <c r="BA290" s="76">
        <v>0</v>
      </c>
      <c r="BB290" s="76">
        <v>0</v>
      </c>
      <c r="BC290" s="76">
        <v>0</v>
      </c>
      <c r="BD290" s="76">
        <v>0</v>
      </c>
      <c r="BE290" s="76">
        <v>200551</v>
      </c>
      <c r="BF290" s="76">
        <v>3964</v>
      </c>
      <c r="BG290" s="76">
        <v>5282</v>
      </c>
      <c r="BH290" s="76">
        <v>1020</v>
      </c>
      <c r="BI290" s="76">
        <v>0</v>
      </c>
      <c r="BJ290" s="76">
        <v>22478</v>
      </c>
      <c r="BK290" s="76">
        <v>32744</v>
      </c>
      <c r="BL290" s="76">
        <v>12500</v>
      </c>
      <c r="BM290" s="76">
        <v>0</v>
      </c>
      <c r="BN290" s="76">
        <v>239</v>
      </c>
      <c r="BO290" s="76">
        <v>10729</v>
      </c>
      <c r="BP290" s="76">
        <v>23468</v>
      </c>
      <c r="BQ290" s="76">
        <v>9276</v>
      </c>
      <c r="BR290" s="76">
        <v>209827</v>
      </c>
      <c r="BS290" s="76">
        <v>148864</v>
      </c>
      <c r="BT290" s="76">
        <v>0</v>
      </c>
      <c r="BU290" s="76">
        <v>0</v>
      </c>
      <c r="BV290" s="76">
        <v>13575</v>
      </c>
      <c r="BW290" s="76">
        <v>0</v>
      </c>
      <c r="BX290" s="76">
        <v>0</v>
      </c>
      <c r="BY290" s="76">
        <v>1201</v>
      </c>
      <c r="BZ290" s="76">
        <v>163640</v>
      </c>
      <c r="CA290" s="76">
        <v>13903</v>
      </c>
      <c r="CB290" s="76">
        <v>1089</v>
      </c>
      <c r="CC290" s="76">
        <v>31195</v>
      </c>
      <c r="CD290" s="76">
        <v>29920</v>
      </c>
      <c r="CE290" s="76">
        <v>1275</v>
      </c>
      <c r="CF290" s="76">
        <v>0</v>
      </c>
      <c r="CG290" s="76">
        <v>0</v>
      </c>
      <c r="CH290" s="76">
        <v>0</v>
      </c>
      <c r="CI290" s="76">
        <v>31195</v>
      </c>
      <c r="CJ290" s="76">
        <v>1305</v>
      </c>
      <c r="CK290" s="76">
        <v>1246</v>
      </c>
      <c r="CL290" s="76">
        <v>88</v>
      </c>
      <c r="CM290" s="76">
        <v>-29</v>
      </c>
      <c r="CN290" s="76">
        <v>1341</v>
      </c>
      <c r="CO290" s="76">
        <v>0</v>
      </c>
      <c r="CP290" s="76">
        <v>2038</v>
      </c>
      <c r="CQ290" s="76">
        <v>-697</v>
      </c>
      <c r="CR290" s="76">
        <v>0</v>
      </c>
      <c r="CS290" s="76">
        <v>0</v>
      </c>
      <c r="CT290" s="76">
        <v>0</v>
      </c>
      <c r="CU290" s="76">
        <v>0</v>
      </c>
      <c r="CV290" s="76">
        <v>0</v>
      </c>
      <c r="CW290" s="76">
        <v>0</v>
      </c>
      <c r="CX290" s="76">
        <v>1591</v>
      </c>
      <c r="CY290" s="76">
        <v>-1591</v>
      </c>
      <c r="CZ290" s="76">
        <v>424</v>
      </c>
      <c r="DA290" s="76">
        <v>0</v>
      </c>
      <c r="DB290" s="76">
        <v>996</v>
      </c>
      <c r="DC290" s="76">
        <v>-572</v>
      </c>
      <c r="DD290" s="76">
        <v>3070</v>
      </c>
      <c r="DE290" s="76">
        <v>1246</v>
      </c>
      <c r="DF290" s="76">
        <v>4713</v>
      </c>
      <c r="DG290" s="76">
        <v>-2889</v>
      </c>
      <c r="DH290" s="76">
        <v>847</v>
      </c>
      <c r="DI290" s="76">
        <v>0</v>
      </c>
      <c r="DJ290" s="76">
        <v>826</v>
      </c>
      <c r="DK290" s="76">
        <v>21</v>
      </c>
      <c r="DL290" s="76">
        <v>0</v>
      </c>
      <c r="DM290" s="76">
        <v>0</v>
      </c>
      <c r="DN290" s="76">
        <v>0</v>
      </c>
      <c r="DO290" s="76">
        <v>0</v>
      </c>
      <c r="DP290" s="76">
        <v>0</v>
      </c>
      <c r="DQ290" s="76">
        <v>0</v>
      </c>
      <c r="DR290" s="76">
        <v>0</v>
      </c>
      <c r="DS290" s="76">
        <v>0</v>
      </c>
      <c r="DT290" s="76">
        <v>0</v>
      </c>
      <c r="DU290" s="76">
        <v>0</v>
      </c>
      <c r="DV290" s="76">
        <v>0</v>
      </c>
      <c r="DW290" s="76">
        <v>0</v>
      </c>
      <c r="DX290" s="76">
        <v>0</v>
      </c>
      <c r="DY290" s="76">
        <v>0</v>
      </c>
      <c r="DZ290" s="76">
        <v>0</v>
      </c>
      <c r="EA290" s="76">
        <v>0</v>
      </c>
      <c r="EB290" s="76">
        <v>777</v>
      </c>
      <c r="EC290" s="76">
        <v>0</v>
      </c>
      <c r="ED290" s="76">
        <v>532</v>
      </c>
      <c r="EE290" s="76">
        <v>245</v>
      </c>
      <c r="EF290" s="76">
        <v>1624</v>
      </c>
      <c r="EG290" s="76">
        <v>0</v>
      </c>
      <c r="EH290" s="76">
        <v>1358</v>
      </c>
      <c r="EI290" s="76">
        <v>266</v>
      </c>
      <c r="EJ290" s="76">
        <v>4694</v>
      </c>
      <c r="EK290" s="76">
        <v>1246</v>
      </c>
      <c r="EL290" s="76">
        <v>6071</v>
      </c>
      <c r="EM290" s="76">
        <v>-2623</v>
      </c>
      <c r="EN290" s="76">
        <v>2152</v>
      </c>
      <c r="EO290" s="76">
        <v>838</v>
      </c>
      <c r="EP290" s="76">
        <v>308</v>
      </c>
      <c r="EQ290" s="76">
        <v>838</v>
      </c>
      <c r="ER290" s="76">
        <v>243959</v>
      </c>
      <c r="ES290" s="76">
        <v>0</v>
      </c>
      <c r="ET290" s="76">
        <v>243959</v>
      </c>
      <c r="EU290" s="76">
        <v>12024</v>
      </c>
      <c r="EV290" s="76">
        <v>-1328</v>
      </c>
      <c r="EW290" s="76">
        <v>0</v>
      </c>
      <c r="EX290" s="76">
        <v>0</v>
      </c>
      <c r="EY290" s="76">
        <v>0</v>
      </c>
      <c r="EZ290" s="76">
        <v>254655</v>
      </c>
      <c r="FA290" s="76">
        <v>55106</v>
      </c>
      <c r="FB290" s="76">
        <v>9577</v>
      </c>
      <c r="FC290" s="76">
        <v>0</v>
      </c>
      <c r="FD290" s="76">
        <v>0</v>
      </c>
      <c r="FE290" s="76">
        <v>-398</v>
      </c>
      <c r="FF290" s="76">
        <v>0</v>
      </c>
      <c r="FG290" s="76">
        <v>0</v>
      </c>
      <c r="FH290" s="76">
        <v>64285</v>
      </c>
      <c r="FI290" s="76">
        <v>190370</v>
      </c>
      <c r="FJ290" s="76">
        <v>188853</v>
      </c>
      <c r="FK290" s="76">
        <v>268</v>
      </c>
      <c r="FL290" s="76">
        <v>124</v>
      </c>
      <c r="FM290" s="76">
        <v>144</v>
      </c>
      <c r="FN290" s="76">
        <v>3512</v>
      </c>
      <c r="FO290" s="76">
        <v>676</v>
      </c>
      <c r="FP290" s="76">
        <v>2836</v>
      </c>
      <c r="FQ290" s="76">
        <v>0</v>
      </c>
      <c r="FR290" s="76">
        <v>0</v>
      </c>
      <c r="FS290" s="76">
        <v>0</v>
      </c>
      <c r="FT290" s="76">
        <v>777</v>
      </c>
      <c r="FU290" s="76">
        <v>161</v>
      </c>
      <c r="FV290" s="76">
        <v>616</v>
      </c>
      <c r="FW290" s="76">
        <v>0</v>
      </c>
      <c r="FX290" s="76">
        <v>0</v>
      </c>
      <c r="FY290" s="76">
        <v>0</v>
      </c>
      <c r="FZ290" s="76">
        <v>0</v>
      </c>
      <c r="GA290" s="76">
        <v>0</v>
      </c>
      <c r="GB290" s="76">
        <v>0</v>
      </c>
      <c r="GC290" s="76">
        <v>4557</v>
      </c>
      <c r="GD290" s="76">
        <v>961</v>
      </c>
      <c r="GE290" s="76">
        <v>3596</v>
      </c>
      <c r="GF290" s="76">
        <v>21735</v>
      </c>
      <c r="GG290" s="76">
        <v>0</v>
      </c>
      <c r="GH290" s="76">
        <v>0</v>
      </c>
      <c r="GI290" s="76">
        <v>743</v>
      </c>
      <c r="GJ290" s="76">
        <v>0</v>
      </c>
      <c r="GK290" s="76">
        <v>0</v>
      </c>
      <c r="GL290" s="76">
        <v>22478</v>
      </c>
      <c r="GM290" s="76">
        <v>1880</v>
      </c>
      <c r="GN290" s="76">
        <v>1240</v>
      </c>
      <c r="GO290" s="76">
        <v>2226</v>
      </c>
      <c r="GP290" s="76">
        <v>40</v>
      </c>
      <c r="GQ290" s="76">
        <v>0</v>
      </c>
      <c r="GR290" s="76">
        <v>5045</v>
      </c>
      <c r="GS290" s="76">
        <v>0</v>
      </c>
      <c r="GT290" s="76">
        <v>0</v>
      </c>
      <c r="GU290" s="76">
        <v>0</v>
      </c>
      <c r="GV290" s="76">
        <v>0</v>
      </c>
      <c r="GW290" s="76">
        <v>299</v>
      </c>
      <c r="GX290" s="76">
        <v>10730</v>
      </c>
      <c r="GY290" s="76">
        <v>100</v>
      </c>
      <c r="GZ290" s="76">
        <v>0</v>
      </c>
      <c r="HA290" s="76">
        <v>1101</v>
      </c>
      <c r="HB290" s="76">
        <v>0</v>
      </c>
      <c r="HC290" s="76">
        <v>1201</v>
      </c>
      <c r="HD290" s="76">
        <v>1089</v>
      </c>
      <c r="HE290" s="76">
        <v>0</v>
      </c>
      <c r="HF290" s="76">
        <v>1089</v>
      </c>
      <c r="HG290" s="76">
        <v>6049</v>
      </c>
      <c r="HH290" s="76">
        <v>0</v>
      </c>
      <c r="HI290" s="76">
        <v>413</v>
      </c>
      <c r="HJ290" s="76">
        <v>0</v>
      </c>
      <c r="HK290" s="76">
        <v>42</v>
      </c>
      <c r="HL290" s="76">
        <v>-172</v>
      </c>
      <c r="HM290" s="76">
        <v>6332</v>
      </c>
      <c r="HN290" s="76">
        <v>3084</v>
      </c>
      <c r="HO290" s="76">
        <v>10304</v>
      </c>
      <c r="HP290" s="76">
        <v>0</v>
      </c>
      <c r="HQ290" s="76">
        <v>77</v>
      </c>
      <c r="HR290" s="76">
        <v>-59</v>
      </c>
      <c r="HS290" s="76">
        <v>-9</v>
      </c>
      <c r="HT290" s="76">
        <v>8897</v>
      </c>
      <c r="HU290" s="76">
        <v>0</v>
      </c>
      <c r="HV290" s="76">
        <v>0</v>
      </c>
      <c r="HW290" s="76">
        <v>0</v>
      </c>
      <c r="HX290" s="76">
        <v>0</v>
      </c>
    </row>
    <row r="291" spans="1:232" x14ac:dyDescent="0.2">
      <c r="A291" s="74" t="s">
        <v>785</v>
      </c>
      <c r="B291" s="74" t="s">
        <v>784</v>
      </c>
      <c r="C291" s="75" t="s">
        <v>200</v>
      </c>
      <c r="D291" s="75">
        <v>12</v>
      </c>
      <c r="E291" s="76">
        <v>27845</v>
      </c>
      <c r="F291" s="76">
        <v>-231</v>
      </c>
      <c r="G291" s="76">
        <v>-19029</v>
      </c>
      <c r="H291" s="76">
        <v>8585</v>
      </c>
      <c r="I291" s="76">
        <v>912</v>
      </c>
      <c r="J291" s="76">
        <v>59</v>
      </c>
      <c r="K291" s="76">
        <v>419</v>
      </c>
      <c r="L291" s="76">
        <v>0</v>
      </c>
      <c r="M291" s="76">
        <v>19</v>
      </c>
      <c r="N291" s="76">
        <v>-3966</v>
      </c>
      <c r="O291" s="76">
        <v>0</v>
      </c>
      <c r="P291" s="76">
        <v>0</v>
      </c>
      <c r="Q291" s="76">
        <v>0</v>
      </c>
      <c r="R291" s="76">
        <v>0</v>
      </c>
      <c r="S291" s="76">
        <v>6028</v>
      </c>
      <c r="T291" s="76">
        <v>0</v>
      </c>
      <c r="U291" s="76">
        <v>6028</v>
      </c>
      <c r="V291" s="76">
        <v>0</v>
      </c>
      <c r="W291" s="76">
        <v>2779</v>
      </c>
      <c r="X291" s="76">
        <v>0</v>
      </c>
      <c r="Y291" s="76">
        <v>0</v>
      </c>
      <c r="Z291" s="76">
        <v>8807</v>
      </c>
      <c r="AA291" s="76">
        <v>24737</v>
      </c>
      <c r="AB291" s="76">
        <v>1566</v>
      </c>
      <c r="AC291" s="76">
        <v>26303</v>
      </c>
      <c r="AD291" s="76">
        <v>287</v>
      </c>
      <c r="AE291" s="76">
        <v>0</v>
      </c>
      <c r="AF291" s="76">
        <v>17</v>
      </c>
      <c r="AG291" s="76">
        <v>0</v>
      </c>
      <c r="AH291" s="76">
        <v>26607</v>
      </c>
      <c r="AI291" s="76">
        <v>4945</v>
      </c>
      <c r="AJ291" s="76">
        <v>1375</v>
      </c>
      <c r="AK291" s="76">
        <v>2106</v>
      </c>
      <c r="AL291" s="76">
        <v>3749</v>
      </c>
      <c r="AM291" s="76">
        <v>648</v>
      </c>
      <c r="AN291" s="76">
        <v>62</v>
      </c>
      <c r="AO291" s="76">
        <v>4348</v>
      </c>
      <c r="AP291" s="76">
        <v>0</v>
      </c>
      <c r="AQ291" s="76">
        <v>219</v>
      </c>
      <c r="AR291" s="76">
        <v>17452</v>
      </c>
      <c r="AS291" s="76">
        <v>9155</v>
      </c>
      <c r="AT291" s="76">
        <v>225</v>
      </c>
      <c r="AU291" s="76">
        <v>136506</v>
      </c>
      <c r="AV291" s="76">
        <v>0</v>
      </c>
      <c r="AW291" s="76">
        <v>1765</v>
      </c>
      <c r="AX291" s="76">
        <v>175</v>
      </c>
      <c r="AY291" s="76">
        <v>0</v>
      </c>
      <c r="AZ291" s="76">
        <v>0</v>
      </c>
      <c r="BA291" s="76">
        <v>0</v>
      </c>
      <c r="BB291" s="76">
        <v>0</v>
      </c>
      <c r="BC291" s="76">
        <v>0</v>
      </c>
      <c r="BD291" s="76">
        <v>0</v>
      </c>
      <c r="BE291" s="76">
        <v>138446</v>
      </c>
      <c r="BF291" s="76">
        <v>214</v>
      </c>
      <c r="BG291" s="76">
        <v>2060</v>
      </c>
      <c r="BH291" s="76">
        <v>1484</v>
      </c>
      <c r="BI291" s="76">
        <v>1120</v>
      </c>
      <c r="BJ291" s="76">
        <v>58</v>
      </c>
      <c r="BK291" s="76">
        <v>4936</v>
      </c>
      <c r="BL291" s="76">
        <v>0</v>
      </c>
      <c r="BM291" s="76">
        <v>0</v>
      </c>
      <c r="BN291" s="76">
        <v>302</v>
      </c>
      <c r="BO291" s="76">
        <v>5184</v>
      </c>
      <c r="BP291" s="76">
        <v>5486</v>
      </c>
      <c r="BQ291" s="76">
        <v>-550</v>
      </c>
      <c r="BR291" s="76">
        <v>137896</v>
      </c>
      <c r="BS291" s="76">
        <v>85785</v>
      </c>
      <c r="BT291" s="76">
        <v>0</v>
      </c>
      <c r="BU291" s="76">
        <v>0</v>
      </c>
      <c r="BV291" s="76">
        <v>19641</v>
      </c>
      <c r="BW291" s="76">
        <v>0</v>
      </c>
      <c r="BX291" s="76">
        <v>0</v>
      </c>
      <c r="BY291" s="76">
        <v>1908</v>
      </c>
      <c r="BZ291" s="76">
        <v>107334</v>
      </c>
      <c r="CA291" s="76">
        <v>3646</v>
      </c>
      <c r="CB291" s="76">
        <v>0</v>
      </c>
      <c r="CC291" s="76">
        <v>26916</v>
      </c>
      <c r="CD291" s="76">
        <v>26916</v>
      </c>
      <c r="CE291" s="76">
        <v>0</v>
      </c>
      <c r="CF291" s="76">
        <v>0</v>
      </c>
      <c r="CG291" s="76">
        <v>0</v>
      </c>
      <c r="CH291" s="76">
        <v>0</v>
      </c>
      <c r="CI291" s="76">
        <v>26916</v>
      </c>
      <c r="CJ291" s="76">
        <v>458</v>
      </c>
      <c r="CK291" s="76">
        <v>231</v>
      </c>
      <c r="CL291" s="76">
        <v>0</v>
      </c>
      <c r="CM291" s="76">
        <v>227</v>
      </c>
      <c r="CN291" s="76">
        <v>324</v>
      </c>
      <c r="CO291" s="76">
        <v>0</v>
      </c>
      <c r="CP291" s="76">
        <v>472</v>
      </c>
      <c r="CQ291" s="76">
        <v>-148</v>
      </c>
      <c r="CR291" s="76">
        <v>0</v>
      </c>
      <c r="CS291" s="76">
        <v>0</v>
      </c>
      <c r="CT291" s="76">
        <v>727</v>
      </c>
      <c r="CU291" s="76">
        <v>-727</v>
      </c>
      <c r="CV291" s="76">
        <v>0</v>
      </c>
      <c r="CW291" s="76">
        <v>0</v>
      </c>
      <c r="CX291" s="76">
        <v>0</v>
      </c>
      <c r="CY291" s="76">
        <v>0</v>
      </c>
      <c r="CZ291" s="76">
        <v>0</v>
      </c>
      <c r="DA291" s="76">
        <v>0</v>
      </c>
      <c r="DB291" s="76">
        <v>0</v>
      </c>
      <c r="DC291" s="76">
        <v>0</v>
      </c>
      <c r="DD291" s="76">
        <v>782</v>
      </c>
      <c r="DE291" s="76">
        <v>231</v>
      </c>
      <c r="DF291" s="76">
        <v>1199</v>
      </c>
      <c r="DG291" s="76">
        <v>-648</v>
      </c>
      <c r="DH291" s="76">
        <v>0</v>
      </c>
      <c r="DI291" s="76">
        <v>0</v>
      </c>
      <c r="DJ291" s="76">
        <v>0</v>
      </c>
      <c r="DK291" s="76">
        <v>0</v>
      </c>
      <c r="DL291" s="76">
        <v>0</v>
      </c>
      <c r="DM291" s="76">
        <v>0</v>
      </c>
      <c r="DN291" s="76">
        <v>0</v>
      </c>
      <c r="DO291" s="76">
        <v>0</v>
      </c>
      <c r="DP291" s="76">
        <v>0</v>
      </c>
      <c r="DQ291" s="76">
        <v>0</v>
      </c>
      <c r="DR291" s="76">
        <v>0</v>
      </c>
      <c r="DS291" s="76">
        <v>0</v>
      </c>
      <c r="DT291" s="76">
        <v>0</v>
      </c>
      <c r="DU291" s="76">
        <v>0</v>
      </c>
      <c r="DV291" s="76">
        <v>0</v>
      </c>
      <c r="DW291" s="76">
        <v>0</v>
      </c>
      <c r="DX291" s="76">
        <v>0</v>
      </c>
      <c r="DY291" s="76">
        <v>0</v>
      </c>
      <c r="DZ291" s="76">
        <v>0</v>
      </c>
      <c r="EA291" s="76">
        <v>0</v>
      </c>
      <c r="EB291" s="76">
        <v>456</v>
      </c>
      <c r="EC291" s="76">
        <v>0</v>
      </c>
      <c r="ED291" s="76">
        <v>378</v>
      </c>
      <c r="EE291" s="76">
        <v>78</v>
      </c>
      <c r="EF291" s="76">
        <v>456</v>
      </c>
      <c r="EG291" s="76">
        <v>0</v>
      </c>
      <c r="EH291" s="76">
        <v>378</v>
      </c>
      <c r="EI291" s="76">
        <v>78</v>
      </c>
      <c r="EJ291" s="76">
        <v>1238</v>
      </c>
      <c r="EK291" s="76">
        <v>231</v>
      </c>
      <c r="EL291" s="76">
        <v>1577</v>
      </c>
      <c r="EM291" s="76">
        <v>-570</v>
      </c>
      <c r="EN291" s="76">
        <v>652</v>
      </c>
      <c r="EO291" s="76">
        <v>231</v>
      </c>
      <c r="EP291" s="76">
        <v>327</v>
      </c>
      <c r="EQ291" s="76">
        <v>231</v>
      </c>
      <c r="ER291" s="76">
        <v>160353</v>
      </c>
      <c r="ES291" s="76">
        <v>0</v>
      </c>
      <c r="ET291" s="76">
        <v>160353</v>
      </c>
      <c r="EU291" s="76">
        <v>13933</v>
      </c>
      <c r="EV291" s="76">
        <v>-1220</v>
      </c>
      <c r="EW291" s="76">
        <v>0</v>
      </c>
      <c r="EX291" s="76">
        <v>0</v>
      </c>
      <c r="EY291" s="76">
        <v>0</v>
      </c>
      <c r="EZ291" s="76">
        <v>173066</v>
      </c>
      <c r="FA291" s="76">
        <v>32923</v>
      </c>
      <c r="FB291" s="76">
        <v>4348</v>
      </c>
      <c r="FC291" s="76">
        <v>0</v>
      </c>
      <c r="FD291" s="76">
        <v>0</v>
      </c>
      <c r="FE291" s="76">
        <v>-711</v>
      </c>
      <c r="FF291" s="76">
        <v>0</v>
      </c>
      <c r="FG291" s="76">
        <v>0</v>
      </c>
      <c r="FH291" s="76">
        <v>36560</v>
      </c>
      <c r="FI291" s="76">
        <v>136506</v>
      </c>
      <c r="FJ291" s="76">
        <v>127430</v>
      </c>
      <c r="FK291" s="76">
        <v>139</v>
      </c>
      <c r="FL291" s="76">
        <v>98</v>
      </c>
      <c r="FM291" s="76">
        <v>41</v>
      </c>
      <c r="FN291" s="76">
        <v>991</v>
      </c>
      <c r="FO291" s="76">
        <v>205</v>
      </c>
      <c r="FP291" s="76">
        <v>786</v>
      </c>
      <c r="FQ291" s="76">
        <v>1164</v>
      </c>
      <c r="FR291" s="76">
        <v>1134</v>
      </c>
      <c r="FS291" s="76">
        <v>30</v>
      </c>
      <c r="FT291" s="76">
        <v>0</v>
      </c>
      <c r="FU291" s="76">
        <v>0</v>
      </c>
      <c r="FV291" s="76">
        <v>0</v>
      </c>
      <c r="FW291" s="76">
        <v>0</v>
      </c>
      <c r="FX291" s="76">
        <v>0</v>
      </c>
      <c r="FY291" s="76">
        <v>0</v>
      </c>
      <c r="FZ291" s="76">
        <v>66</v>
      </c>
      <c r="GA291" s="76">
        <v>11</v>
      </c>
      <c r="GB291" s="76">
        <v>55</v>
      </c>
      <c r="GC291" s="76">
        <v>2360</v>
      </c>
      <c r="GD291" s="76">
        <v>1448</v>
      </c>
      <c r="GE291" s="76">
        <v>912</v>
      </c>
      <c r="GF291" s="76">
        <v>0</v>
      </c>
      <c r="GG291" s="76">
        <v>0</v>
      </c>
      <c r="GH291" s="76">
        <v>0</v>
      </c>
      <c r="GI291" s="76">
        <v>0</v>
      </c>
      <c r="GJ291" s="76">
        <v>0</v>
      </c>
      <c r="GK291" s="76">
        <v>58</v>
      </c>
      <c r="GL291" s="76">
        <v>58</v>
      </c>
      <c r="GM291" s="76">
        <v>154</v>
      </c>
      <c r="GN291" s="76">
        <v>473</v>
      </c>
      <c r="GO291" s="76">
        <v>0</v>
      </c>
      <c r="GP291" s="76">
        <v>0</v>
      </c>
      <c r="GQ291" s="76">
        <v>0</v>
      </c>
      <c r="GR291" s="76">
        <v>4277</v>
      </c>
      <c r="GS291" s="76">
        <v>0</v>
      </c>
      <c r="GT291" s="76">
        <v>0</v>
      </c>
      <c r="GU291" s="76">
        <v>19</v>
      </c>
      <c r="GV291" s="76">
        <v>0</v>
      </c>
      <c r="GW291" s="76">
        <v>261</v>
      </c>
      <c r="GX291" s="76">
        <v>5184</v>
      </c>
      <c r="GY291" s="76">
        <v>0</v>
      </c>
      <c r="GZ291" s="76">
        <v>1776</v>
      </c>
      <c r="HA291" s="76">
        <v>132</v>
      </c>
      <c r="HB291" s="76">
        <v>0</v>
      </c>
      <c r="HC291" s="76">
        <v>1908</v>
      </c>
      <c r="HD291" s="76">
        <v>0</v>
      </c>
      <c r="HE291" s="76">
        <v>0</v>
      </c>
      <c r="HF291" s="76">
        <v>0</v>
      </c>
      <c r="HG291" s="76">
        <v>3702</v>
      </c>
      <c r="HH291" s="76">
        <v>34</v>
      </c>
      <c r="HI291" s="76">
        <v>230</v>
      </c>
      <c r="HJ291" s="76">
        <v>0</v>
      </c>
      <c r="HK291" s="76">
        <v>0</v>
      </c>
      <c r="HL291" s="76">
        <v>0</v>
      </c>
      <c r="HM291" s="76">
        <v>3966</v>
      </c>
      <c r="HN291" s="76">
        <v>2185</v>
      </c>
      <c r="HO291" s="76">
        <v>4469</v>
      </c>
      <c r="HP291" s="76">
        <v>0</v>
      </c>
      <c r="HQ291" s="76">
        <v>156</v>
      </c>
      <c r="HR291" s="76">
        <v>-38</v>
      </c>
      <c r="HS291" s="76">
        <v>-3</v>
      </c>
      <c r="HT291" s="76">
        <v>5828</v>
      </c>
      <c r="HU291" s="76">
        <v>0</v>
      </c>
      <c r="HV291" s="76">
        <v>0</v>
      </c>
      <c r="HW291" s="76">
        <v>6</v>
      </c>
      <c r="HX291" s="76">
        <v>279</v>
      </c>
    </row>
    <row r="292" spans="1:232" x14ac:dyDescent="0.2">
      <c r="A292" s="74" t="s">
        <v>181</v>
      </c>
      <c r="B292" s="74" t="s">
        <v>180</v>
      </c>
      <c r="C292" s="75" t="s">
        <v>200</v>
      </c>
      <c r="D292" s="75">
        <v>12</v>
      </c>
      <c r="E292" s="76">
        <v>18266</v>
      </c>
      <c r="F292" s="76">
        <v>0</v>
      </c>
      <c r="G292" s="76">
        <v>-13188</v>
      </c>
      <c r="H292" s="76">
        <v>5078</v>
      </c>
      <c r="I292" s="76">
        <v>-494</v>
      </c>
      <c r="J292" s="76">
        <v>0</v>
      </c>
      <c r="K292" s="76">
        <v>0</v>
      </c>
      <c r="L292" s="76">
        <v>0</v>
      </c>
      <c r="M292" s="76">
        <v>12</v>
      </c>
      <c r="N292" s="76">
        <v>-3247</v>
      </c>
      <c r="O292" s="76">
        <v>90</v>
      </c>
      <c r="P292" s="76">
        <v>0</v>
      </c>
      <c r="Q292" s="76">
        <v>0</v>
      </c>
      <c r="R292" s="76">
        <v>0</v>
      </c>
      <c r="S292" s="76">
        <v>1439</v>
      </c>
      <c r="T292" s="76">
        <v>0</v>
      </c>
      <c r="U292" s="76">
        <v>1439</v>
      </c>
      <c r="V292" s="76">
        <v>0</v>
      </c>
      <c r="W292" s="76">
        <v>0</v>
      </c>
      <c r="X292" s="76">
        <v>0</v>
      </c>
      <c r="Y292" s="76">
        <v>1023</v>
      </c>
      <c r="Z292" s="76">
        <v>2462</v>
      </c>
      <c r="AA292" s="76">
        <v>13487</v>
      </c>
      <c r="AB292" s="76">
        <v>2908</v>
      </c>
      <c r="AC292" s="76">
        <v>16395</v>
      </c>
      <c r="AD292" s="76">
        <v>874</v>
      </c>
      <c r="AE292" s="76">
        <v>0</v>
      </c>
      <c r="AF292" s="76">
        <v>0</v>
      </c>
      <c r="AG292" s="76">
        <v>0</v>
      </c>
      <c r="AH292" s="76">
        <v>17269</v>
      </c>
      <c r="AI292" s="76">
        <v>2173</v>
      </c>
      <c r="AJ292" s="76">
        <v>3780</v>
      </c>
      <c r="AK292" s="76">
        <v>2121</v>
      </c>
      <c r="AL292" s="76">
        <v>826</v>
      </c>
      <c r="AM292" s="76">
        <v>0</v>
      </c>
      <c r="AN292" s="76">
        <v>540</v>
      </c>
      <c r="AO292" s="76">
        <v>2540</v>
      </c>
      <c r="AP292" s="76">
        <v>0</v>
      </c>
      <c r="AQ292" s="76">
        <v>0</v>
      </c>
      <c r="AR292" s="76">
        <v>11980</v>
      </c>
      <c r="AS292" s="76">
        <v>5289</v>
      </c>
      <c r="AT292" s="76">
        <v>476</v>
      </c>
      <c r="AU292" s="76">
        <v>149250</v>
      </c>
      <c r="AV292" s="76">
        <v>0</v>
      </c>
      <c r="AW292" s="76">
        <v>3132</v>
      </c>
      <c r="AX292" s="76">
        <v>0</v>
      </c>
      <c r="AY292" s="76">
        <v>0</v>
      </c>
      <c r="AZ292" s="76">
        <v>1320</v>
      </c>
      <c r="BA292" s="76">
        <v>0</v>
      </c>
      <c r="BB292" s="76">
        <v>0</v>
      </c>
      <c r="BC292" s="76">
        <v>0</v>
      </c>
      <c r="BD292" s="76">
        <v>0</v>
      </c>
      <c r="BE292" s="76">
        <v>153702</v>
      </c>
      <c r="BF292" s="76">
        <v>0</v>
      </c>
      <c r="BG292" s="76">
        <v>1697</v>
      </c>
      <c r="BH292" s="76">
        <v>5749</v>
      </c>
      <c r="BI292" s="76">
        <v>0</v>
      </c>
      <c r="BJ292" s="76">
        <v>39</v>
      </c>
      <c r="BK292" s="76">
        <v>7485</v>
      </c>
      <c r="BL292" s="76">
        <v>3101</v>
      </c>
      <c r="BM292" s="76">
        <v>0</v>
      </c>
      <c r="BN292" s="76">
        <v>866</v>
      </c>
      <c r="BO292" s="76">
        <v>2824</v>
      </c>
      <c r="BP292" s="76">
        <v>6791</v>
      </c>
      <c r="BQ292" s="76">
        <v>694</v>
      </c>
      <c r="BR292" s="76">
        <v>154396</v>
      </c>
      <c r="BS292" s="76">
        <v>77289</v>
      </c>
      <c r="BT292" s="76">
        <v>0</v>
      </c>
      <c r="BU292" s="76">
        <v>0</v>
      </c>
      <c r="BV292" s="76">
        <v>58711</v>
      </c>
      <c r="BW292" s="76">
        <v>0</v>
      </c>
      <c r="BX292" s="76">
        <v>0</v>
      </c>
      <c r="BY292" s="76">
        <v>1398</v>
      </c>
      <c r="BZ292" s="76">
        <v>137398</v>
      </c>
      <c r="CA292" s="76">
        <v>0</v>
      </c>
      <c r="CB292" s="76">
        <v>0</v>
      </c>
      <c r="CC292" s="76">
        <v>16998</v>
      </c>
      <c r="CD292" s="76">
        <v>15867</v>
      </c>
      <c r="CE292" s="76">
        <v>1114</v>
      </c>
      <c r="CF292" s="76">
        <v>17</v>
      </c>
      <c r="CG292" s="76">
        <v>0</v>
      </c>
      <c r="CH292" s="76">
        <v>0</v>
      </c>
      <c r="CI292" s="76">
        <v>16998</v>
      </c>
      <c r="CJ292" s="76">
        <v>0</v>
      </c>
      <c r="CK292" s="76">
        <v>0</v>
      </c>
      <c r="CL292" s="76">
        <v>0</v>
      </c>
      <c r="CM292" s="76">
        <v>0</v>
      </c>
      <c r="CN292" s="76">
        <v>0</v>
      </c>
      <c r="CO292" s="76">
        <v>0</v>
      </c>
      <c r="CP292" s="76">
        <v>0</v>
      </c>
      <c r="CQ292" s="76">
        <v>0</v>
      </c>
      <c r="CR292" s="76">
        <v>0</v>
      </c>
      <c r="CS292" s="76">
        <v>0</v>
      </c>
      <c r="CT292" s="76">
        <v>0</v>
      </c>
      <c r="CU292" s="76">
        <v>0</v>
      </c>
      <c r="CV292" s="76">
        <v>0</v>
      </c>
      <c r="CW292" s="76">
        <v>0</v>
      </c>
      <c r="CX292" s="76">
        <v>0</v>
      </c>
      <c r="CY292" s="76">
        <v>0</v>
      </c>
      <c r="CZ292" s="76">
        <v>0</v>
      </c>
      <c r="DA292" s="76">
        <v>0</v>
      </c>
      <c r="DB292" s="76">
        <v>0</v>
      </c>
      <c r="DC292" s="76">
        <v>0</v>
      </c>
      <c r="DD292" s="76">
        <v>0</v>
      </c>
      <c r="DE292" s="76">
        <v>0</v>
      </c>
      <c r="DF292" s="76">
        <v>0</v>
      </c>
      <c r="DG292" s="76">
        <v>0</v>
      </c>
      <c r="DH292" s="76">
        <v>0</v>
      </c>
      <c r="DI292" s="76">
        <v>0</v>
      </c>
      <c r="DJ292" s="76">
        <v>0</v>
      </c>
      <c r="DK292" s="76">
        <v>0</v>
      </c>
      <c r="DL292" s="76">
        <v>0</v>
      </c>
      <c r="DM292" s="76">
        <v>0</v>
      </c>
      <c r="DN292" s="76">
        <v>0</v>
      </c>
      <c r="DO292" s="76">
        <v>0</v>
      </c>
      <c r="DP292" s="76">
        <v>0</v>
      </c>
      <c r="DQ292" s="76">
        <v>0</v>
      </c>
      <c r="DR292" s="76">
        <v>0</v>
      </c>
      <c r="DS292" s="76">
        <v>0</v>
      </c>
      <c r="DT292" s="76">
        <v>754</v>
      </c>
      <c r="DU292" s="76">
        <v>0</v>
      </c>
      <c r="DV292" s="76">
        <v>993</v>
      </c>
      <c r="DW292" s="76">
        <v>-239</v>
      </c>
      <c r="DX292" s="76">
        <v>0</v>
      </c>
      <c r="DY292" s="76">
        <v>0</v>
      </c>
      <c r="DZ292" s="76">
        <v>0</v>
      </c>
      <c r="EA292" s="76">
        <v>0</v>
      </c>
      <c r="EB292" s="76">
        <v>243</v>
      </c>
      <c r="EC292" s="76">
        <v>0</v>
      </c>
      <c r="ED292" s="76">
        <v>215</v>
      </c>
      <c r="EE292" s="76">
        <v>28</v>
      </c>
      <c r="EF292" s="76">
        <v>997</v>
      </c>
      <c r="EG292" s="76">
        <v>0</v>
      </c>
      <c r="EH292" s="76">
        <v>1208</v>
      </c>
      <c r="EI292" s="76">
        <v>-211</v>
      </c>
      <c r="EJ292" s="76">
        <v>997</v>
      </c>
      <c r="EK292" s="76">
        <v>0</v>
      </c>
      <c r="EL292" s="76">
        <v>1208</v>
      </c>
      <c r="EM292" s="76">
        <v>-211</v>
      </c>
      <c r="EN292" s="76">
        <v>1318</v>
      </c>
      <c r="EO292" s="76">
        <v>1630</v>
      </c>
      <c r="EP292" s="76">
        <v>471</v>
      </c>
      <c r="EQ292" s="76">
        <v>1630</v>
      </c>
      <c r="ER292" s="76">
        <v>176481</v>
      </c>
      <c r="ES292" s="76">
        <v>0</v>
      </c>
      <c r="ET292" s="76">
        <v>176481</v>
      </c>
      <c r="EU292" s="76">
        <v>1530</v>
      </c>
      <c r="EV292" s="76">
        <v>-2625</v>
      </c>
      <c r="EW292" s="76">
        <v>0</v>
      </c>
      <c r="EX292" s="76">
        <v>0</v>
      </c>
      <c r="EY292" s="76">
        <v>679</v>
      </c>
      <c r="EZ292" s="76">
        <v>176065</v>
      </c>
      <c r="FA292" s="76">
        <v>25180</v>
      </c>
      <c r="FB292" s="76">
        <v>2540</v>
      </c>
      <c r="FC292" s="76">
        <v>0</v>
      </c>
      <c r="FD292" s="76">
        <v>0</v>
      </c>
      <c r="FE292" s="76">
        <v>-905</v>
      </c>
      <c r="FF292" s="76">
        <v>0</v>
      </c>
      <c r="FG292" s="76">
        <v>0</v>
      </c>
      <c r="FH292" s="76">
        <v>26815</v>
      </c>
      <c r="FI292" s="76">
        <v>149250</v>
      </c>
      <c r="FJ292" s="76">
        <v>151301</v>
      </c>
      <c r="FK292" s="76">
        <v>149</v>
      </c>
      <c r="FL292" s="76">
        <v>156</v>
      </c>
      <c r="FM292" s="76">
        <v>-7</v>
      </c>
      <c r="FN292" s="76">
        <v>0</v>
      </c>
      <c r="FO292" s="76">
        <v>0</v>
      </c>
      <c r="FP292" s="76">
        <v>0</v>
      </c>
      <c r="FQ292" s="76">
        <v>0</v>
      </c>
      <c r="FR292" s="76">
        <v>0</v>
      </c>
      <c r="FS292" s="76">
        <v>0</v>
      </c>
      <c r="FT292" s="76">
        <v>1759</v>
      </c>
      <c r="FU292" s="76">
        <v>2246</v>
      </c>
      <c r="FV292" s="76">
        <v>-487</v>
      </c>
      <c r="FW292" s="76">
        <v>0</v>
      </c>
      <c r="FX292" s="76">
        <v>0</v>
      </c>
      <c r="FY292" s="76">
        <v>0</v>
      </c>
      <c r="FZ292" s="76">
        <v>0</v>
      </c>
      <c r="GA292" s="76">
        <v>0</v>
      </c>
      <c r="GB292" s="76">
        <v>0</v>
      </c>
      <c r="GC292" s="76">
        <v>1908</v>
      </c>
      <c r="GD292" s="76">
        <v>2402</v>
      </c>
      <c r="GE292" s="76">
        <v>-494</v>
      </c>
      <c r="GF292" s="76">
        <v>0</v>
      </c>
      <c r="GG292" s="76">
        <v>0</v>
      </c>
      <c r="GH292" s="76">
        <v>0</v>
      </c>
      <c r="GI292" s="76">
        <v>0</v>
      </c>
      <c r="GJ292" s="76">
        <v>0</v>
      </c>
      <c r="GK292" s="76">
        <v>39</v>
      </c>
      <c r="GL292" s="76">
        <v>39</v>
      </c>
      <c r="GM292" s="76">
        <v>751</v>
      </c>
      <c r="GN292" s="76">
        <v>853</v>
      </c>
      <c r="GO292" s="76">
        <v>54</v>
      </c>
      <c r="GP292" s="76">
        <v>16</v>
      </c>
      <c r="GQ292" s="76">
        <v>0</v>
      </c>
      <c r="GR292" s="76">
        <v>1048</v>
      </c>
      <c r="GS292" s="76">
        <v>0</v>
      </c>
      <c r="GT292" s="76">
        <v>0</v>
      </c>
      <c r="GU292" s="76">
        <v>0</v>
      </c>
      <c r="GV292" s="76">
        <v>0</v>
      </c>
      <c r="GW292" s="76">
        <v>102</v>
      </c>
      <c r="GX292" s="76">
        <v>2824</v>
      </c>
      <c r="GY292" s="76">
        <v>1398</v>
      </c>
      <c r="GZ292" s="76">
        <v>0</v>
      </c>
      <c r="HA292" s="76">
        <v>0</v>
      </c>
      <c r="HB292" s="76">
        <v>0</v>
      </c>
      <c r="HC292" s="76">
        <v>1398</v>
      </c>
      <c r="HD292" s="76">
        <v>0</v>
      </c>
      <c r="HE292" s="76">
        <v>0</v>
      </c>
      <c r="HF292" s="76">
        <v>0</v>
      </c>
      <c r="HG292" s="76">
        <v>3138</v>
      </c>
      <c r="HH292" s="76">
        <v>109</v>
      </c>
      <c r="HI292" s="76">
        <v>0</v>
      </c>
      <c r="HJ292" s="76">
        <v>0</v>
      </c>
      <c r="HK292" s="76">
        <v>0</v>
      </c>
      <c r="HL292" s="76">
        <v>0</v>
      </c>
      <c r="HM292" s="76">
        <v>3247</v>
      </c>
      <c r="HN292" s="76">
        <v>1244</v>
      </c>
      <c r="HO292" s="76">
        <v>3213</v>
      </c>
      <c r="HP292" s="76">
        <v>0</v>
      </c>
      <c r="HQ292" s="76">
        <v>4</v>
      </c>
      <c r="HR292" s="76">
        <v>-7</v>
      </c>
      <c r="HS292" s="76">
        <v>1</v>
      </c>
      <c r="HT292" s="76">
        <v>3170</v>
      </c>
      <c r="HU292" s="76">
        <v>0</v>
      </c>
      <c r="HV292" s="76">
        <v>0</v>
      </c>
      <c r="HW292" s="76">
        <v>-2</v>
      </c>
      <c r="HX292" s="76">
        <v>180</v>
      </c>
    </row>
    <row r="293" spans="1:232" x14ac:dyDescent="0.2">
      <c r="A293" s="74" t="s">
        <v>786</v>
      </c>
      <c r="B293" s="74" t="s">
        <v>787</v>
      </c>
      <c r="C293" s="75" t="s">
        <v>200</v>
      </c>
      <c r="D293" s="75">
        <v>12</v>
      </c>
      <c r="E293" s="76">
        <v>46520</v>
      </c>
      <c r="F293" s="76">
        <v>-1682</v>
      </c>
      <c r="G293" s="76">
        <v>-34338</v>
      </c>
      <c r="H293" s="76">
        <v>10500</v>
      </c>
      <c r="I293" s="76">
        <v>920</v>
      </c>
      <c r="J293" s="76">
        <v>0</v>
      </c>
      <c r="K293" s="76">
        <v>-493</v>
      </c>
      <c r="L293" s="76">
        <v>0</v>
      </c>
      <c r="M293" s="76">
        <v>14</v>
      </c>
      <c r="N293" s="76">
        <v>-2386</v>
      </c>
      <c r="O293" s="76">
        <v>0</v>
      </c>
      <c r="P293" s="76">
        <v>0</v>
      </c>
      <c r="Q293" s="76">
        <v>0</v>
      </c>
      <c r="R293" s="76">
        <v>0</v>
      </c>
      <c r="S293" s="76">
        <v>8555</v>
      </c>
      <c r="T293" s="76">
        <v>0</v>
      </c>
      <c r="U293" s="76">
        <v>8555</v>
      </c>
      <c r="V293" s="76">
        <v>0</v>
      </c>
      <c r="W293" s="76">
        <v>425</v>
      </c>
      <c r="X293" s="76">
        <v>0</v>
      </c>
      <c r="Y293" s="76">
        <v>0</v>
      </c>
      <c r="Z293" s="76">
        <v>8980</v>
      </c>
      <c r="AA293" s="76">
        <v>42150</v>
      </c>
      <c r="AB293" s="76">
        <v>1217</v>
      </c>
      <c r="AC293" s="76">
        <v>43367</v>
      </c>
      <c r="AD293" s="76">
        <v>42</v>
      </c>
      <c r="AE293" s="76">
        <v>0</v>
      </c>
      <c r="AF293" s="76">
        <v>0</v>
      </c>
      <c r="AG293" s="76">
        <v>0</v>
      </c>
      <c r="AH293" s="76">
        <v>43409</v>
      </c>
      <c r="AI293" s="76">
        <v>4728</v>
      </c>
      <c r="AJ293" s="76">
        <v>2934</v>
      </c>
      <c r="AK293" s="76">
        <v>7522</v>
      </c>
      <c r="AL293" s="76">
        <v>1396</v>
      </c>
      <c r="AM293" s="76">
        <v>12254</v>
      </c>
      <c r="AN293" s="76">
        <v>13</v>
      </c>
      <c r="AO293" s="76">
        <v>2919</v>
      </c>
      <c r="AP293" s="76">
        <v>0</v>
      </c>
      <c r="AQ293" s="76">
        <v>0</v>
      </c>
      <c r="AR293" s="76">
        <v>31766</v>
      </c>
      <c r="AS293" s="76">
        <v>11643</v>
      </c>
      <c r="AT293" s="76">
        <v>849</v>
      </c>
      <c r="AU293" s="76">
        <v>192441</v>
      </c>
      <c r="AV293" s="76">
        <v>0</v>
      </c>
      <c r="AW293" s="76">
        <v>17259</v>
      </c>
      <c r="AX293" s="76">
        <v>0</v>
      </c>
      <c r="AY293" s="76">
        <v>0</v>
      </c>
      <c r="AZ293" s="76">
        <v>0</v>
      </c>
      <c r="BA293" s="76">
        <v>0</v>
      </c>
      <c r="BB293" s="76">
        <v>0</v>
      </c>
      <c r="BC293" s="76">
        <v>0</v>
      </c>
      <c r="BD293" s="76">
        <v>0</v>
      </c>
      <c r="BE293" s="76">
        <v>209700</v>
      </c>
      <c r="BF293" s="76">
        <v>1929</v>
      </c>
      <c r="BG293" s="76">
        <v>1437</v>
      </c>
      <c r="BH293" s="76">
        <v>6125</v>
      </c>
      <c r="BI293" s="76">
        <v>0</v>
      </c>
      <c r="BJ293" s="76">
        <v>6217</v>
      </c>
      <c r="BK293" s="76">
        <v>15708</v>
      </c>
      <c r="BL293" s="76">
        <v>170</v>
      </c>
      <c r="BM293" s="76">
        <v>0</v>
      </c>
      <c r="BN293" s="76">
        <v>49</v>
      </c>
      <c r="BO293" s="76">
        <v>14473</v>
      </c>
      <c r="BP293" s="76">
        <v>14692</v>
      </c>
      <c r="BQ293" s="76">
        <v>1016</v>
      </c>
      <c r="BR293" s="76">
        <v>210716</v>
      </c>
      <c r="BS293" s="76">
        <v>58000</v>
      </c>
      <c r="BT293" s="76">
        <v>0</v>
      </c>
      <c r="BU293" s="76">
        <v>0</v>
      </c>
      <c r="BV293" s="76">
        <v>6063</v>
      </c>
      <c r="BW293" s="76">
        <v>0</v>
      </c>
      <c r="BX293" s="76">
        <v>0</v>
      </c>
      <c r="BY293" s="76">
        <v>168</v>
      </c>
      <c r="BZ293" s="76">
        <v>64231</v>
      </c>
      <c r="CA293" s="76">
        <v>14974</v>
      </c>
      <c r="CB293" s="76">
        <v>0</v>
      </c>
      <c r="CC293" s="76">
        <v>131511</v>
      </c>
      <c r="CD293" s="76">
        <v>20459</v>
      </c>
      <c r="CE293" s="76">
        <v>111052</v>
      </c>
      <c r="CF293" s="76">
        <v>0</v>
      </c>
      <c r="CG293" s="76">
        <v>0</v>
      </c>
      <c r="CH293" s="76">
        <v>0</v>
      </c>
      <c r="CI293" s="76">
        <v>131511</v>
      </c>
      <c r="CJ293" s="76">
        <v>1823</v>
      </c>
      <c r="CK293" s="76">
        <v>1682</v>
      </c>
      <c r="CL293" s="76">
        <v>0</v>
      </c>
      <c r="CM293" s="76">
        <v>141</v>
      </c>
      <c r="CN293" s="76">
        <v>9</v>
      </c>
      <c r="CO293" s="76">
        <v>0</v>
      </c>
      <c r="CP293" s="76">
        <v>72</v>
      </c>
      <c r="CQ293" s="76">
        <v>-63</v>
      </c>
      <c r="CR293" s="76">
        <v>0</v>
      </c>
      <c r="CS293" s="76">
        <v>0</v>
      </c>
      <c r="CT293" s="76">
        <v>0</v>
      </c>
      <c r="CU293" s="76">
        <v>0</v>
      </c>
      <c r="CV293" s="76">
        <v>0</v>
      </c>
      <c r="CW293" s="76">
        <v>0</v>
      </c>
      <c r="CX293" s="76">
        <v>0</v>
      </c>
      <c r="CY293" s="76">
        <v>0</v>
      </c>
      <c r="CZ293" s="76">
        <v>463</v>
      </c>
      <c r="DA293" s="76">
        <v>0</v>
      </c>
      <c r="DB293" s="76">
        <v>2094</v>
      </c>
      <c r="DC293" s="76">
        <v>-1631</v>
      </c>
      <c r="DD293" s="76">
        <v>2295</v>
      </c>
      <c r="DE293" s="76">
        <v>1682</v>
      </c>
      <c r="DF293" s="76">
        <v>2166</v>
      </c>
      <c r="DG293" s="76">
        <v>-1553</v>
      </c>
      <c r="DH293" s="76">
        <v>0</v>
      </c>
      <c r="DI293" s="76">
        <v>0</v>
      </c>
      <c r="DJ293" s="76">
        <v>0</v>
      </c>
      <c r="DK293" s="76">
        <v>0</v>
      </c>
      <c r="DL293" s="76">
        <v>0</v>
      </c>
      <c r="DM293" s="76">
        <v>0</v>
      </c>
      <c r="DN293" s="76">
        <v>0</v>
      </c>
      <c r="DO293" s="76">
        <v>0</v>
      </c>
      <c r="DP293" s="76">
        <v>0</v>
      </c>
      <c r="DQ293" s="76">
        <v>0</v>
      </c>
      <c r="DR293" s="76">
        <v>0</v>
      </c>
      <c r="DS293" s="76">
        <v>0</v>
      </c>
      <c r="DT293" s="76">
        <v>0</v>
      </c>
      <c r="DU293" s="76">
        <v>0</v>
      </c>
      <c r="DV293" s="76">
        <v>0</v>
      </c>
      <c r="DW293" s="76">
        <v>0</v>
      </c>
      <c r="DX293" s="76">
        <v>0</v>
      </c>
      <c r="DY293" s="76">
        <v>0</v>
      </c>
      <c r="DZ293" s="76">
        <v>0</v>
      </c>
      <c r="EA293" s="76">
        <v>0</v>
      </c>
      <c r="EB293" s="76">
        <v>816</v>
      </c>
      <c r="EC293" s="76">
        <v>0</v>
      </c>
      <c r="ED293" s="76">
        <v>406</v>
      </c>
      <c r="EE293" s="76">
        <v>410</v>
      </c>
      <c r="EF293" s="76">
        <v>816</v>
      </c>
      <c r="EG293" s="76">
        <v>0</v>
      </c>
      <c r="EH293" s="76">
        <v>406</v>
      </c>
      <c r="EI293" s="76">
        <v>410</v>
      </c>
      <c r="EJ293" s="76">
        <v>3111</v>
      </c>
      <c r="EK293" s="76">
        <v>1682</v>
      </c>
      <c r="EL293" s="76">
        <v>2572</v>
      </c>
      <c r="EM293" s="76">
        <v>-1143</v>
      </c>
      <c r="EN293" s="76">
        <v>1493</v>
      </c>
      <c r="EO293" s="76">
        <v>565</v>
      </c>
      <c r="EP293" s="76">
        <v>71</v>
      </c>
      <c r="EQ293" s="76">
        <v>550</v>
      </c>
      <c r="ER293" s="76">
        <v>25199</v>
      </c>
      <c r="ES293" s="76">
        <v>165579</v>
      </c>
      <c r="ET293" s="76">
        <v>190778</v>
      </c>
      <c r="EU293" s="76">
        <v>12237</v>
      </c>
      <c r="EV293" s="76">
        <v>0</v>
      </c>
      <c r="EW293" s="76">
        <v>0</v>
      </c>
      <c r="EX293" s="76">
        <v>0</v>
      </c>
      <c r="EY293" s="76">
        <v>-415</v>
      </c>
      <c r="EZ293" s="76">
        <v>202600</v>
      </c>
      <c r="FA293" s="76">
        <v>7457</v>
      </c>
      <c r="FB293" s="76">
        <v>2761</v>
      </c>
      <c r="FC293" s="76">
        <v>0</v>
      </c>
      <c r="FD293" s="76">
        <v>0</v>
      </c>
      <c r="FE293" s="76">
        <v>-59</v>
      </c>
      <c r="FF293" s="76">
        <v>0</v>
      </c>
      <c r="FG293" s="76">
        <v>0</v>
      </c>
      <c r="FH293" s="76">
        <v>10159</v>
      </c>
      <c r="FI293" s="76">
        <v>192441</v>
      </c>
      <c r="FJ293" s="76">
        <v>183321</v>
      </c>
      <c r="FK293" s="76">
        <v>56</v>
      </c>
      <c r="FL293" s="76">
        <v>45</v>
      </c>
      <c r="FM293" s="76">
        <v>11</v>
      </c>
      <c r="FN293" s="76">
        <v>1959</v>
      </c>
      <c r="FO293" s="76">
        <v>1134</v>
      </c>
      <c r="FP293" s="76">
        <v>825</v>
      </c>
      <c r="FQ293" s="76">
        <v>40</v>
      </c>
      <c r="FR293" s="76">
        <v>40</v>
      </c>
      <c r="FS293" s="76">
        <v>0</v>
      </c>
      <c r="FT293" s="76">
        <v>147</v>
      </c>
      <c r="FU293" s="76">
        <v>22</v>
      </c>
      <c r="FV293" s="76">
        <v>125</v>
      </c>
      <c r="FW293" s="76">
        <v>0</v>
      </c>
      <c r="FX293" s="76">
        <v>0</v>
      </c>
      <c r="FY293" s="76">
        <v>0</v>
      </c>
      <c r="FZ293" s="76">
        <v>0</v>
      </c>
      <c r="GA293" s="76">
        <v>41</v>
      </c>
      <c r="GB293" s="76">
        <v>-41</v>
      </c>
      <c r="GC293" s="76">
        <v>2202</v>
      </c>
      <c r="GD293" s="76">
        <v>1282</v>
      </c>
      <c r="GE293" s="76">
        <v>920</v>
      </c>
      <c r="GF293" s="76">
        <v>2663</v>
      </c>
      <c r="GG293" s="76">
        <v>0</v>
      </c>
      <c r="GH293" s="76">
        <v>0</v>
      </c>
      <c r="GI293" s="76">
        <v>0</v>
      </c>
      <c r="GJ293" s="76">
        <v>0</v>
      </c>
      <c r="GK293" s="76">
        <v>3554</v>
      </c>
      <c r="GL293" s="76">
        <v>6217</v>
      </c>
      <c r="GM293" s="76">
        <v>0</v>
      </c>
      <c r="GN293" s="76">
        <v>1345</v>
      </c>
      <c r="GO293" s="76">
        <v>6835</v>
      </c>
      <c r="GP293" s="76">
        <v>0</v>
      </c>
      <c r="GQ293" s="76">
        <v>0</v>
      </c>
      <c r="GR293" s="76">
        <v>1025</v>
      </c>
      <c r="GS293" s="76">
        <v>0</v>
      </c>
      <c r="GT293" s="76">
        <v>0</v>
      </c>
      <c r="GU293" s="76">
        <v>0</v>
      </c>
      <c r="GV293" s="76">
        <v>0</v>
      </c>
      <c r="GW293" s="76">
        <v>5268</v>
      </c>
      <c r="GX293" s="76">
        <v>14473</v>
      </c>
      <c r="GY293" s="76">
        <v>0</v>
      </c>
      <c r="GZ293" s="76">
        <v>168</v>
      </c>
      <c r="HA293" s="76">
        <v>0</v>
      </c>
      <c r="HB293" s="76">
        <v>0</v>
      </c>
      <c r="HC293" s="76">
        <v>168</v>
      </c>
      <c r="HD293" s="76">
        <v>0</v>
      </c>
      <c r="HE293" s="76">
        <v>0</v>
      </c>
      <c r="HF293" s="76">
        <v>0</v>
      </c>
      <c r="HG293" s="76">
        <v>2892</v>
      </c>
      <c r="HH293" s="76">
        <v>0</v>
      </c>
      <c r="HI293" s="76">
        <v>0</v>
      </c>
      <c r="HJ293" s="76">
        <v>0</v>
      </c>
      <c r="HK293" s="76">
        <v>0</v>
      </c>
      <c r="HL293" s="76">
        <v>-506</v>
      </c>
      <c r="HM293" s="76">
        <v>2386</v>
      </c>
      <c r="HN293" s="76">
        <v>3649</v>
      </c>
      <c r="HO293" s="76">
        <v>3404</v>
      </c>
      <c r="HP293" s="76">
        <v>-9</v>
      </c>
      <c r="HQ293" s="76">
        <v>116</v>
      </c>
      <c r="HR293" s="76">
        <v>-166</v>
      </c>
      <c r="HS293" s="76">
        <v>-9</v>
      </c>
      <c r="HT293" s="76">
        <v>10297</v>
      </c>
      <c r="HU293" s="76">
        <v>0</v>
      </c>
      <c r="HV293" s="76">
        <v>0</v>
      </c>
      <c r="HW293" s="76">
        <v>6</v>
      </c>
      <c r="HX293" s="76">
        <v>6</v>
      </c>
    </row>
    <row r="294" spans="1:232" x14ac:dyDescent="0.2">
      <c r="A294" s="74" t="s">
        <v>790</v>
      </c>
      <c r="B294" s="74" t="s">
        <v>789</v>
      </c>
      <c r="C294" s="75" t="s">
        <v>200</v>
      </c>
      <c r="D294" s="75">
        <v>12</v>
      </c>
      <c r="E294" s="76">
        <v>8145</v>
      </c>
      <c r="F294" s="76">
        <v>-532</v>
      </c>
      <c r="G294" s="76">
        <v>-4827</v>
      </c>
      <c r="H294" s="76">
        <v>2786</v>
      </c>
      <c r="I294" s="76">
        <v>0</v>
      </c>
      <c r="J294" s="76">
        <v>0</v>
      </c>
      <c r="K294" s="76">
        <v>0</v>
      </c>
      <c r="L294" s="76">
        <v>0</v>
      </c>
      <c r="M294" s="76">
        <v>1</v>
      </c>
      <c r="N294" s="76">
        <v>-1950</v>
      </c>
      <c r="O294" s="76">
        <v>0</v>
      </c>
      <c r="P294" s="76">
        <v>0</v>
      </c>
      <c r="Q294" s="76">
        <v>0</v>
      </c>
      <c r="R294" s="76">
        <v>0</v>
      </c>
      <c r="S294" s="76">
        <v>837</v>
      </c>
      <c r="T294" s="76">
        <v>0</v>
      </c>
      <c r="U294" s="76">
        <v>837</v>
      </c>
      <c r="V294" s="76">
        <v>0</v>
      </c>
      <c r="W294" s="76">
        <v>0</v>
      </c>
      <c r="X294" s="76">
        <v>0</v>
      </c>
      <c r="Y294" s="76">
        <v>0</v>
      </c>
      <c r="Z294" s="76">
        <v>837</v>
      </c>
      <c r="AA294" s="76">
        <v>6312</v>
      </c>
      <c r="AB294" s="76">
        <v>967</v>
      </c>
      <c r="AC294" s="76">
        <v>7279</v>
      </c>
      <c r="AD294" s="76">
        <v>348</v>
      </c>
      <c r="AE294" s="76">
        <v>0</v>
      </c>
      <c r="AF294" s="76">
        <v>5</v>
      </c>
      <c r="AG294" s="76">
        <v>16</v>
      </c>
      <c r="AH294" s="76">
        <v>7648</v>
      </c>
      <c r="AI294" s="76">
        <v>1497</v>
      </c>
      <c r="AJ294" s="76">
        <v>755</v>
      </c>
      <c r="AK294" s="76">
        <v>986</v>
      </c>
      <c r="AL294" s="76">
        <v>125</v>
      </c>
      <c r="AM294" s="76">
        <v>0</v>
      </c>
      <c r="AN294" s="76">
        <v>64</v>
      </c>
      <c r="AO294" s="76">
        <v>1296</v>
      </c>
      <c r="AP294" s="76">
        <v>0</v>
      </c>
      <c r="AQ294" s="76">
        <v>104</v>
      </c>
      <c r="AR294" s="76">
        <v>4827</v>
      </c>
      <c r="AS294" s="76">
        <v>2821</v>
      </c>
      <c r="AT294" s="76">
        <v>136</v>
      </c>
      <c r="AU294" s="76">
        <v>75873</v>
      </c>
      <c r="AV294" s="76">
        <v>0</v>
      </c>
      <c r="AW294" s="76">
        <v>299</v>
      </c>
      <c r="AX294" s="76">
        <v>0</v>
      </c>
      <c r="AY294" s="76">
        <v>0</v>
      </c>
      <c r="AZ294" s="76">
        <v>0</v>
      </c>
      <c r="BA294" s="76">
        <v>0</v>
      </c>
      <c r="BB294" s="76">
        <v>0</v>
      </c>
      <c r="BC294" s="76">
        <v>0</v>
      </c>
      <c r="BD294" s="76">
        <v>0</v>
      </c>
      <c r="BE294" s="76">
        <v>76172</v>
      </c>
      <c r="BF294" s="76">
        <v>58</v>
      </c>
      <c r="BG294" s="76">
        <v>306</v>
      </c>
      <c r="BH294" s="76">
        <v>1786</v>
      </c>
      <c r="BI294" s="76">
        <v>0</v>
      </c>
      <c r="BJ294" s="76">
        <v>0</v>
      </c>
      <c r="BK294" s="76">
        <v>2150</v>
      </c>
      <c r="BL294" s="76">
        <v>949</v>
      </c>
      <c r="BM294" s="76">
        <v>0</v>
      </c>
      <c r="BN294" s="76">
        <v>385</v>
      </c>
      <c r="BO294" s="76">
        <v>2305</v>
      </c>
      <c r="BP294" s="76">
        <v>3639</v>
      </c>
      <c r="BQ294" s="76">
        <v>-1489</v>
      </c>
      <c r="BR294" s="76">
        <v>74683</v>
      </c>
      <c r="BS294" s="76">
        <v>38602</v>
      </c>
      <c r="BT294" s="76">
        <v>0</v>
      </c>
      <c r="BU294" s="76">
        <v>0</v>
      </c>
      <c r="BV294" s="76">
        <v>32007</v>
      </c>
      <c r="BW294" s="76">
        <v>0</v>
      </c>
      <c r="BX294" s="76">
        <v>0</v>
      </c>
      <c r="BY294" s="76">
        <v>636</v>
      </c>
      <c r="BZ294" s="76">
        <v>71245</v>
      </c>
      <c r="CA294" s="76">
        <v>0</v>
      </c>
      <c r="CB294" s="76">
        <v>0</v>
      </c>
      <c r="CC294" s="76">
        <v>3438</v>
      </c>
      <c r="CD294" s="76">
        <v>3438</v>
      </c>
      <c r="CE294" s="76">
        <v>0</v>
      </c>
      <c r="CF294" s="76">
        <v>0</v>
      </c>
      <c r="CG294" s="76">
        <v>0</v>
      </c>
      <c r="CH294" s="76">
        <v>0</v>
      </c>
      <c r="CI294" s="76">
        <v>3438</v>
      </c>
      <c r="CJ294" s="76">
        <v>380</v>
      </c>
      <c r="CK294" s="76">
        <v>260</v>
      </c>
      <c r="CL294" s="76">
        <v>0</v>
      </c>
      <c r="CM294" s="76">
        <v>120</v>
      </c>
      <c r="CN294" s="76">
        <v>114</v>
      </c>
      <c r="CO294" s="76">
        <v>117</v>
      </c>
      <c r="CP294" s="76">
        <v>0</v>
      </c>
      <c r="CQ294" s="76">
        <v>-3</v>
      </c>
      <c r="CR294" s="76">
        <v>0</v>
      </c>
      <c r="CS294" s="76">
        <v>0</v>
      </c>
      <c r="CT294" s="76">
        <v>0</v>
      </c>
      <c r="CU294" s="76">
        <v>0</v>
      </c>
      <c r="CV294" s="76">
        <v>0</v>
      </c>
      <c r="CW294" s="76">
        <v>0</v>
      </c>
      <c r="CX294" s="76">
        <v>0</v>
      </c>
      <c r="CY294" s="76">
        <v>0</v>
      </c>
      <c r="CZ294" s="76">
        <v>0</v>
      </c>
      <c r="DA294" s="76">
        <v>0</v>
      </c>
      <c r="DB294" s="76">
        <v>0</v>
      </c>
      <c r="DC294" s="76">
        <v>0</v>
      </c>
      <c r="DD294" s="76">
        <v>494</v>
      </c>
      <c r="DE294" s="76">
        <v>377</v>
      </c>
      <c r="DF294" s="76">
        <v>0</v>
      </c>
      <c r="DG294" s="76">
        <v>117</v>
      </c>
      <c r="DH294" s="76">
        <v>0</v>
      </c>
      <c r="DI294" s="76">
        <v>0</v>
      </c>
      <c r="DJ294" s="76">
        <v>0</v>
      </c>
      <c r="DK294" s="76">
        <v>0</v>
      </c>
      <c r="DL294" s="76">
        <v>0</v>
      </c>
      <c r="DM294" s="76">
        <v>0</v>
      </c>
      <c r="DN294" s="76">
        <v>0</v>
      </c>
      <c r="DO294" s="76">
        <v>0</v>
      </c>
      <c r="DP294" s="76">
        <v>0</v>
      </c>
      <c r="DQ294" s="76">
        <v>0</v>
      </c>
      <c r="DR294" s="76">
        <v>0</v>
      </c>
      <c r="DS294" s="76">
        <v>0</v>
      </c>
      <c r="DT294" s="76">
        <v>0</v>
      </c>
      <c r="DU294" s="76">
        <v>0</v>
      </c>
      <c r="DV294" s="76">
        <v>0</v>
      </c>
      <c r="DW294" s="76">
        <v>0</v>
      </c>
      <c r="DX294" s="76">
        <v>0</v>
      </c>
      <c r="DY294" s="76">
        <v>0</v>
      </c>
      <c r="DZ294" s="76">
        <v>0</v>
      </c>
      <c r="EA294" s="76">
        <v>0</v>
      </c>
      <c r="EB294" s="76">
        <v>3</v>
      </c>
      <c r="EC294" s="76">
        <v>155</v>
      </c>
      <c r="ED294" s="76">
        <v>0</v>
      </c>
      <c r="EE294" s="76">
        <v>-152</v>
      </c>
      <c r="EF294" s="76">
        <v>3</v>
      </c>
      <c r="EG294" s="76">
        <v>155</v>
      </c>
      <c r="EH294" s="76">
        <v>0</v>
      </c>
      <c r="EI294" s="76">
        <v>-152</v>
      </c>
      <c r="EJ294" s="76">
        <v>497</v>
      </c>
      <c r="EK294" s="76">
        <v>532</v>
      </c>
      <c r="EL294" s="76">
        <v>0</v>
      </c>
      <c r="EM294" s="76">
        <v>-35</v>
      </c>
      <c r="EN294" s="76">
        <v>252</v>
      </c>
      <c r="EO294" s="76">
        <v>54</v>
      </c>
      <c r="EP294" s="76">
        <v>151</v>
      </c>
      <c r="EQ294" s="76">
        <v>54</v>
      </c>
      <c r="ER294" s="76">
        <v>89308</v>
      </c>
      <c r="ES294" s="76">
        <v>0</v>
      </c>
      <c r="ET294" s="76">
        <v>89308</v>
      </c>
      <c r="EU294" s="76">
        <v>3026</v>
      </c>
      <c r="EV294" s="76">
        <v>-644</v>
      </c>
      <c r="EW294" s="76">
        <v>0</v>
      </c>
      <c r="EX294" s="76">
        <v>0</v>
      </c>
      <c r="EY294" s="76">
        <v>0</v>
      </c>
      <c r="EZ294" s="76">
        <v>91690</v>
      </c>
      <c r="FA294" s="76">
        <v>14845</v>
      </c>
      <c r="FB294" s="76">
        <v>1295</v>
      </c>
      <c r="FC294" s="76">
        <v>0</v>
      </c>
      <c r="FD294" s="76">
        <v>0</v>
      </c>
      <c r="FE294" s="76">
        <v>-323</v>
      </c>
      <c r="FF294" s="76">
        <v>0</v>
      </c>
      <c r="FG294" s="76">
        <v>0</v>
      </c>
      <c r="FH294" s="76">
        <v>15817</v>
      </c>
      <c r="FI294" s="76">
        <v>75873</v>
      </c>
      <c r="FJ294" s="76">
        <v>74463</v>
      </c>
      <c r="FK294" s="76">
        <v>96</v>
      </c>
      <c r="FL294" s="76">
        <v>96</v>
      </c>
      <c r="FM294" s="76">
        <v>0</v>
      </c>
      <c r="FN294" s="76">
        <v>0</v>
      </c>
      <c r="FO294" s="76">
        <v>0</v>
      </c>
      <c r="FP294" s="76">
        <v>0</v>
      </c>
      <c r="FQ294" s="76">
        <v>0</v>
      </c>
      <c r="FR294" s="76">
        <v>0</v>
      </c>
      <c r="FS294" s="76">
        <v>0</v>
      </c>
      <c r="FT294" s="76">
        <v>0</v>
      </c>
      <c r="FU294" s="76">
        <v>0</v>
      </c>
      <c r="FV294" s="76">
        <v>0</v>
      </c>
      <c r="FW294" s="76">
        <v>0</v>
      </c>
      <c r="FX294" s="76">
        <v>0</v>
      </c>
      <c r="FY294" s="76">
        <v>0</v>
      </c>
      <c r="FZ294" s="76">
        <v>0</v>
      </c>
      <c r="GA294" s="76">
        <v>0</v>
      </c>
      <c r="GB294" s="76">
        <v>0</v>
      </c>
      <c r="GC294" s="76">
        <v>96</v>
      </c>
      <c r="GD294" s="76">
        <v>96</v>
      </c>
      <c r="GE294" s="76">
        <v>0</v>
      </c>
      <c r="GF294" s="76">
        <v>0</v>
      </c>
      <c r="GG294" s="76">
        <v>0</v>
      </c>
      <c r="GH294" s="76">
        <v>0</v>
      </c>
      <c r="GI294" s="76">
        <v>0</v>
      </c>
      <c r="GJ294" s="76">
        <v>0</v>
      </c>
      <c r="GK294" s="76">
        <v>0</v>
      </c>
      <c r="GL294" s="76">
        <v>0</v>
      </c>
      <c r="GM294" s="76">
        <v>787</v>
      </c>
      <c r="GN294" s="76">
        <v>353</v>
      </c>
      <c r="GO294" s="76">
        <v>0</v>
      </c>
      <c r="GP294" s="76">
        <v>210</v>
      </c>
      <c r="GQ294" s="76">
        <v>162</v>
      </c>
      <c r="GR294" s="76">
        <v>542</v>
      </c>
      <c r="GS294" s="76">
        <v>0</v>
      </c>
      <c r="GT294" s="76">
        <v>0</v>
      </c>
      <c r="GU294" s="76">
        <v>106</v>
      </c>
      <c r="GV294" s="76">
        <v>0</v>
      </c>
      <c r="GW294" s="76">
        <v>145</v>
      </c>
      <c r="GX294" s="76">
        <v>2305</v>
      </c>
      <c r="GY294" s="76">
        <v>0</v>
      </c>
      <c r="GZ294" s="76">
        <v>0</v>
      </c>
      <c r="HA294" s="76">
        <v>636</v>
      </c>
      <c r="HB294" s="76">
        <v>0</v>
      </c>
      <c r="HC294" s="76">
        <v>636</v>
      </c>
      <c r="HD294" s="76">
        <v>0</v>
      </c>
      <c r="HE294" s="76">
        <v>0</v>
      </c>
      <c r="HF294" s="76">
        <v>0</v>
      </c>
      <c r="HG294" s="76">
        <v>1681</v>
      </c>
      <c r="HH294" s="76">
        <v>253</v>
      </c>
      <c r="HI294" s="76">
        <v>0</v>
      </c>
      <c r="HJ294" s="76">
        <v>0</v>
      </c>
      <c r="HK294" s="76">
        <v>16</v>
      </c>
      <c r="HL294" s="76">
        <v>0</v>
      </c>
      <c r="HM294" s="76">
        <v>1950</v>
      </c>
      <c r="HN294" s="76">
        <v>610</v>
      </c>
      <c r="HO294" s="76">
        <v>1348</v>
      </c>
      <c r="HP294" s="76">
        <v>0</v>
      </c>
      <c r="HQ294" s="76">
        <v>19</v>
      </c>
      <c r="HR294" s="76">
        <v>-2</v>
      </c>
      <c r="HS294" s="76">
        <v>-1</v>
      </c>
      <c r="HT294" s="76">
        <v>1334</v>
      </c>
      <c r="HU294" s="76">
        <v>0</v>
      </c>
      <c r="HV294" s="76">
        <v>0</v>
      </c>
      <c r="HW294" s="76">
        <v>0</v>
      </c>
      <c r="HX294" s="76">
        <v>0</v>
      </c>
    </row>
    <row r="295" spans="1:232" x14ac:dyDescent="0.2">
      <c r="A295" s="71" t="s">
        <v>793</v>
      </c>
      <c r="B295" s="71" t="s">
        <v>794</v>
      </c>
      <c r="C295" s="72" t="s">
        <v>200</v>
      </c>
      <c r="D295" s="72">
        <v>12</v>
      </c>
      <c r="E295" s="73">
        <v>17521</v>
      </c>
      <c r="F295" s="73">
        <v>-753</v>
      </c>
      <c r="G295" s="73">
        <v>-11961</v>
      </c>
      <c r="H295" s="73">
        <v>4807</v>
      </c>
      <c r="I295" s="73">
        <v>138</v>
      </c>
      <c r="J295" s="73">
        <v>0</v>
      </c>
      <c r="K295" s="73">
        <v>0</v>
      </c>
      <c r="L295" s="73">
        <v>0</v>
      </c>
      <c r="M295" s="73">
        <v>23</v>
      </c>
      <c r="N295" s="73">
        <v>-2243</v>
      </c>
      <c r="O295" s="73">
        <v>0</v>
      </c>
      <c r="P295" s="73">
        <v>0</v>
      </c>
      <c r="Q295" s="73">
        <v>0</v>
      </c>
      <c r="R295" s="73">
        <v>0</v>
      </c>
      <c r="S295" s="73">
        <v>2725</v>
      </c>
      <c r="T295" s="73">
        <v>0</v>
      </c>
      <c r="U295" s="73">
        <v>2725</v>
      </c>
      <c r="V295" s="73">
        <v>0</v>
      </c>
      <c r="W295" s="73">
        <v>0</v>
      </c>
      <c r="X295" s="73">
        <v>0</v>
      </c>
      <c r="Y295" s="73">
        <v>0</v>
      </c>
      <c r="Z295" s="73">
        <v>2725</v>
      </c>
      <c r="AA295" s="73">
        <v>13662</v>
      </c>
      <c r="AB295" s="73">
        <v>1940</v>
      </c>
      <c r="AC295" s="73">
        <v>15602</v>
      </c>
      <c r="AD295" s="73">
        <v>956</v>
      </c>
      <c r="AE295" s="73">
        <v>0</v>
      </c>
      <c r="AF295" s="73">
        <v>0</v>
      </c>
      <c r="AG295" s="73">
        <v>0</v>
      </c>
      <c r="AH295" s="73">
        <v>16558</v>
      </c>
      <c r="AI295" s="73">
        <v>3595</v>
      </c>
      <c r="AJ295" s="73">
        <v>1948</v>
      </c>
      <c r="AK295" s="73">
        <v>1781</v>
      </c>
      <c r="AL295" s="73">
        <v>945</v>
      </c>
      <c r="AM295" s="73">
        <v>760</v>
      </c>
      <c r="AN295" s="73">
        <v>113</v>
      </c>
      <c r="AO295" s="73">
        <v>2777</v>
      </c>
      <c r="AP295" s="73">
        <v>4</v>
      </c>
      <c r="AQ295" s="73">
        <v>34</v>
      </c>
      <c r="AR295" s="73">
        <v>11957</v>
      </c>
      <c r="AS295" s="73">
        <v>4601</v>
      </c>
      <c r="AT295" s="73">
        <v>390</v>
      </c>
      <c r="AU295" s="73">
        <v>171428</v>
      </c>
      <c r="AV295" s="73">
        <v>0</v>
      </c>
      <c r="AW295" s="73">
        <v>1406</v>
      </c>
      <c r="AX295" s="73">
        <v>480</v>
      </c>
      <c r="AY295" s="73">
        <v>0</v>
      </c>
      <c r="AZ295" s="73">
        <v>0</v>
      </c>
      <c r="BA295" s="73">
        <v>0</v>
      </c>
      <c r="BB295" s="73">
        <v>0</v>
      </c>
      <c r="BC295" s="73">
        <v>0</v>
      </c>
      <c r="BD295" s="73">
        <v>0</v>
      </c>
      <c r="BE295" s="73">
        <v>173314</v>
      </c>
      <c r="BF295" s="73">
        <v>258</v>
      </c>
      <c r="BG295" s="73">
        <v>1774</v>
      </c>
      <c r="BH295" s="73">
        <v>2391</v>
      </c>
      <c r="BI295" s="73">
        <v>8800</v>
      </c>
      <c r="BJ295" s="73">
        <v>1059</v>
      </c>
      <c r="BK295" s="73">
        <v>14282</v>
      </c>
      <c r="BL295" s="73">
        <v>1131</v>
      </c>
      <c r="BM295" s="73">
        <v>0</v>
      </c>
      <c r="BN295" s="73">
        <v>934</v>
      </c>
      <c r="BO295" s="73">
        <v>4362</v>
      </c>
      <c r="BP295" s="73">
        <v>6427</v>
      </c>
      <c r="BQ295" s="73">
        <v>7855</v>
      </c>
      <c r="BR295" s="73">
        <v>181169</v>
      </c>
      <c r="BS295" s="73">
        <v>61125</v>
      </c>
      <c r="BT295" s="73">
        <v>0</v>
      </c>
      <c r="BU295" s="73">
        <v>0</v>
      </c>
      <c r="BV295" s="73">
        <v>72989</v>
      </c>
      <c r="BW295" s="73">
        <v>0</v>
      </c>
      <c r="BX295" s="73">
        <v>0</v>
      </c>
      <c r="BY295" s="73">
        <v>436</v>
      </c>
      <c r="BZ295" s="73">
        <v>134550</v>
      </c>
      <c r="CA295" s="73">
        <v>0</v>
      </c>
      <c r="CB295" s="73">
        <v>0</v>
      </c>
      <c r="CC295" s="73">
        <v>46619</v>
      </c>
      <c r="CD295" s="73">
        <v>46619</v>
      </c>
      <c r="CE295" s="73">
        <v>0</v>
      </c>
      <c r="CF295" s="73">
        <v>0</v>
      </c>
      <c r="CG295" s="73">
        <v>0</v>
      </c>
      <c r="CH295" s="73">
        <v>0</v>
      </c>
      <c r="CI295" s="73">
        <v>46619</v>
      </c>
      <c r="CJ295" s="73">
        <v>680</v>
      </c>
      <c r="CK295" s="73">
        <v>753</v>
      </c>
      <c r="CL295" s="73">
        <v>0</v>
      </c>
      <c r="CM295" s="73">
        <v>-73</v>
      </c>
      <c r="CN295" s="73">
        <v>4</v>
      </c>
      <c r="CO295" s="73">
        <v>0</v>
      </c>
      <c r="CP295" s="73">
        <v>4</v>
      </c>
      <c r="CQ295" s="73">
        <v>0</v>
      </c>
      <c r="CR295" s="73">
        <v>0</v>
      </c>
      <c r="CS295" s="73">
        <v>0</v>
      </c>
      <c r="CT295" s="73">
        <v>0</v>
      </c>
      <c r="CU295" s="73">
        <v>0</v>
      </c>
      <c r="CV295" s="73">
        <v>0</v>
      </c>
      <c r="CW295" s="73">
        <v>0</v>
      </c>
      <c r="CX295" s="73">
        <v>0</v>
      </c>
      <c r="CY295" s="73">
        <v>0</v>
      </c>
      <c r="CZ295" s="73">
        <v>256</v>
      </c>
      <c r="DA295" s="73">
        <v>0</v>
      </c>
      <c r="DB295" s="73">
        <v>0</v>
      </c>
      <c r="DC295" s="73">
        <v>256</v>
      </c>
      <c r="DD295" s="73">
        <v>940</v>
      </c>
      <c r="DE295" s="73">
        <v>753</v>
      </c>
      <c r="DF295" s="73">
        <v>4</v>
      </c>
      <c r="DG295" s="73">
        <v>183</v>
      </c>
      <c r="DH295" s="73">
        <v>0</v>
      </c>
      <c r="DI295" s="73">
        <v>0</v>
      </c>
      <c r="DJ295" s="73">
        <v>0</v>
      </c>
      <c r="DK295" s="73">
        <v>0</v>
      </c>
      <c r="DL295" s="73">
        <v>0</v>
      </c>
      <c r="DM295" s="73">
        <v>0</v>
      </c>
      <c r="DN295" s="73">
        <v>0</v>
      </c>
      <c r="DO295" s="73">
        <v>0</v>
      </c>
      <c r="DP295" s="73">
        <v>0</v>
      </c>
      <c r="DQ295" s="73">
        <v>0</v>
      </c>
      <c r="DR295" s="73">
        <v>0</v>
      </c>
      <c r="DS295" s="73">
        <v>0</v>
      </c>
      <c r="DT295" s="73">
        <v>0</v>
      </c>
      <c r="DU295" s="73">
        <v>0</v>
      </c>
      <c r="DV295" s="73">
        <v>0</v>
      </c>
      <c r="DW295" s="73">
        <v>0</v>
      </c>
      <c r="DX295" s="73">
        <v>0</v>
      </c>
      <c r="DY295" s="73">
        <v>0</v>
      </c>
      <c r="DZ295" s="73">
        <v>0</v>
      </c>
      <c r="EA295" s="73">
        <v>0</v>
      </c>
      <c r="EB295" s="73">
        <v>23</v>
      </c>
      <c r="EC295" s="73">
        <v>0</v>
      </c>
      <c r="ED295" s="73">
        <v>0</v>
      </c>
      <c r="EE295" s="73">
        <v>23</v>
      </c>
      <c r="EF295" s="73">
        <v>23</v>
      </c>
      <c r="EG295" s="73">
        <v>0</v>
      </c>
      <c r="EH295" s="73">
        <v>0</v>
      </c>
      <c r="EI295" s="73">
        <v>23</v>
      </c>
      <c r="EJ295" s="73">
        <v>963</v>
      </c>
      <c r="EK295" s="73">
        <v>753</v>
      </c>
      <c r="EL295" s="73">
        <v>4</v>
      </c>
      <c r="EM295" s="73">
        <v>206</v>
      </c>
      <c r="EN295" s="73">
        <v>509</v>
      </c>
      <c r="EO295" s="73">
        <v>251</v>
      </c>
      <c r="EP295" s="73">
        <v>170</v>
      </c>
      <c r="EQ295" s="73">
        <v>251</v>
      </c>
      <c r="ER295" s="73">
        <v>195016</v>
      </c>
      <c r="ES295" s="73">
        <v>0</v>
      </c>
      <c r="ET295" s="73">
        <v>195016</v>
      </c>
      <c r="EU295" s="73">
        <v>7772</v>
      </c>
      <c r="EV295" s="73">
        <v>-1136</v>
      </c>
      <c r="EW295" s="73">
        <v>0</v>
      </c>
      <c r="EX295" s="73">
        <v>0</v>
      </c>
      <c r="EY295" s="73">
        <v>-71</v>
      </c>
      <c r="EZ295" s="73">
        <v>201581</v>
      </c>
      <c r="FA295" s="73">
        <v>28242</v>
      </c>
      <c r="FB295" s="73">
        <v>2874</v>
      </c>
      <c r="FC295" s="73">
        <v>4</v>
      </c>
      <c r="FD295" s="73">
        <v>0</v>
      </c>
      <c r="FE295" s="73">
        <v>-967</v>
      </c>
      <c r="FF295" s="73">
        <v>0</v>
      </c>
      <c r="FG295" s="73">
        <v>0</v>
      </c>
      <c r="FH295" s="73">
        <v>30153</v>
      </c>
      <c r="FI295" s="73">
        <v>171428</v>
      </c>
      <c r="FJ295" s="73">
        <v>166774</v>
      </c>
      <c r="FK295" s="73">
        <v>327</v>
      </c>
      <c r="FL295" s="73">
        <v>282</v>
      </c>
      <c r="FM295" s="73">
        <v>45</v>
      </c>
      <c r="FN295" s="73">
        <v>0</v>
      </c>
      <c r="FO295" s="73">
        <v>0</v>
      </c>
      <c r="FP295" s="73">
        <v>0</v>
      </c>
      <c r="FQ295" s="73">
        <v>0</v>
      </c>
      <c r="FR295" s="73">
        <v>0</v>
      </c>
      <c r="FS295" s="73">
        <v>0</v>
      </c>
      <c r="FT295" s="73">
        <v>102</v>
      </c>
      <c r="FU295" s="73">
        <v>9</v>
      </c>
      <c r="FV295" s="73">
        <v>93</v>
      </c>
      <c r="FW295" s="73">
        <v>0</v>
      </c>
      <c r="FX295" s="73">
        <v>0</v>
      </c>
      <c r="FY295" s="73">
        <v>0</v>
      </c>
      <c r="FZ295" s="73">
        <v>0</v>
      </c>
      <c r="GA295" s="73">
        <v>0</v>
      </c>
      <c r="GB295" s="73">
        <v>0</v>
      </c>
      <c r="GC295" s="73">
        <v>429</v>
      </c>
      <c r="GD295" s="73">
        <v>291</v>
      </c>
      <c r="GE295" s="73">
        <v>138</v>
      </c>
      <c r="GF295" s="73">
        <v>0</v>
      </c>
      <c r="GG295" s="73">
        <v>0</v>
      </c>
      <c r="GH295" s="73">
        <v>0</v>
      </c>
      <c r="GI295" s="73">
        <v>1059</v>
      </c>
      <c r="GJ295" s="73">
        <v>0</v>
      </c>
      <c r="GK295" s="73">
        <v>0</v>
      </c>
      <c r="GL295" s="73">
        <v>1059</v>
      </c>
      <c r="GM295" s="73">
        <v>960</v>
      </c>
      <c r="GN295" s="73">
        <v>421</v>
      </c>
      <c r="GO295" s="73">
        <v>0</v>
      </c>
      <c r="GP295" s="73">
        <v>0</v>
      </c>
      <c r="GQ295" s="73">
        <v>0</v>
      </c>
      <c r="GR295" s="73">
        <v>1439</v>
      </c>
      <c r="GS295" s="73">
        <v>0</v>
      </c>
      <c r="GT295" s="73">
        <v>0</v>
      </c>
      <c r="GU295" s="73">
        <v>0</v>
      </c>
      <c r="GV295" s="73">
        <v>0</v>
      </c>
      <c r="GW295" s="73">
        <v>1542</v>
      </c>
      <c r="GX295" s="73">
        <v>4362</v>
      </c>
      <c r="GY295" s="73">
        <v>323</v>
      </c>
      <c r="GZ295" s="73">
        <v>0</v>
      </c>
      <c r="HA295" s="73">
        <v>0</v>
      </c>
      <c r="HB295" s="73">
        <v>113</v>
      </c>
      <c r="HC295" s="73">
        <v>436</v>
      </c>
      <c r="HD295" s="73">
        <v>0</v>
      </c>
      <c r="HE295" s="73">
        <v>0</v>
      </c>
      <c r="HF295" s="73">
        <v>0</v>
      </c>
      <c r="HG295" s="73">
        <v>2200</v>
      </c>
      <c r="HH295" s="73">
        <v>77</v>
      </c>
      <c r="HI295" s="73">
        <v>0</v>
      </c>
      <c r="HJ295" s="73">
        <v>0</v>
      </c>
      <c r="HK295" s="73">
        <v>37</v>
      </c>
      <c r="HL295" s="73">
        <v>-71</v>
      </c>
      <c r="HM295" s="73">
        <v>2243</v>
      </c>
      <c r="HN295" s="73">
        <v>2095</v>
      </c>
      <c r="HO295" s="73">
        <v>3092</v>
      </c>
      <c r="HP295" s="73">
        <v>4</v>
      </c>
      <c r="HQ295" s="73">
        <v>69</v>
      </c>
      <c r="HR295" s="73">
        <v>-55</v>
      </c>
      <c r="HS295" s="73">
        <v>10</v>
      </c>
      <c r="HT295" s="73">
        <v>3735</v>
      </c>
      <c r="HU295" s="73">
        <v>0</v>
      </c>
      <c r="HV295" s="73">
        <v>0</v>
      </c>
      <c r="HW295" s="73">
        <v>0</v>
      </c>
      <c r="HX295" s="73">
        <v>0</v>
      </c>
    </row>
    <row r="296" spans="1:232" x14ac:dyDescent="0.2">
      <c r="A296" s="74" t="s">
        <v>795</v>
      </c>
      <c r="B296" s="74" t="s">
        <v>796</v>
      </c>
      <c r="C296" s="75" t="s">
        <v>200</v>
      </c>
      <c r="D296" s="75">
        <v>12</v>
      </c>
      <c r="E296" s="76">
        <v>20947</v>
      </c>
      <c r="F296" s="76">
        <v>-170</v>
      </c>
      <c r="G296" s="76">
        <v>-13990</v>
      </c>
      <c r="H296" s="76">
        <v>6787</v>
      </c>
      <c r="I296" s="76">
        <v>958</v>
      </c>
      <c r="J296" s="76">
        <v>0</v>
      </c>
      <c r="K296" s="76">
        <v>0</v>
      </c>
      <c r="L296" s="76">
        <v>0</v>
      </c>
      <c r="M296" s="76">
        <v>8</v>
      </c>
      <c r="N296" s="76">
        <v>-3253</v>
      </c>
      <c r="O296" s="76">
        <v>0</v>
      </c>
      <c r="P296" s="76">
        <v>0</v>
      </c>
      <c r="Q296" s="76">
        <v>0</v>
      </c>
      <c r="R296" s="76">
        <v>0</v>
      </c>
      <c r="S296" s="76">
        <v>4500</v>
      </c>
      <c r="T296" s="76">
        <v>0</v>
      </c>
      <c r="U296" s="76">
        <v>4500</v>
      </c>
      <c r="V296" s="76">
        <v>0</v>
      </c>
      <c r="W296" s="76">
        <v>685</v>
      </c>
      <c r="X296" s="76">
        <v>0</v>
      </c>
      <c r="Y296" s="76">
        <v>0</v>
      </c>
      <c r="Z296" s="76">
        <v>5185</v>
      </c>
      <c r="AA296" s="76">
        <v>19058</v>
      </c>
      <c r="AB296" s="76">
        <v>798</v>
      </c>
      <c r="AC296" s="76">
        <v>19856</v>
      </c>
      <c r="AD296" s="76">
        <v>339</v>
      </c>
      <c r="AE296" s="76">
        <v>0</v>
      </c>
      <c r="AF296" s="76">
        <v>37</v>
      </c>
      <c r="AG296" s="76">
        <v>0</v>
      </c>
      <c r="AH296" s="76">
        <v>20232</v>
      </c>
      <c r="AI296" s="76">
        <v>4048</v>
      </c>
      <c r="AJ296" s="76">
        <v>496</v>
      </c>
      <c r="AK296" s="76">
        <v>2284</v>
      </c>
      <c r="AL296" s="76">
        <v>2521</v>
      </c>
      <c r="AM296" s="76">
        <v>0</v>
      </c>
      <c r="AN296" s="76">
        <v>108</v>
      </c>
      <c r="AO296" s="76">
        <v>4134</v>
      </c>
      <c r="AP296" s="76">
        <v>0</v>
      </c>
      <c r="AQ296" s="76">
        <v>223</v>
      </c>
      <c r="AR296" s="76">
        <v>13814</v>
      </c>
      <c r="AS296" s="76">
        <v>6418</v>
      </c>
      <c r="AT296" s="76">
        <v>94</v>
      </c>
      <c r="AU296" s="76">
        <v>126434</v>
      </c>
      <c r="AV296" s="76">
        <v>0</v>
      </c>
      <c r="AW296" s="76">
        <v>4078</v>
      </c>
      <c r="AX296" s="76">
        <v>56</v>
      </c>
      <c r="AY296" s="76">
        <v>0</v>
      </c>
      <c r="AZ296" s="76">
        <v>0</v>
      </c>
      <c r="BA296" s="76">
        <v>0</v>
      </c>
      <c r="BB296" s="76">
        <v>0</v>
      </c>
      <c r="BC296" s="76">
        <v>0</v>
      </c>
      <c r="BD296" s="76">
        <v>0</v>
      </c>
      <c r="BE296" s="76">
        <v>130568</v>
      </c>
      <c r="BF296" s="76">
        <v>0</v>
      </c>
      <c r="BG296" s="76">
        <v>277</v>
      </c>
      <c r="BH296" s="76">
        <v>2701</v>
      </c>
      <c r="BI296" s="76">
        <v>0</v>
      </c>
      <c r="BJ296" s="76">
        <v>3900</v>
      </c>
      <c r="BK296" s="76">
        <v>6878</v>
      </c>
      <c r="BL296" s="76">
        <v>29300</v>
      </c>
      <c r="BM296" s="76">
        <v>1</v>
      </c>
      <c r="BN296" s="76">
        <v>338</v>
      </c>
      <c r="BO296" s="76">
        <v>4276</v>
      </c>
      <c r="BP296" s="76">
        <v>33915</v>
      </c>
      <c r="BQ296" s="76">
        <v>-27037</v>
      </c>
      <c r="BR296" s="76">
        <v>103531</v>
      </c>
      <c r="BS296" s="76">
        <v>47352</v>
      </c>
      <c r="BT296" s="76">
        <v>0</v>
      </c>
      <c r="BU296" s="76">
        <v>0</v>
      </c>
      <c r="BV296" s="76">
        <v>18210</v>
      </c>
      <c r="BW296" s="76">
        <v>0</v>
      </c>
      <c r="BX296" s="76">
        <v>0</v>
      </c>
      <c r="BY296" s="76">
        <v>452</v>
      </c>
      <c r="BZ296" s="76">
        <v>66014</v>
      </c>
      <c r="CA296" s="76">
        <v>663</v>
      </c>
      <c r="CB296" s="76">
        <v>0</v>
      </c>
      <c r="CC296" s="76">
        <v>36854</v>
      </c>
      <c r="CD296" s="76">
        <v>36854</v>
      </c>
      <c r="CE296" s="76">
        <v>0</v>
      </c>
      <c r="CF296" s="76">
        <v>0</v>
      </c>
      <c r="CG296" s="76">
        <v>0</v>
      </c>
      <c r="CH296" s="76">
        <v>0</v>
      </c>
      <c r="CI296" s="76">
        <v>36854</v>
      </c>
      <c r="CJ296" s="76">
        <v>432</v>
      </c>
      <c r="CK296" s="76">
        <v>170</v>
      </c>
      <c r="CL296" s="76">
        <v>0</v>
      </c>
      <c r="CM296" s="76">
        <v>262</v>
      </c>
      <c r="CN296" s="76">
        <v>0</v>
      </c>
      <c r="CO296" s="76">
        <v>0</v>
      </c>
      <c r="CP296" s="76">
        <v>0</v>
      </c>
      <c r="CQ296" s="76">
        <v>0</v>
      </c>
      <c r="CR296" s="76">
        <v>0</v>
      </c>
      <c r="CS296" s="76">
        <v>0</v>
      </c>
      <c r="CT296" s="76">
        <v>0</v>
      </c>
      <c r="CU296" s="76">
        <v>0</v>
      </c>
      <c r="CV296" s="76">
        <v>0</v>
      </c>
      <c r="CW296" s="76">
        <v>0</v>
      </c>
      <c r="CX296" s="76">
        <v>0</v>
      </c>
      <c r="CY296" s="76">
        <v>0</v>
      </c>
      <c r="CZ296" s="76">
        <v>283</v>
      </c>
      <c r="DA296" s="76">
        <v>0</v>
      </c>
      <c r="DB296" s="76">
        <v>176</v>
      </c>
      <c r="DC296" s="76">
        <v>107</v>
      </c>
      <c r="DD296" s="76">
        <v>715</v>
      </c>
      <c r="DE296" s="76">
        <v>170</v>
      </c>
      <c r="DF296" s="76">
        <v>176</v>
      </c>
      <c r="DG296" s="76">
        <v>369</v>
      </c>
      <c r="DH296" s="76">
        <v>0</v>
      </c>
      <c r="DI296" s="76">
        <v>0</v>
      </c>
      <c r="DJ296" s="76">
        <v>0</v>
      </c>
      <c r="DK296" s="76">
        <v>0</v>
      </c>
      <c r="DL296" s="76">
        <v>0</v>
      </c>
      <c r="DM296" s="76">
        <v>0</v>
      </c>
      <c r="DN296" s="76">
        <v>0</v>
      </c>
      <c r="DO296" s="76">
        <v>0</v>
      </c>
      <c r="DP296" s="76">
        <v>0</v>
      </c>
      <c r="DQ296" s="76">
        <v>0</v>
      </c>
      <c r="DR296" s="76">
        <v>0</v>
      </c>
      <c r="DS296" s="76">
        <v>0</v>
      </c>
      <c r="DT296" s="76">
        <v>0</v>
      </c>
      <c r="DU296" s="76">
        <v>0</v>
      </c>
      <c r="DV296" s="76">
        <v>0</v>
      </c>
      <c r="DW296" s="76">
        <v>0</v>
      </c>
      <c r="DX296" s="76">
        <v>0</v>
      </c>
      <c r="DY296" s="76">
        <v>0</v>
      </c>
      <c r="DZ296" s="76">
        <v>0</v>
      </c>
      <c r="EA296" s="76">
        <v>0</v>
      </c>
      <c r="EB296" s="76">
        <v>0</v>
      </c>
      <c r="EC296" s="76">
        <v>0</v>
      </c>
      <c r="ED296" s="76">
        <v>0</v>
      </c>
      <c r="EE296" s="76">
        <v>0</v>
      </c>
      <c r="EF296" s="76">
        <v>0</v>
      </c>
      <c r="EG296" s="76">
        <v>0</v>
      </c>
      <c r="EH296" s="76">
        <v>0</v>
      </c>
      <c r="EI296" s="76">
        <v>0</v>
      </c>
      <c r="EJ296" s="76">
        <v>715</v>
      </c>
      <c r="EK296" s="76">
        <v>170</v>
      </c>
      <c r="EL296" s="76">
        <v>176</v>
      </c>
      <c r="EM296" s="76">
        <v>369</v>
      </c>
      <c r="EN296" s="76">
        <v>331</v>
      </c>
      <c r="EO296" s="76">
        <v>244</v>
      </c>
      <c r="EP296" s="76">
        <v>112</v>
      </c>
      <c r="EQ296" s="76">
        <v>232</v>
      </c>
      <c r="ER296" s="76">
        <v>149546</v>
      </c>
      <c r="ES296" s="76">
        <v>0</v>
      </c>
      <c r="ET296" s="76">
        <v>149546</v>
      </c>
      <c r="EU296" s="76">
        <v>8897</v>
      </c>
      <c r="EV296" s="76">
        <v>-722</v>
      </c>
      <c r="EW296" s="76">
        <v>0</v>
      </c>
      <c r="EX296" s="76">
        <v>0</v>
      </c>
      <c r="EY296" s="76">
        <v>-221</v>
      </c>
      <c r="EZ296" s="76">
        <v>157500</v>
      </c>
      <c r="FA296" s="76">
        <v>27052</v>
      </c>
      <c r="FB296" s="76">
        <v>4133</v>
      </c>
      <c r="FC296" s="76">
        <v>0</v>
      </c>
      <c r="FD296" s="76">
        <v>0</v>
      </c>
      <c r="FE296" s="76">
        <v>-119</v>
      </c>
      <c r="FF296" s="76">
        <v>0</v>
      </c>
      <c r="FG296" s="76">
        <v>0</v>
      </c>
      <c r="FH296" s="76">
        <v>31066</v>
      </c>
      <c r="FI296" s="76">
        <v>126434</v>
      </c>
      <c r="FJ296" s="76">
        <v>122494</v>
      </c>
      <c r="FK296" s="76">
        <v>373</v>
      </c>
      <c r="FL296" s="76">
        <v>322</v>
      </c>
      <c r="FM296" s="76">
        <v>51</v>
      </c>
      <c r="FN296" s="76">
        <v>386</v>
      </c>
      <c r="FO296" s="76">
        <v>132</v>
      </c>
      <c r="FP296" s="76">
        <v>254</v>
      </c>
      <c r="FQ296" s="76">
        <v>140</v>
      </c>
      <c r="FR296" s="76">
        <v>6</v>
      </c>
      <c r="FS296" s="76">
        <v>134</v>
      </c>
      <c r="FT296" s="76">
        <v>686</v>
      </c>
      <c r="FU296" s="76">
        <v>176</v>
      </c>
      <c r="FV296" s="76">
        <v>510</v>
      </c>
      <c r="FW296" s="76">
        <v>0</v>
      </c>
      <c r="FX296" s="76">
        <v>0</v>
      </c>
      <c r="FY296" s="76">
        <v>0</v>
      </c>
      <c r="FZ296" s="76">
        <v>10</v>
      </c>
      <c r="GA296" s="76">
        <v>1</v>
      </c>
      <c r="GB296" s="76">
        <v>9</v>
      </c>
      <c r="GC296" s="76">
        <v>1595</v>
      </c>
      <c r="GD296" s="76">
        <v>637</v>
      </c>
      <c r="GE296" s="76">
        <v>958</v>
      </c>
      <c r="GF296" s="76">
        <v>3391</v>
      </c>
      <c r="GG296" s="76">
        <v>0</v>
      </c>
      <c r="GH296" s="76">
        <v>0</v>
      </c>
      <c r="GI296" s="76">
        <v>0</v>
      </c>
      <c r="GJ296" s="76">
        <v>0</v>
      </c>
      <c r="GK296" s="76">
        <v>509</v>
      </c>
      <c r="GL296" s="76">
        <v>3900</v>
      </c>
      <c r="GM296" s="76">
        <v>673</v>
      </c>
      <c r="GN296" s="76">
        <v>223</v>
      </c>
      <c r="GO296" s="76">
        <v>303</v>
      </c>
      <c r="GP296" s="76">
        <v>0</v>
      </c>
      <c r="GQ296" s="76">
        <v>0</v>
      </c>
      <c r="GR296" s="76">
        <v>1734</v>
      </c>
      <c r="GS296" s="76">
        <v>0</v>
      </c>
      <c r="GT296" s="76">
        <v>0</v>
      </c>
      <c r="GU296" s="76">
        <v>52</v>
      </c>
      <c r="GV296" s="76">
        <v>0</v>
      </c>
      <c r="GW296" s="76">
        <v>1291</v>
      </c>
      <c r="GX296" s="76">
        <v>4276</v>
      </c>
      <c r="GY296" s="76">
        <v>153</v>
      </c>
      <c r="GZ296" s="76">
        <v>0</v>
      </c>
      <c r="HA296" s="76">
        <v>299</v>
      </c>
      <c r="HB296" s="76">
        <v>0</v>
      </c>
      <c r="HC296" s="76">
        <v>452</v>
      </c>
      <c r="HD296" s="76">
        <v>0</v>
      </c>
      <c r="HE296" s="76">
        <v>0</v>
      </c>
      <c r="HF296" s="76">
        <v>0</v>
      </c>
      <c r="HG296" s="76">
        <v>3388</v>
      </c>
      <c r="HH296" s="76">
        <v>28</v>
      </c>
      <c r="HI296" s="76">
        <v>53</v>
      </c>
      <c r="HJ296" s="76">
        <v>0</v>
      </c>
      <c r="HK296" s="76">
        <v>0</v>
      </c>
      <c r="HL296" s="76">
        <v>-216</v>
      </c>
      <c r="HM296" s="76">
        <v>3253</v>
      </c>
      <c r="HN296" s="76">
        <v>2625</v>
      </c>
      <c r="HO296" s="76">
        <v>4313</v>
      </c>
      <c r="HP296" s="76">
        <v>0</v>
      </c>
      <c r="HQ296" s="76">
        <v>36</v>
      </c>
      <c r="HR296" s="76">
        <v>-28</v>
      </c>
      <c r="HS296" s="76">
        <v>28</v>
      </c>
      <c r="HT296" s="76">
        <v>3894</v>
      </c>
      <c r="HU296" s="76">
        <v>0</v>
      </c>
      <c r="HV296" s="76">
        <v>0</v>
      </c>
      <c r="HW296" s="76">
        <v>0</v>
      </c>
      <c r="HX296" s="76">
        <v>0</v>
      </c>
    </row>
    <row r="297" spans="1:232" x14ac:dyDescent="0.2">
      <c r="A297" s="74" t="s">
        <v>183</v>
      </c>
      <c r="B297" s="74" t="s">
        <v>182</v>
      </c>
      <c r="C297" s="75" t="s">
        <v>200</v>
      </c>
      <c r="D297" s="75">
        <v>12</v>
      </c>
      <c r="E297" s="76">
        <v>5581</v>
      </c>
      <c r="F297" s="76">
        <v>0</v>
      </c>
      <c r="G297" s="76">
        <v>-3504</v>
      </c>
      <c r="H297" s="76">
        <v>2077</v>
      </c>
      <c r="I297" s="76">
        <v>61</v>
      </c>
      <c r="J297" s="76">
        <v>0</v>
      </c>
      <c r="K297" s="76">
        <v>0</v>
      </c>
      <c r="L297" s="76">
        <v>0</v>
      </c>
      <c r="M297" s="76">
        <v>9</v>
      </c>
      <c r="N297" s="76">
        <v>-858</v>
      </c>
      <c r="O297" s="76">
        <v>0</v>
      </c>
      <c r="P297" s="76">
        <v>0</v>
      </c>
      <c r="Q297" s="76">
        <v>0</v>
      </c>
      <c r="R297" s="76">
        <v>0</v>
      </c>
      <c r="S297" s="76">
        <v>1289</v>
      </c>
      <c r="T297" s="76">
        <v>0</v>
      </c>
      <c r="U297" s="76">
        <v>1289</v>
      </c>
      <c r="V297" s="76">
        <v>0</v>
      </c>
      <c r="W297" s="76">
        <v>0</v>
      </c>
      <c r="X297" s="76">
        <v>0</v>
      </c>
      <c r="Y297" s="76">
        <v>0</v>
      </c>
      <c r="Z297" s="76">
        <v>1289</v>
      </c>
      <c r="AA297" s="76">
        <v>5195</v>
      </c>
      <c r="AB297" s="76">
        <v>345</v>
      </c>
      <c r="AC297" s="76">
        <v>5540</v>
      </c>
      <c r="AD297" s="76">
        <v>6</v>
      </c>
      <c r="AE297" s="76">
        <v>0</v>
      </c>
      <c r="AF297" s="76">
        <v>29</v>
      </c>
      <c r="AG297" s="76">
        <v>0</v>
      </c>
      <c r="AH297" s="76">
        <v>5575</v>
      </c>
      <c r="AI297" s="76">
        <v>645</v>
      </c>
      <c r="AJ297" s="76">
        <v>321</v>
      </c>
      <c r="AK297" s="76">
        <v>1059</v>
      </c>
      <c r="AL297" s="76">
        <v>427</v>
      </c>
      <c r="AM297" s="76">
        <v>0</v>
      </c>
      <c r="AN297" s="76">
        <v>13</v>
      </c>
      <c r="AO297" s="76">
        <v>730</v>
      </c>
      <c r="AP297" s="76">
        <v>0</v>
      </c>
      <c r="AQ297" s="76">
        <v>306</v>
      </c>
      <c r="AR297" s="76">
        <v>3501</v>
      </c>
      <c r="AS297" s="76">
        <v>2074</v>
      </c>
      <c r="AT297" s="76">
        <v>21</v>
      </c>
      <c r="AU297" s="76">
        <v>54170</v>
      </c>
      <c r="AV297" s="76">
        <v>0</v>
      </c>
      <c r="AW297" s="76">
        <v>214</v>
      </c>
      <c r="AX297" s="76">
        <v>0</v>
      </c>
      <c r="AY297" s="76">
        <v>0</v>
      </c>
      <c r="AZ297" s="76">
        <v>0</v>
      </c>
      <c r="BA297" s="76">
        <v>0</v>
      </c>
      <c r="BB297" s="76">
        <v>0</v>
      </c>
      <c r="BC297" s="76">
        <v>0</v>
      </c>
      <c r="BD297" s="76">
        <v>0</v>
      </c>
      <c r="BE297" s="76">
        <v>54384</v>
      </c>
      <c r="BF297" s="76">
        <v>0</v>
      </c>
      <c r="BG297" s="76">
        <v>0</v>
      </c>
      <c r="BH297" s="76">
        <v>3276</v>
      </c>
      <c r="BI297" s="76">
        <v>0</v>
      </c>
      <c r="BJ297" s="76">
        <v>294</v>
      </c>
      <c r="BK297" s="76">
        <v>3570</v>
      </c>
      <c r="BL297" s="76">
        <v>65</v>
      </c>
      <c r="BM297" s="76">
        <v>0</v>
      </c>
      <c r="BN297" s="76">
        <v>0</v>
      </c>
      <c r="BO297" s="76">
        <v>859</v>
      </c>
      <c r="BP297" s="76">
        <v>924</v>
      </c>
      <c r="BQ297" s="76">
        <v>2646</v>
      </c>
      <c r="BR297" s="76">
        <v>57030</v>
      </c>
      <c r="BS297" s="76">
        <v>20955</v>
      </c>
      <c r="BT297" s="76">
        <v>0</v>
      </c>
      <c r="BU297" s="76">
        <v>0</v>
      </c>
      <c r="BV297" s="76">
        <v>576</v>
      </c>
      <c r="BW297" s="76">
        <v>0</v>
      </c>
      <c r="BX297" s="76">
        <v>0</v>
      </c>
      <c r="BY297" s="76">
        <v>21</v>
      </c>
      <c r="BZ297" s="76">
        <v>21552</v>
      </c>
      <c r="CA297" s="76">
        <v>366</v>
      </c>
      <c r="CB297" s="76">
        <v>0</v>
      </c>
      <c r="CC297" s="76">
        <v>35112</v>
      </c>
      <c r="CD297" s="76">
        <v>32696</v>
      </c>
      <c r="CE297" s="76">
        <v>2416</v>
      </c>
      <c r="CF297" s="76">
        <v>0</v>
      </c>
      <c r="CG297" s="76">
        <v>0</v>
      </c>
      <c r="CH297" s="76">
        <v>0</v>
      </c>
      <c r="CI297" s="76">
        <v>35112</v>
      </c>
      <c r="CJ297" s="76">
        <v>0</v>
      </c>
      <c r="CK297" s="76">
        <v>0</v>
      </c>
      <c r="CL297" s="76">
        <v>0</v>
      </c>
      <c r="CM297" s="76">
        <v>0</v>
      </c>
      <c r="CN297" s="76">
        <v>0</v>
      </c>
      <c r="CO297" s="76">
        <v>0</v>
      </c>
      <c r="CP297" s="76">
        <v>0</v>
      </c>
      <c r="CQ297" s="76">
        <v>0</v>
      </c>
      <c r="CR297" s="76">
        <v>0</v>
      </c>
      <c r="CS297" s="76">
        <v>0</v>
      </c>
      <c r="CT297" s="76">
        <v>0</v>
      </c>
      <c r="CU297" s="76">
        <v>0</v>
      </c>
      <c r="CV297" s="76">
        <v>0</v>
      </c>
      <c r="CW297" s="76">
        <v>0</v>
      </c>
      <c r="CX297" s="76">
        <v>3</v>
      </c>
      <c r="CY297" s="76">
        <v>-3</v>
      </c>
      <c r="CZ297" s="76">
        <v>6</v>
      </c>
      <c r="DA297" s="76">
        <v>0</v>
      </c>
      <c r="DB297" s="76">
        <v>0</v>
      </c>
      <c r="DC297" s="76">
        <v>6</v>
      </c>
      <c r="DD297" s="76">
        <v>6</v>
      </c>
      <c r="DE297" s="76">
        <v>0</v>
      </c>
      <c r="DF297" s="76">
        <v>3</v>
      </c>
      <c r="DG297" s="76">
        <v>3</v>
      </c>
      <c r="DH297" s="76">
        <v>0</v>
      </c>
      <c r="DI297" s="76">
        <v>0</v>
      </c>
      <c r="DJ297" s="76">
        <v>0</v>
      </c>
      <c r="DK297" s="76">
        <v>0</v>
      </c>
      <c r="DL297" s="76">
        <v>0</v>
      </c>
      <c r="DM297" s="76">
        <v>0</v>
      </c>
      <c r="DN297" s="76">
        <v>0</v>
      </c>
      <c r="DO297" s="76">
        <v>0</v>
      </c>
      <c r="DP297" s="76">
        <v>0</v>
      </c>
      <c r="DQ297" s="76">
        <v>0</v>
      </c>
      <c r="DR297" s="76">
        <v>0</v>
      </c>
      <c r="DS297" s="76">
        <v>0</v>
      </c>
      <c r="DT297" s="76">
        <v>0</v>
      </c>
      <c r="DU297" s="76">
        <v>0</v>
      </c>
      <c r="DV297" s="76">
        <v>0</v>
      </c>
      <c r="DW297" s="76">
        <v>0</v>
      </c>
      <c r="DX297" s="76">
        <v>0</v>
      </c>
      <c r="DY297" s="76">
        <v>0</v>
      </c>
      <c r="DZ297" s="76">
        <v>0</v>
      </c>
      <c r="EA297" s="76">
        <v>0</v>
      </c>
      <c r="EB297" s="76">
        <v>0</v>
      </c>
      <c r="EC297" s="76">
        <v>0</v>
      </c>
      <c r="ED297" s="76">
        <v>0</v>
      </c>
      <c r="EE297" s="76">
        <v>0</v>
      </c>
      <c r="EF297" s="76">
        <v>0</v>
      </c>
      <c r="EG297" s="76">
        <v>0</v>
      </c>
      <c r="EH297" s="76">
        <v>0</v>
      </c>
      <c r="EI297" s="76">
        <v>0</v>
      </c>
      <c r="EJ297" s="76">
        <v>6</v>
      </c>
      <c r="EK297" s="76">
        <v>0</v>
      </c>
      <c r="EL297" s="76">
        <v>3</v>
      </c>
      <c r="EM297" s="76">
        <v>3</v>
      </c>
      <c r="EN297" s="76">
        <v>185</v>
      </c>
      <c r="EO297" s="76">
        <v>161</v>
      </c>
      <c r="EP297" s="76">
        <v>92</v>
      </c>
      <c r="EQ297" s="76">
        <v>156</v>
      </c>
      <c r="ER297" s="76">
        <v>59614</v>
      </c>
      <c r="ES297" s="76">
        <v>0</v>
      </c>
      <c r="ET297" s="76">
        <v>59614</v>
      </c>
      <c r="EU297" s="76">
        <v>684</v>
      </c>
      <c r="EV297" s="76">
        <v>-189</v>
      </c>
      <c r="EW297" s="76">
        <v>0</v>
      </c>
      <c r="EX297" s="76">
        <v>0</v>
      </c>
      <c r="EY297" s="76">
        <v>0</v>
      </c>
      <c r="EZ297" s="76">
        <v>60109</v>
      </c>
      <c r="FA297" s="76">
        <v>5347</v>
      </c>
      <c r="FB297" s="76">
        <v>731</v>
      </c>
      <c r="FC297" s="76">
        <v>0</v>
      </c>
      <c r="FD297" s="76">
        <v>0</v>
      </c>
      <c r="FE297" s="76">
        <v>-136</v>
      </c>
      <c r="FF297" s="76">
        <v>0</v>
      </c>
      <c r="FG297" s="76">
        <v>0</v>
      </c>
      <c r="FH297" s="76">
        <v>5942</v>
      </c>
      <c r="FI297" s="76">
        <v>54167</v>
      </c>
      <c r="FJ297" s="76">
        <v>54267</v>
      </c>
      <c r="FK297" s="76">
        <v>88</v>
      </c>
      <c r="FL297" s="76">
        <v>27</v>
      </c>
      <c r="FM297" s="76">
        <v>61</v>
      </c>
      <c r="FN297" s="76">
        <v>0</v>
      </c>
      <c r="FO297" s="76">
        <v>0</v>
      </c>
      <c r="FP297" s="76">
        <v>0</v>
      </c>
      <c r="FQ297" s="76">
        <v>0</v>
      </c>
      <c r="FR297" s="76">
        <v>0</v>
      </c>
      <c r="FS297" s="76">
        <v>0</v>
      </c>
      <c r="FT297" s="76">
        <v>0</v>
      </c>
      <c r="FU297" s="76">
        <v>0</v>
      </c>
      <c r="FV297" s="76">
        <v>0</v>
      </c>
      <c r="FW297" s="76">
        <v>0</v>
      </c>
      <c r="FX297" s="76">
        <v>0</v>
      </c>
      <c r="FY297" s="76">
        <v>0</v>
      </c>
      <c r="FZ297" s="76">
        <v>0</v>
      </c>
      <c r="GA297" s="76">
        <v>0</v>
      </c>
      <c r="GB297" s="76">
        <v>0</v>
      </c>
      <c r="GC297" s="76">
        <v>88</v>
      </c>
      <c r="GD297" s="76">
        <v>27</v>
      </c>
      <c r="GE297" s="76">
        <v>61</v>
      </c>
      <c r="GF297" s="76">
        <v>0</v>
      </c>
      <c r="GG297" s="76">
        <v>0</v>
      </c>
      <c r="GH297" s="76">
        <v>0</v>
      </c>
      <c r="GI297" s="76">
        <v>0</v>
      </c>
      <c r="GJ297" s="76">
        <v>0</v>
      </c>
      <c r="GK297" s="76">
        <v>294</v>
      </c>
      <c r="GL297" s="76">
        <v>294</v>
      </c>
      <c r="GM297" s="76">
        <v>245</v>
      </c>
      <c r="GN297" s="76">
        <v>158</v>
      </c>
      <c r="GO297" s="76">
        <v>0</v>
      </c>
      <c r="GP297" s="76">
        <v>0</v>
      </c>
      <c r="GQ297" s="76">
        <v>0</v>
      </c>
      <c r="GR297" s="76">
        <v>266</v>
      </c>
      <c r="GS297" s="76">
        <v>0</v>
      </c>
      <c r="GT297" s="76">
        <v>0</v>
      </c>
      <c r="GU297" s="76">
        <v>0</v>
      </c>
      <c r="GV297" s="76">
        <v>0</v>
      </c>
      <c r="GW297" s="76">
        <v>190</v>
      </c>
      <c r="GX297" s="76">
        <v>859</v>
      </c>
      <c r="GY297" s="76">
        <v>9</v>
      </c>
      <c r="GZ297" s="76">
        <v>11</v>
      </c>
      <c r="HA297" s="76">
        <v>0</v>
      </c>
      <c r="HB297" s="76">
        <v>0</v>
      </c>
      <c r="HC297" s="76">
        <v>20</v>
      </c>
      <c r="HD297" s="76">
        <v>0</v>
      </c>
      <c r="HE297" s="76">
        <v>0</v>
      </c>
      <c r="HF297" s="76">
        <v>0</v>
      </c>
      <c r="HG297" s="76">
        <v>803</v>
      </c>
      <c r="HH297" s="76">
        <v>0</v>
      </c>
      <c r="HI297" s="76">
        <v>8</v>
      </c>
      <c r="HJ297" s="76">
        <v>0</v>
      </c>
      <c r="HK297" s="76">
        <v>47</v>
      </c>
      <c r="HL297" s="76">
        <v>0</v>
      </c>
      <c r="HM297" s="76">
        <v>858</v>
      </c>
      <c r="HN297" s="76">
        <v>502</v>
      </c>
      <c r="HO297" s="76">
        <v>796</v>
      </c>
      <c r="HP297" s="76">
        <v>0</v>
      </c>
      <c r="HQ297" s="76">
        <v>0</v>
      </c>
      <c r="HR297" s="76">
        <v>-2</v>
      </c>
      <c r="HS297" s="76">
        <v>0</v>
      </c>
      <c r="HT297" s="76">
        <v>1004</v>
      </c>
      <c r="HU297" s="76">
        <v>0</v>
      </c>
      <c r="HV297" s="76">
        <v>0</v>
      </c>
      <c r="HW297" s="76">
        <v>0</v>
      </c>
      <c r="HX297" s="76">
        <v>0</v>
      </c>
    </row>
    <row r="298" spans="1:232" x14ac:dyDescent="0.2">
      <c r="A298" s="71" t="s">
        <v>800</v>
      </c>
      <c r="B298" s="71" t="s">
        <v>799</v>
      </c>
      <c r="C298" s="72" t="s">
        <v>200</v>
      </c>
      <c r="D298" s="72">
        <v>12</v>
      </c>
      <c r="E298" s="73">
        <v>6841</v>
      </c>
      <c r="F298" s="73">
        <v>-359</v>
      </c>
      <c r="G298" s="73">
        <v>-4682</v>
      </c>
      <c r="H298" s="73">
        <v>1800</v>
      </c>
      <c r="I298" s="73">
        <v>27</v>
      </c>
      <c r="J298" s="73">
        <v>0</v>
      </c>
      <c r="K298" s="73">
        <v>0</v>
      </c>
      <c r="L298" s="73">
        <v>0</v>
      </c>
      <c r="M298" s="73">
        <v>58</v>
      </c>
      <c r="N298" s="73">
        <v>-462</v>
      </c>
      <c r="O298" s="73">
        <v>0</v>
      </c>
      <c r="P298" s="73">
        <v>0</v>
      </c>
      <c r="Q298" s="73">
        <v>0</v>
      </c>
      <c r="R298" s="73">
        <v>0</v>
      </c>
      <c r="S298" s="73">
        <v>1423</v>
      </c>
      <c r="T298" s="73">
        <v>0</v>
      </c>
      <c r="U298" s="73">
        <v>1423</v>
      </c>
      <c r="V298" s="73">
        <v>0</v>
      </c>
      <c r="W298" s="73">
        <v>0</v>
      </c>
      <c r="X298" s="73">
        <v>0</v>
      </c>
      <c r="Y298" s="73">
        <v>0</v>
      </c>
      <c r="Z298" s="73">
        <v>1423</v>
      </c>
      <c r="AA298" s="73">
        <v>5371</v>
      </c>
      <c r="AB298" s="73">
        <v>252</v>
      </c>
      <c r="AC298" s="73">
        <v>5623</v>
      </c>
      <c r="AD298" s="73">
        <v>753</v>
      </c>
      <c r="AE298" s="73">
        <v>0</v>
      </c>
      <c r="AF298" s="73">
        <v>0</v>
      </c>
      <c r="AG298" s="73">
        <v>0</v>
      </c>
      <c r="AH298" s="73">
        <v>6376</v>
      </c>
      <c r="AI298" s="73">
        <v>1745</v>
      </c>
      <c r="AJ298" s="73">
        <v>234</v>
      </c>
      <c r="AK298" s="73">
        <v>590</v>
      </c>
      <c r="AL298" s="73">
        <v>459</v>
      </c>
      <c r="AM298" s="73">
        <v>0</v>
      </c>
      <c r="AN298" s="73">
        <v>18</v>
      </c>
      <c r="AO298" s="73">
        <v>1583</v>
      </c>
      <c r="AP298" s="73">
        <v>0</v>
      </c>
      <c r="AQ298" s="73">
        <v>53</v>
      </c>
      <c r="AR298" s="73">
        <v>4682</v>
      </c>
      <c r="AS298" s="73">
        <v>1694</v>
      </c>
      <c r="AT298" s="73">
        <v>39</v>
      </c>
      <c r="AU298" s="73">
        <v>59333</v>
      </c>
      <c r="AV298" s="73">
        <v>0</v>
      </c>
      <c r="AW298" s="73">
        <v>740</v>
      </c>
      <c r="AX298" s="73">
        <v>0</v>
      </c>
      <c r="AY298" s="73">
        <v>0</v>
      </c>
      <c r="AZ298" s="73">
        <v>0</v>
      </c>
      <c r="BA298" s="73">
        <v>0</v>
      </c>
      <c r="BB298" s="73">
        <v>0</v>
      </c>
      <c r="BC298" s="73">
        <v>347</v>
      </c>
      <c r="BD298" s="73">
        <v>0</v>
      </c>
      <c r="BE298" s="73">
        <v>60420</v>
      </c>
      <c r="BF298" s="73">
        <v>0</v>
      </c>
      <c r="BG298" s="73">
        <v>112</v>
      </c>
      <c r="BH298" s="73">
        <v>4846</v>
      </c>
      <c r="BI298" s="73">
        <v>0</v>
      </c>
      <c r="BJ298" s="73">
        <v>319</v>
      </c>
      <c r="BK298" s="73">
        <v>5277</v>
      </c>
      <c r="BL298" s="73">
        <v>947</v>
      </c>
      <c r="BM298" s="73">
        <v>0</v>
      </c>
      <c r="BN298" s="73">
        <v>815</v>
      </c>
      <c r="BO298" s="73">
        <v>1571</v>
      </c>
      <c r="BP298" s="73">
        <v>3333</v>
      </c>
      <c r="BQ298" s="73">
        <v>1944</v>
      </c>
      <c r="BR298" s="73">
        <v>62364</v>
      </c>
      <c r="BS298" s="73">
        <v>17149</v>
      </c>
      <c r="BT298" s="73">
        <v>0</v>
      </c>
      <c r="BU298" s="73">
        <v>0</v>
      </c>
      <c r="BV298" s="73">
        <v>29412</v>
      </c>
      <c r="BW298" s="73">
        <v>0</v>
      </c>
      <c r="BX298" s="73">
        <v>0</v>
      </c>
      <c r="BY298" s="73">
        <v>294</v>
      </c>
      <c r="BZ298" s="73">
        <v>46855</v>
      </c>
      <c r="CA298" s="73">
        <v>761</v>
      </c>
      <c r="CB298" s="73">
        <v>0</v>
      </c>
      <c r="CC298" s="73">
        <v>14748</v>
      </c>
      <c r="CD298" s="73">
        <v>14748</v>
      </c>
      <c r="CE298" s="73">
        <v>0</v>
      </c>
      <c r="CF298" s="73">
        <v>0</v>
      </c>
      <c r="CG298" s="73">
        <v>0</v>
      </c>
      <c r="CH298" s="73">
        <v>0</v>
      </c>
      <c r="CI298" s="73">
        <v>14748</v>
      </c>
      <c r="CJ298" s="73">
        <v>444</v>
      </c>
      <c r="CK298" s="73">
        <v>359</v>
      </c>
      <c r="CL298" s="73">
        <v>0</v>
      </c>
      <c r="CM298" s="73">
        <v>85</v>
      </c>
      <c r="CN298" s="73">
        <v>0</v>
      </c>
      <c r="CO298" s="73">
        <v>0</v>
      </c>
      <c r="CP298" s="73">
        <v>0</v>
      </c>
      <c r="CQ298" s="73">
        <v>0</v>
      </c>
      <c r="CR298" s="73">
        <v>0</v>
      </c>
      <c r="CS298" s="73">
        <v>0</v>
      </c>
      <c r="CT298" s="73">
        <v>0</v>
      </c>
      <c r="CU298" s="73">
        <v>0</v>
      </c>
      <c r="CV298" s="73">
        <v>0</v>
      </c>
      <c r="CW298" s="73">
        <v>0</v>
      </c>
      <c r="CX298" s="73">
        <v>0</v>
      </c>
      <c r="CY298" s="73">
        <v>0</v>
      </c>
      <c r="CZ298" s="73">
        <v>21</v>
      </c>
      <c r="DA298" s="73">
        <v>0</v>
      </c>
      <c r="DB298" s="73">
        <v>0</v>
      </c>
      <c r="DC298" s="73">
        <v>21</v>
      </c>
      <c r="DD298" s="73">
        <v>465</v>
      </c>
      <c r="DE298" s="73">
        <v>359</v>
      </c>
      <c r="DF298" s="73">
        <v>0</v>
      </c>
      <c r="DG298" s="73">
        <v>106</v>
      </c>
      <c r="DH298" s="73">
        <v>0</v>
      </c>
      <c r="DI298" s="73">
        <v>0</v>
      </c>
      <c r="DJ298" s="73">
        <v>0</v>
      </c>
      <c r="DK298" s="73">
        <v>0</v>
      </c>
      <c r="DL298" s="73">
        <v>0</v>
      </c>
      <c r="DM298" s="73">
        <v>0</v>
      </c>
      <c r="DN298" s="73">
        <v>0</v>
      </c>
      <c r="DO298" s="73">
        <v>0</v>
      </c>
      <c r="DP298" s="73">
        <v>0</v>
      </c>
      <c r="DQ298" s="73">
        <v>0</v>
      </c>
      <c r="DR298" s="73">
        <v>0</v>
      </c>
      <c r="DS298" s="73">
        <v>0</v>
      </c>
      <c r="DT298" s="73">
        <v>0</v>
      </c>
      <c r="DU298" s="73">
        <v>0</v>
      </c>
      <c r="DV298" s="73">
        <v>0</v>
      </c>
      <c r="DW298" s="73">
        <v>0</v>
      </c>
      <c r="DX298" s="73">
        <v>0</v>
      </c>
      <c r="DY298" s="73">
        <v>0</v>
      </c>
      <c r="DZ298" s="73">
        <v>0</v>
      </c>
      <c r="EA298" s="73">
        <v>0</v>
      </c>
      <c r="EB298" s="73">
        <v>0</v>
      </c>
      <c r="EC298" s="73">
        <v>0</v>
      </c>
      <c r="ED298" s="73">
        <v>0</v>
      </c>
      <c r="EE298" s="73">
        <v>0</v>
      </c>
      <c r="EF298" s="73">
        <v>0</v>
      </c>
      <c r="EG298" s="73">
        <v>0</v>
      </c>
      <c r="EH298" s="73">
        <v>0</v>
      </c>
      <c r="EI298" s="73">
        <v>0</v>
      </c>
      <c r="EJ298" s="73">
        <v>465</v>
      </c>
      <c r="EK298" s="73">
        <v>359</v>
      </c>
      <c r="EL298" s="73">
        <v>0</v>
      </c>
      <c r="EM298" s="73">
        <v>106</v>
      </c>
      <c r="EN298" s="73">
        <v>378</v>
      </c>
      <c r="EO298" s="73">
        <v>190</v>
      </c>
      <c r="EP298" s="73">
        <v>266</v>
      </c>
      <c r="EQ298" s="73">
        <v>190</v>
      </c>
      <c r="ER298" s="73">
        <v>74263</v>
      </c>
      <c r="ES298" s="73">
        <v>0</v>
      </c>
      <c r="ET298" s="73">
        <v>74263</v>
      </c>
      <c r="EU298" s="73">
        <v>5693</v>
      </c>
      <c r="EV298" s="73">
        <v>-453</v>
      </c>
      <c r="EW298" s="73">
        <v>0</v>
      </c>
      <c r="EX298" s="73">
        <v>0</v>
      </c>
      <c r="EY298" s="73">
        <v>75</v>
      </c>
      <c r="EZ298" s="73">
        <v>79578</v>
      </c>
      <c r="FA298" s="73">
        <v>18931</v>
      </c>
      <c r="FB298" s="73">
        <v>1582</v>
      </c>
      <c r="FC298" s="73">
        <v>0</v>
      </c>
      <c r="FD298" s="73">
        <v>0</v>
      </c>
      <c r="FE298" s="73">
        <v>-268</v>
      </c>
      <c r="FF298" s="73">
        <v>0</v>
      </c>
      <c r="FG298" s="73">
        <v>0</v>
      </c>
      <c r="FH298" s="73">
        <v>20245</v>
      </c>
      <c r="FI298" s="73">
        <v>59333</v>
      </c>
      <c r="FJ298" s="73">
        <v>55332</v>
      </c>
      <c r="FK298" s="73">
        <v>58</v>
      </c>
      <c r="FL298" s="73">
        <v>31</v>
      </c>
      <c r="FM298" s="73">
        <v>27</v>
      </c>
      <c r="FN298" s="73">
        <v>0</v>
      </c>
      <c r="FO298" s="73">
        <v>0</v>
      </c>
      <c r="FP298" s="73">
        <v>0</v>
      </c>
      <c r="FQ298" s="73">
        <v>0</v>
      </c>
      <c r="FR298" s="73">
        <v>0</v>
      </c>
      <c r="FS298" s="73">
        <v>0</v>
      </c>
      <c r="FT298" s="73">
        <v>0</v>
      </c>
      <c r="FU298" s="73">
        <v>0</v>
      </c>
      <c r="FV298" s="73">
        <v>0</v>
      </c>
      <c r="FW298" s="73">
        <v>0</v>
      </c>
      <c r="FX298" s="73">
        <v>0</v>
      </c>
      <c r="FY298" s="73">
        <v>0</v>
      </c>
      <c r="FZ298" s="73">
        <v>0</v>
      </c>
      <c r="GA298" s="73">
        <v>0</v>
      </c>
      <c r="GB298" s="73">
        <v>0</v>
      </c>
      <c r="GC298" s="73">
        <v>58</v>
      </c>
      <c r="GD298" s="73">
        <v>31</v>
      </c>
      <c r="GE298" s="73">
        <v>27</v>
      </c>
      <c r="GF298" s="73">
        <v>213</v>
      </c>
      <c r="GG298" s="73">
        <v>31</v>
      </c>
      <c r="GH298" s="73">
        <v>0</v>
      </c>
      <c r="GI298" s="73">
        <v>0</v>
      </c>
      <c r="GJ298" s="73">
        <v>0</v>
      </c>
      <c r="GK298" s="73">
        <v>75</v>
      </c>
      <c r="GL298" s="73">
        <v>319</v>
      </c>
      <c r="GM298" s="73">
        <v>185</v>
      </c>
      <c r="GN298" s="73">
        <v>80</v>
      </c>
      <c r="GO298" s="73">
        <v>0</v>
      </c>
      <c r="GP298" s="73">
        <v>0</v>
      </c>
      <c r="GQ298" s="73">
        <v>0</v>
      </c>
      <c r="GR298" s="73">
        <v>1078</v>
      </c>
      <c r="GS298" s="73">
        <v>0</v>
      </c>
      <c r="GT298" s="73">
        <v>0</v>
      </c>
      <c r="GU298" s="73">
        <v>111</v>
      </c>
      <c r="GV298" s="73">
        <v>0</v>
      </c>
      <c r="GW298" s="73">
        <v>117</v>
      </c>
      <c r="GX298" s="73">
        <v>1571</v>
      </c>
      <c r="GY298" s="73">
        <v>0</v>
      </c>
      <c r="GZ298" s="73">
        <v>294</v>
      </c>
      <c r="HA298" s="73">
        <v>0</v>
      </c>
      <c r="HB298" s="73">
        <v>0</v>
      </c>
      <c r="HC298" s="73">
        <v>294</v>
      </c>
      <c r="HD298" s="73">
        <v>0</v>
      </c>
      <c r="HE298" s="73">
        <v>0</v>
      </c>
      <c r="HF298" s="73">
        <v>0</v>
      </c>
      <c r="HG298" s="73">
        <v>418</v>
      </c>
      <c r="HH298" s="73">
        <v>0</v>
      </c>
      <c r="HI298" s="73">
        <v>44</v>
      </c>
      <c r="HJ298" s="73">
        <v>0</v>
      </c>
      <c r="HK298" s="73">
        <v>0</v>
      </c>
      <c r="HL298" s="73">
        <v>0</v>
      </c>
      <c r="HM298" s="73">
        <v>462</v>
      </c>
      <c r="HN298" s="73">
        <v>353</v>
      </c>
      <c r="HO298" s="73">
        <v>1636</v>
      </c>
      <c r="HP298" s="73">
        <v>0</v>
      </c>
      <c r="HQ298" s="73">
        <v>28</v>
      </c>
      <c r="HR298" s="73">
        <v>-3</v>
      </c>
      <c r="HS298" s="73">
        <v>0</v>
      </c>
      <c r="HT298" s="73">
        <v>1242</v>
      </c>
      <c r="HU298" s="73">
        <v>0</v>
      </c>
      <c r="HV298" s="73">
        <v>0</v>
      </c>
      <c r="HW298" s="73">
        <v>0</v>
      </c>
      <c r="HX298" s="73">
        <v>0</v>
      </c>
    </row>
    <row r="299" spans="1:232" x14ac:dyDescent="0.2">
      <c r="A299" s="74" t="s">
        <v>801</v>
      </c>
      <c r="B299" s="74" t="s">
        <v>802</v>
      </c>
      <c r="C299" s="75" t="s">
        <v>200</v>
      </c>
      <c r="D299" s="75">
        <v>12</v>
      </c>
      <c r="E299" s="76">
        <v>45086</v>
      </c>
      <c r="F299" s="76">
        <v>-608</v>
      </c>
      <c r="G299" s="76">
        <v>-33926</v>
      </c>
      <c r="H299" s="76">
        <v>10552</v>
      </c>
      <c r="I299" s="76">
        <v>-59</v>
      </c>
      <c r="J299" s="76">
        <v>0</v>
      </c>
      <c r="K299" s="76">
        <v>0</v>
      </c>
      <c r="L299" s="76">
        <v>0</v>
      </c>
      <c r="M299" s="76">
        <v>138</v>
      </c>
      <c r="N299" s="76">
        <v>-4838</v>
      </c>
      <c r="O299" s="76">
        <v>0</v>
      </c>
      <c r="P299" s="76">
        <v>1350</v>
      </c>
      <c r="Q299" s="76">
        <v>0</v>
      </c>
      <c r="R299" s="76">
        <v>0</v>
      </c>
      <c r="S299" s="76">
        <v>7143</v>
      </c>
      <c r="T299" s="76">
        <v>0</v>
      </c>
      <c r="U299" s="76">
        <v>7143</v>
      </c>
      <c r="V299" s="76">
        <v>0</v>
      </c>
      <c r="W299" s="76">
        <v>-2825</v>
      </c>
      <c r="X299" s="76">
        <v>0</v>
      </c>
      <c r="Y299" s="76">
        <v>0</v>
      </c>
      <c r="Z299" s="76">
        <v>4318</v>
      </c>
      <c r="AA299" s="76">
        <v>39817</v>
      </c>
      <c r="AB299" s="76">
        <v>1665</v>
      </c>
      <c r="AC299" s="76">
        <v>41482</v>
      </c>
      <c r="AD299" s="76">
        <v>112</v>
      </c>
      <c r="AE299" s="76">
        <v>0</v>
      </c>
      <c r="AF299" s="76">
        <v>291</v>
      </c>
      <c r="AG299" s="76">
        <v>202</v>
      </c>
      <c r="AH299" s="76">
        <v>42087</v>
      </c>
      <c r="AI299" s="76">
        <v>7971</v>
      </c>
      <c r="AJ299" s="76">
        <v>1653</v>
      </c>
      <c r="AK299" s="76">
        <v>7917</v>
      </c>
      <c r="AL299" s="76">
        <v>1901</v>
      </c>
      <c r="AM299" s="76">
        <v>7364</v>
      </c>
      <c r="AN299" s="76">
        <v>158</v>
      </c>
      <c r="AO299" s="76">
        <v>5540</v>
      </c>
      <c r="AP299" s="76">
        <v>0</v>
      </c>
      <c r="AQ299" s="76">
        <v>0</v>
      </c>
      <c r="AR299" s="76">
        <v>32504</v>
      </c>
      <c r="AS299" s="76">
        <v>9583</v>
      </c>
      <c r="AT299" s="76">
        <v>328</v>
      </c>
      <c r="AU299" s="76">
        <v>283643</v>
      </c>
      <c r="AV299" s="76">
        <v>0</v>
      </c>
      <c r="AW299" s="76">
        <v>5550</v>
      </c>
      <c r="AX299" s="76">
        <v>213</v>
      </c>
      <c r="AY299" s="76">
        <v>0</v>
      </c>
      <c r="AZ299" s="76">
        <v>6250</v>
      </c>
      <c r="BA299" s="76">
        <v>0</v>
      </c>
      <c r="BB299" s="76">
        <v>0</v>
      </c>
      <c r="BC299" s="76">
        <v>0</v>
      </c>
      <c r="BD299" s="76">
        <v>0</v>
      </c>
      <c r="BE299" s="76">
        <v>295656</v>
      </c>
      <c r="BF299" s="76">
        <v>1285</v>
      </c>
      <c r="BG299" s="76">
        <v>2129</v>
      </c>
      <c r="BH299" s="76">
        <v>1226</v>
      </c>
      <c r="BI299" s="76">
        <v>0</v>
      </c>
      <c r="BJ299" s="76">
        <v>0</v>
      </c>
      <c r="BK299" s="76">
        <v>4640</v>
      </c>
      <c r="BL299" s="76">
        <v>0</v>
      </c>
      <c r="BM299" s="76">
        <v>0</v>
      </c>
      <c r="BN299" s="76">
        <v>118</v>
      </c>
      <c r="BO299" s="76">
        <v>13301</v>
      </c>
      <c r="BP299" s="76">
        <v>13419</v>
      </c>
      <c r="BQ299" s="76">
        <v>-8779</v>
      </c>
      <c r="BR299" s="76">
        <v>286877</v>
      </c>
      <c r="BS299" s="76">
        <v>118644</v>
      </c>
      <c r="BT299" s="76">
        <v>0</v>
      </c>
      <c r="BU299" s="76">
        <v>0</v>
      </c>
      <c r="BV299" s="76">
        <v>13644</v>
      </c>
      <c r="BW299" s="76">
        <v>0</v>
      </c>
      <c r="BX299" s="76">
        <v>0</v>
      </c>
      <c r="BY299" s="76">
        <v>332</v>
      </c>
      <c r="BZ299" s="76">
        <v>132620</v>
      </c>
      <c r="CA299" s="76">
        <v>13011</v>
      </c>
      <c r="CB299" s="76">
        <v>0</v>
      </c>
      <c r="CC299" s="76">
        <v>141246</v>
      </c>
      <c r="CD299" s="76">
        <v>14562</v>
      </c>
      <c r="CE299" s="76">
        <v>126684</v>
      </c>
      <c r="CF299" s="76">
        <v>0</v>
      </c>
      <c r="CG299" s="76">
        <v>0</v>
      </c>
      <c r="CH299" s="76">
        <v>0</v>
      </c>
      <c r="CI299" s="76">
        <v>141246</v>
      </c>
      <c r="CJ299" s="76">
        <v>1054</v>
      </c>
      <c r="CK299" s="76">
        <v>608</v>
      </c>
      <c r="CL299" s="76">
        <v>0</v>
      </c>
      <c r="CM299" s="76">
        <v>446</v>
      </c>
      <c r="CN299" s="76">
        <v>0</v>
      </c>
      <c r="CO299" s="76">
        <v>0</v>
      </c>
      <c r="CP299" s="76">
        <v>0</v>
      </c>
      <c r="CQ299" s="76">
        <v>0</v>
      </c>
      <c r="CR299" s="76">
        <v>0</v>
      </c>
      <c r="CS299" s="76">
        <v>0</v>
      </c>
      <c r="CT299" s="76">
        <v>0</v>
      </c>
      <c r="CU299" s="76">
        <v>0</v>
      </c>
      <c r="CV299" s="76">
        <v>0</v>
      </c>
      <c r="CW299" s="76">
        <v>0</v>
      </c>
      <c r="CX299" s="76">
        <v>0</v>
      </c>
      <c r="CY299" s="76">
        <v>0</v>
      </c>
      <c r="CZ299" s="76">
        <v>0</v>
      </c>
      <c r="DA299" s="76">
        <v>0</v>
      </c>
      <c r="DB299" s="76">
        <v>0</v>
      </c>
      <c r="DC299" s="76">
        <v>0</v>
      </c>
      <c r="DD299" s="76">
        <v>1054</v>
      </c>
      <c r="DE299" s="76">
        <v>608</v>
      </c>
      <c r="DF299" s="76">
        <v>0</v>
      </c>
      <c r="DG299" s="76">
        <v>446</v>
      </c>
      <c r="DH299" s="76">
        <v>0</v>
      </c>
      <c r="DI299" s="76">
        <v>0</v>
      </c>
      <c r="DJ299" s="76">
        <v>0</v>
      </c>
      <c r="DK299" s="76">
        <v>0</v>
      </c>
      <c r="DL299" s="76">
        <v>0</v>
      </c>
      <c r="DM299" s="76">
        <v>0</v>
      </c>
      <c r="DN299" s="76">
        <v>0</v>
      </c>
      <c r="DO299" s="76">
        <v>0</v>
      </c>
      <c r="DP299" s="76">
        <v>0</v>
      </c>
      <c r="DQ299" s="76">
        <v>0</v>
      </c>
      <c r="DR299" s="76">
        <v>0</v>
      </c>
      <c r="DS299" s="76">
        <v>0</v>
      </c>
      <c r="DT299" s="76">
        <v>0</v>
      </c>
      <c r="DU299" s="76">
        <v>0</v>
      </c>
      <c r="DV299" s="76">
        <v>0</v>
      </c>
      <c r="DW299" s="76">
        <v>0</v>
      </c>
      <c r="DX299" s="76">
        <v>0</v>
      </c>
      <c r="DY299" s="76">
        <v>0</v>
      </c>
      <c r="DZ299" s="76">
        <v>0</v>
      </c>
      <c r="EA299" s="76">
        <v>0</v>
      </c>
      <c r="EB299" s="76">
        <v>1945</v>
      </c>
      <c r="EC299" s="76">
        <v>0</v>
      </c>
      <c r="ED299" s="76">
        <v>1422</v>
      </c>
      <c r="EE299" s="76">
        <v>523</v>
      </c>
      <c r="EF299" s="76">
        <v>1945</v>
      </c>
      <c r="EG299" s="76">
        <v>0</v>
      </c>
      <c r="EH299" s="76">
        <v>1422</v>
      </c>
      <c r="EI299" s="76">
        <v>523</v>
      </c>
      <c r="EJ299" s="76">
        <v>2999</v>
      </c>
      <c r="EK299" s="76">
        <v>608</v>
      </c>
      <c r="EL299" s="76">
        <v>1422</v>
      </c>
      <c r="EM299" s="76">
        <v>969</v>
      </c>
      <c r="EN299" s="76">
        <v>1137</v>
      </c>
      <c r="EO299" s="76">
        <v>411</v>
      </c>
      <c r="EP299" s="76">
        <v>116</v>
      </c>
      <c r="EQ299" s="76">
        <v>411</v>
      </c>
      <c r="ER299" s="76">
        <v>287190</v>
      </c>
      <c r="ES299" s="76">
        <v>0</v>
      </c>
      <c r="ET299" s="76">
        <v>287190</v>
      </c>
      <c r="EU299" s="76">
        <v>17952</v>
      </c>
      <c r="EV299" s="76">
        <v>-1414</v>
      </c>
      <c r="EW299" s="76">
        <v>0</v>
      </c>
      <c r="EX299" s="76">
        <v>0</v>
      </c>
      <c r="EY299" s="76">
        <v>0</v>
      </c>
      <c r="EZ299" s="76">
        <v>303728</v>
      </c>
      <c r="FA299" s="76">
        <v>15076</v>
      </c>
      <c r="FB299" s="76">
        <v>5540</v>
      </c>
      <c r="FC299" s="76">
        <v>0</v>
      </c>
      <c r="FD299" s="76">
        <v>0</v>
      </c>
      <c r="FE299" s="76">
        <v>-531</v>
      </c>
      <c r="FF299" s="76">
        <v>0</v>
      </c>
      <c r="FG299" s="76">
        <v>0</v>
      </c>
      <c r="FH299" s="76">
        <v>20085</v>
      </c>
      <c r="FI299" s="76">
        <v>283643</v>
      </c>
      <c r="FJ299" s="76">
        <v>272114</v>
      </c>
      <c r="FK299" s="76">
        <v>12</v>
      </c>
      <c r="FL299" s="76">
        <v>21</v>
      </c>
      <c r="FM299" s="76">
        <v>-9</v>
      </c>
      <c r="FN299" s="76">
        <v>1170</v>
      </c>
      <c r="FO299" s="76">
        <v>1071</v>
      </c>
      <c r="FP299" s="76">
        <v>99</v>
      </c>
      <c r="FQ299" s="76">
        <v>8</v>
      </c>
      <c r="FR299" s="76">
        <v>0</v>
      </c>
      <c r="FS299" s="76">
        <v>8</v>
      </c>
      <c r="FT299" s="76">
        <v>0</v>
      </c>
      <c r="FU299" s="76">
        <v>157</v>
      </c>
      <c r="FV299" s="76">
        <v>-157</v>
      </c>
      <c r="FW299" s="76">
        <v>0</v>
      </c>
      <c r="FX299" s="76">
        <v>0</v>
      </c>
      <c r="FY299" s="76">
        <v>0</v>
      </c>
      <c r="FZ299" s="76">
        <v>0</v>
      </c>
      <c r="GA299" s="76">
        <v>0</v>
      </c>
      <c r="GB299" s="76">
        <v>0</v>
      </c>
      <c r="GC299" s="76">
        <v>1190</v>
      </c>
      <c r="GD299" s="76">
        <v>1249</v>
      </c>
      <c r="GE299" s="76">
        <v>-59</v>
      </c>
      <c r="GF299" s="76">
        <v>0</v>
      </c>
      <c r="GG299" s="76">
        <v>0</v>
      </c>
      <c r="GH299" s="76">
        <v>0</v>
      </c>
      <c r="GI299" s="76">
        <v>0</v>
      </c>
      <c r="GJ299" s="76">
        <v>0</v>
      </c>
      <c r="GK299" s="76">
        <v>0</v>
      </c>
      <c r="GL299" s="76">
        <v>0</v>
      </c>
      <c r="GM299" s="76">
        <v>1975</v>
      </c>
      <c r="GN299" s="76">
        <v>840</v>
      </c>
      <c r="GO299" s="76">
        <v>0</v>
      </c>
      <c r="GP299" s="76">
        <v>0</v>
      </c>
      <c r="GQ299" s="76">
        <v>0</v>
      </c>
      <c r="GR299" s="76">
        <v>6951</v>
      </c>
      <c r="GS299" s="76">
        <v>0</v>
      </c>
      <c r="GT299" s="76">
        <v>0</v>
      </c>
      <c r="GU299" s="76">
        <v>0</v>
      </c>
      <c r="GV299" s="76">
        <v>0</v>
      </c>
      <c r="GW299" s="76">
        <v>3535</v>
      </c>
      <c r="GX299" s="76">
        <v>13301</v>
      </c>
      <c r="GY299" s="76">
        <v>0</v>
      </c>
      <c r="GZ299" s="76">
        <v>165</v>
      </c>
      <c r="HA299" s="76">
        <v>0</v>
      </c>
      <c r="HB299" s="76">
        <v>167</v>
      </c>
      <c r="HC299" s="76">
        <v>332</v>
      </c>
      <c r="HD299" s="76">
        <v>0</v>
      </c>
      <c r="HE299" s="76">
        <v>0</v>
      </c>
      <c r="HF299" s="76">
        <v>0</v>
      </c>
      <c r="HG299" s="76">
        <v>4946</v>
      </c>
      <c r="HH299" s="76">
        <v>165</v>
      </c>
      <c r="HI299" s="76">
        <v>359</v>
      </c>
      <c r="HJ299" s="76">
        <v>0</v>
      </c>
      <c r="HK299" s="76">
        <v>0</v>
      </c>
      <c r="HL299" s="76">
        <v>-632</v>
      </c>
      <c r="HM299" s="76">
        <v>4838</v>
      </c>
      <c r="HN299" s="76">
        <v>2701</v>
      </c>
      <c r="HO299" s="76">
        <v>6309</v>
      </c>
      <c r="HP299" s="76">
        <v>0</v>
      </c>
      <c r="HQ299" s="76">
        <v>69</v>
      </c>
      <c r="HR299" s="76">
        <v>-31</v>
      </c>
      <c r="HS299" s="76">
        <v>1</v>
      </c>
      <c r="HT299" s="76">
        <v>7481</v>
      </c>
      <c r="HU299" s="76">
        <v>5</v>
      </c>
      <c r="HV299" s="76">
        <v>0</v>
      </c>
      <c r="HW299" s="76">
        <v>0</v>
      </c>
      <c r="HX299" s="76">
        <v>642</v>
      </c>
    </row>
    <row r="300" spans="1:232" x14ac:dyDescent="0.2">
      <c r="A300" s="74" t="s">
        <v>803</v>
      </c>
      <c r="B300" s="74" t="s">
        <v>804</v>
      </c>
      <c r="C300" s="75" t="s">
        <v>200</v>
      </c>
      <c r="D300" s="75">
        <v>12</v>
      </c>
      <c r="E300" s="76">
        <v>24588</v>
      </c>
      <c r="F300" s="76">
        <v>-620</v>
      </c>
      <c r="G300" s="76">
        <v>-13863</v>
      </c>
      <c r="H300" s="76">
        <v>10105</v>
      </c>
      <c r="I300" s="76">
        <v>5284</v>
      </c>
      <c r="J300" s="76">
        <v>0</v>
      </c>
      <c r="K300" s="76">
        <v>0</v>
      </c>
      <c r="L300" s="76">
        <v>0</v>
      </c>
      <c r="M300" s="76">
        <v>23</v>
      </c>
      <c r="N300" s="76">
        <v>-2813</v>
      </c>
      <c r="O300" s="76">
        <v>0</v>
      </c>
      <c r="P300" s="76">
        <v>-5524</v>
      </c>
      <c r="Q300" s="76">
        <v>0</v>
      </c>
      <c r="R300" s="76">
        <v>0</v>
      </c>
      <c r="S300" s="76">
        <v>7075</v>
      </c>
      <c r="T300" s="76">
        <v>0</v>
      </c>
      <c r="U300" s="76">
        <v>7075</v>
      </c>
      <c r="V300" s="76">
        <v>0</v>
      </c>
      <c r="W300" s="76">
        <v>-1212</v>
      </c>
      <c r="X300" s="76">
        <v>0</v>
      </c>
      <c r="Y300" s="76">
        <v>0</v>
      </c>
      <c r="Z300" s="76">
        <v>5863</v>
      </c>
      <c r="AA300" s="76">
        <v>22709</v>
      </c>
      <c r="AB300" s="76">
        <v>784</v>
      </c>
      <c r="AC300" s="76">
        <v>23493</v>
      </c>
      <c r="AD300" s="76">
        <v>181</v>
      </c>
      <c r="AE300" s="76">
        <v>0</v>
      </c>
      <c r="AF300" s="76">
        <v>0</v>
      </c>
      <c r="AG300" s="76">
        <v>0</v>
      </c>
      <c r="AH300" s="76">
        <v>23674</v>
      </c>
      <c r="AI300" s="76">
        <v>2994</v>
      </c>
      <c r="AJ300" s="76">
        <v>1068</v>
      </c>
      <c r="AK300" s="76">
        <v>3466</v>
      </c>
      <c r="AL300" s="76">
        <v>721</v>
      </c>
      <c r="AM300" s="76">
        <v>2040</v>
      </c>
      <c r="AN300" s="76">
        <v>108</v>
      </c>
      <c r="AO300" s="76">
        <v>2975</v>
      </c>
      <c r="AP300" s="76">
        <v>0</v>
      </c>
      <c r="AQ300" s="76">
        <v>0</v>
      </c>
      <c r="AR300" s="76">
        <v>13372</v>
      </c>
      <c r="AS300" s="76">
        <v>10302</v>
      </c>
      <c r="AT300" s="76">
        <v>324</v>
      </c>
      <c r="AU300" s="76">
        <v>146549</v>
      </c>
      <c r="AV300" s="76">
        <v>0</v>
      </c>
      <c r="AW300" s="76">
        <v>599</v>
      </c>
      <c r="AX300" s="76">
        <v>710</v>
      </c>
      <c r="AY300" s="76">
        <v>0</v>
      </c>
      <c r="AZ300" s="76">
        <v>0</v>
      </c>
      <c r="BA300" s="76">
        <v>0</v>
      </c>
      <c r="BB300" s="76">
        <v>0</v>
      </c>
      <c r="BC300" s="76">
        <v>0</v>
      </c>
      <c r="BD300" s="76">
        <v>0</v>
      </c>
      <c r="BE300" s="76">
        <v>147858</v>
      </c>
      <c r="BF300" s="76">
        <v>1130</v>
      </c>
      <c r="BG300" s="76">
        <v>1060</v>
      </c>
      <c r="BH300" s="76">
        <v>11269</v>
      </c>
      <c r="BI300" s="76">
        <v>0</v>
      </c>
      <c r="BJ300" s="76">
        <v>0</v>
      </c>
      <c r="BK300" s="76">
        <v>13459</v>
      </c>
      <c r="BL300" s="76">
        <v>5000</v>
      </c>
      <c r="BM300" s="76">
        <v>0</v>
      </c>
      <c r="BN300" s="76">
        <v>181</v>
      </c>
      <c r="BO300" s="76">
        <v>5622</v>
      </c>
      <c r="BP300" s="76">
        <v>10803</v>
      </c>
      <c r="BQ300" s="76">
        <v>2656</v>
      </c>
      <c r="BR300" s="76">
        <v>150514</v>
      </c>
      <c r="BS300" s="76">
        <v>65000</v>
      </c>
      <c r="BT300" s="76">
        <v>0</v>
      </c>
      <c r="BU300" s="76">
        <v>0</v>
      </c>
      <c r="BV300" s="76">
        <v>17861</v>
      </c>
      <c r="BW300" s="76">
        <v>0</v>
      </c>
      <c r="BX300" s="76">
        <v>4700</v>
      </c>
      <c r="BY300" s="76">
        <v>125</v>
      </c>
      <c r="BZ300" s="76">
        <v>87686</v>
      </c>
      <c r="CA300" s="76">
        <v>1836</v>
      </c>
      <c r="CB300" s="76">
        <v>0</v>
      </c>
      <c r="CC300" s="76">
        <v>60992</v>
      </c>
      <c r="CD300" s="76">
        <v>60992</v>
      </c>
      <c r="CE300" s="76">
        <v>0</v>
      </c>
      <c r="CF300" s="76">
        <v>0</v>
      </c>
      <c r="CG300" s="76">
        <v>0</v>
      </c>
      <c r="CH300" s="76">
        <v>0</v>
      </c>
      <c r="CI300" s="76">
        <v>60992</v>
      </c>
      <c r="CJ300" s="76">
        <v>609</v>
      </c>
      <c r="CK300" s="76">
        <v>620</v>
      </c>
      <c r="CL300" s="76">
        <v>0</v>
      </c>
      <c r="CM300" s="76">
        <v>-11</v>
      </c>
      <c r="CN300" s="76">
        <v>0</v>
      </c>
      <c r="CO300" s="76">
        <v>0</v>
      </c>
      <c r="CP300" s="76">
        <v>0</v>
      </c>
      <c r="CQ300" s="76">
        <v>0</v>
      </c>
      <c r="CR300" s="76">
        <v>0</v>
      </c>
      <c r="CS300" s="76">
        <v>0</v>
      </c>
      <c r="CT300" s="76">
        <v>0</v>
      </c>
      <c r="CU300" s="76">
        <v>0</v>
      </c>
      <c r="CV300" s="76">
        <v>0</v>
      </c>
      <c r="CW300" s="76">
        <v>0</v>
      </c>
      <c r="CX300" s="76">
        <v>0</v>
      </c>
      <c r="CY300" s="76">
        <v>0</v>
      </c>
      <c r="CZ300" s="76">
        <v>291</v>
      </c>
      <c r="DA300" s="76">
        <v>0</v>
      </c>
      <c r="DB300" s="76">
        <v>384</v>
      </c>
      <c r="DC300" s="76">
        <v>-93</v>
      </c>
      <c r="DD300" s="76">
        <v>900</v>
      </c>
      <c r="DE300" s="76">
        <v>620</v>
      </c>
      <c r="DF300" s="76">
        <v>384</v>
      </c>
      <c r="DG300" s="76">
        <v>-104</v>
      </c>
      <c r="DH300" s="76">
        <v>0</v>
      </c>
      <c r="DI300" s="76">
        <v>0</v>
      </c>
      <c r="DJ300" s="76">
        <v>0</v>
      </c>
      <c r="DK300" s="76">
        <v>0</v>
      </c>
      <c r="DL300" s="76">
        <v>0</v>
      </c>
      <c r="DM300" s="76">
        <v>0</v>
      </c>
      <c r="DN300" s="76">
        <v>0</v>
      </c>
      <c r="DO300" s="76">
        <v>0</v>
      </c>
      <c r="DP300" s="76">
        <v>0</v>
      </c>
      <c r="DQ300" s="76">
        <v>0</v>
      </c>
      <c r="DR300" s="76">
        <v>0</v>
      </c>
      <c r="DS300" s="76">
        <v>0</v>
      </c>
      <c r="DT300" s="76">
        <v>0</v>
      </c>
      <c r="DU300" s="76">
        <v>0</v>
      </c>
      <c r="DV300" s="76">
        <v>0</v>
      </c>
      <c r="DW300" s="76">
        <v>0</v>
      </c>
      <c r="DX300" s="76">
        <v>0</v>
      </c>
      <c r="DY300" s="76">
        <v>0</v>
      </c>
      <c r="DZ300" s="76">
        <v>0</v>
      </c>
      <c r="EA300" s="76">
        <v>0</v>
      </c>
      <c r="EB300" s="76">
        <v>14</v>
      </c>
      <c r="EC300" s="76">
        <v>0</v>
      </c>
      <c r="ED300" s="76">
        <v>107</v>
      </c>
      <c r="EE300" s="76">
        <v>-93</v>
      </c>
      <c r="EF300" s="76">
        <v>14</v>
      </c>
      <c r="EG300" s="76">
        <v>0</v>
      </c>
      <c r="EH300" s="76">
        <v>107</v>
      </c>
      <c r="EI300" s="76">
        <v>-93</v>
      </c>
      <c r="EJ300" s="76">
        <v>914</v>
      </c>
      <c r="EK300" s="76">
        <v>620</v>
      </c>
      <c r="EL300" s="76">
        <v>491</v>
      </c>
      <c r="EM300" s="76">
        <v>-197</v>
      </c>
      <c r="EN300" s="76">
        <v>818</v>
      </c>
      <c r="EO300" s="76">
        <v>80</v>
      </c>
      <c r="EP300" s="76">
        <v>305</v>
      </c>
      <c r="EQ300" s="76">
        <v>80</v>
      </c>
      <c r="ER300" s="76">
        <v>150859</v>
      </c>
      <c r="ES300" s="76">
        <v>0</v>
      </c>
      <c r="ET300" s="76">
        <v>150859</v>
      </c>
      <c r="EU300" s="76">
        <v>14823</v>
      </c>
      <c r="EV300" s="76">
        <v>-1232</v>
      </c>
      <c r="EW300" s="76">
        <v>0</v>
      </c>
      <c r="EX300" s="76">
        <v>0</v>
      </c>
      <c r="EY300" s="76">
        <v>-420</v>
      </c>
      <c r="EZ300" s="76">
        <v>164030</v>
      </c>
      <c r="FA300" s="76">
        <v>14596</v>
      </c>
      <c r="FB300" s="76">
        <v>2975</v>
      </c>
      <c r="FC300" s="76">
        <v>0</v>
      </c>
      <c r="FD300" s="76">
        <v>0</v>
      </c>
      <c r="FE300" s="76">
        <v>-48</v>
      </c>
      <c r="FF300" s="76">
        <v>0</v>
      </c>
      <c r="FG300" s="76">
        <v>-42</v>
      </c>
      <c r="FH300" s="76">
        <v>17481</v>
      </c>
      <c r="FI300" s="76">
        <v>146549</v>
      </c>
      <c r="FJ300" s="76">
        <v>136263</v>
      </c>
      <c r="FK300" s="76">
        <v>0</v>
      </c>
      <c r="FL300" s="76">
        <v>0</v>
      </c>
      <c r="FM300" s="76">
        <v>0</v>
      </c>
      <c r="FN300" s="76">
        <v>1802</v>
      </c>
      <c r="FO300" s="76">
        <v>1564</v>
      </c>
      <c r="FP300" s="76">
        <v>238</v>
      </c>
      <c r="FQ300" s="76">
        <v>0</v>
      </c>
      <c r="FR300" s="76">
        <v>0</v>
      </c>
      <c r="FS300" s="76">
        <v>0</v>
      </c>
      <c r="FT300" s="76">
        <v>5909</v>
      </c>
      <c r="FU300" s="76">
        <v>1004</v>
      </c>
      <c r="FV300" s="76">
        <v>4905</v>
      </c>
      <c r="FW300" s="76">
        <v>0</v>
      </c>
      <c r="FX300" s="76">
        <v>0</v>
      </c>
      <c r="FY300" s="76">
        <v>0</v>
      </c>
      <c r="FZ300" s="76">
        <v>172</v>
      </c>
      <c r="GA300" s="76">
        <v>31</v>
      </c>
      <c r="GB300" s="76">
        <v>141</v>
      </c>
      <c r="GC300" s="76">
        <v>7883</v>
      </c>
      <c r="GD300" s="76">
        <v>2599</v>
      </c>
      <c r="GE300" s="76">
        <v>5284</v>
      </c>
      <c r="GF300" s="76">
        <v>0</v>
      </c>
      <c r="GG300" s="76">
        <v>0</v>
      </c>
      <c r="GH300" s="76">
        <v>0</v>
      </c>
      <c r="GI300" s="76">
        <v>0</v>
      </c>
      <c r="GJ300" s="76">
        <v>0</v>
      </c>
      <c r="GK300" s="76">
        <v>0</v>
      </c>
      <c r="GL300" s="76">
        <v>0</v>
      </c>
      <c r="GM300" s="76">
        <v>1687</v>
      </c>
      <c r="GN300" s="76">
        <v>364</v>
      </c>
      <c r="GO300" s="76">
        <v>0</v>
      </c>
      <c r="GP300" s="76">
        <v>0</v>
      </c>
      <c r="GQ300" s="76">
        <v>0</v>
      </c>
      <c r="GR300" s="76">
        <v>2265</v>
      </c>
      <c r="GS300" s="76">
        <v>0</v>
      </c>
      <c r="GT300" s="76">
        <v>0</v>
      </c>
      <c r="GU300" s="76">
        <v>0</v>
      </c>
      <c r="GV300" s="76">
        <v>824</v>
      </c>
      <c r="GW300" s="76">
        <v>482</v>
      </c>
      <c r="GX300" s="76">
        <v>5622</v>
      </c>
      <c r="GY300" s="76">
        <v>0</v>
      </c>
      <c r="GZ300" s="76">
        <v>125</v>
      </c>
      <c r="HA300" s="76">
        <v>0</v>
      </c>
      <c r="HB300" s="76">
        <v>0</v>
      </c>
      <c r="HC300" s="76">
        <v>125</v>
      </c>
      <c r="HD300" s="76">
        <v>0</v>
      </c>
      <c r="HE300" s="76">
        <v>0</v>
      </c>
      <c r="HF300" s="76">
        <v>0</v>
      </c>
      <c r="HG300" s="76">
        <v>2791</v>
      </c>
      <c r="HH300" s="76">
        <v>2</v>
      </c>
      <c r="HI300" s="76">
        <v>20</v>
      </c>
      <c r="HJ300" s="76">
        <v>0</v>
      </c>
      <c r="HK300" s="76">
        <v>0</v>
      </c>
      <c r="HL300" s="76">
        <v>0</v>
      </c>
      <c r="HM300" s="76">
        <v>2813</v>
      </c>
      <c r="HN300" s="76">
        <v>2875</v>
      </c>
      <c r="HO300" s="76">
        <v>3321</v>
      </c>
      <c r="HP300" s="76">
        <v>0</v>
      </c>
      <c r="HQ300" s="76">
        <v>80</v>
      </c>
      <c r="HR300" s="76">
        <v>-63</v>
      </c>
      <c r="HS300" s="76">
        <v>0</v>
      </c>
      <c r="HT300" s="76">
        <v>4986</v>
      </c>
      <c r="HU300" s="76">
        <v>0</v>
      </c>
      <c r="HV300" s="76">
        <v>0</v>
      </c>
      <c r="HW300" s="76">
        <v>0</v>
      </c>
      <c r="HX300" s="76">
        <v>0</v>
      </c>
    </row>
    <row r="301" spans="1:232" x14ac:dyDescent="0.2">
      <c r="A301" s="71" t="s">
        <v>186</v>
      </c>
      <c r="B301" s="71" t="s">
        <v>184</v>
      </c>
      <c r="C301" s="72" t="s">
        <v>200</v>
      </c>
      <c r="D301" s="72">
        <v>12</v>
      </c>
      <c r="E301" s="73">
        <v>145881</v>
      </c>
      <c r="F301" s="73">
        <v>-11014</v>
      </c>
      <c r="G301" s="73">
        <v>-94343</v>
      </c>
      <c r="H301" s="73">
        <v>40524</v>
      </c>
      <c r="I301" s="73">
        <v>6667</v>
      </c>
      <c r="J301" s="73">
        <v>0</v>
      </c>
      <c r="K301" s="73">
        <v>0</v>
      </c>
      <c r="L301" s="73">
        <v>0</v>
      </c>
      <c r="M301" s="73">
        <v>1502</v>
      </c>
      <c r="N301" s="73">
        <v>-12194</v>
      </c>
      <c r="O301" s="73">
        <v>0</v>
      </c>
      <c r="P301" s="73">
        <v>320</v>
      </c>
      <c r="Q301" s="73">
        <v>0</v>
      </c>
      <c r="R301" s="73">
        <v>0</v>
      </c>
      <c r="S301" s="73">
        <v>36819</v>
      </c>
      <c r="T301" s="73">
        <v>0</v>
      </c>
      <c r="U301" s="73">
        <v>36819</v>
      </c>
      <c r="V301" s="73">
        <v>0</v>
      </c>
      <c r="W301" s="73">
        <v>-21</v>
      </c>
      <c r="X301" s="73">
        <v>-10363</v>
      </c>
      <c r="Y301" s="73">
        <v>0</v>
      </c>
      <c r="Z301" s="73">
        <v>26435</v>
      </c>
      <c r="AA301" s="73">
        <v>89665</v>
      </c>
      <c r="AB301" s="73">
        <v>9499</v>
      </c>
      <c r="AC301" s="73">
        <v>99164</v>
      </c>
      <c r="AD301" s="73">
        <v>4632</v>
      </c>
      <c r="AE301" s="73">
        <v>0</v>
      </c>
      <c r="AF301" s="73">
        <v>2</v>
      </c>
      <c r="AG301" s="73">
        <v>2507</v>
      </c>
      <c r="AH301" s="73">
        <v>106305</v>
      </c>
      <c r="AI301" s="73">
        <v>37139</v>
      </c>
      <c r="AJ301" s="73">
        <v>9691</v>
      </c>
      <c r="AK301" s="73">
        <v>12834</v>
      </c>
      <c r="AL301" s="73">
        <v>0</v>
      </c>
      <c r="AM301" s="73">
        <v>5389</v>
      </c>
      <c r="AN301" s="73">
        <v>335</v>
      </c>
      <c r="AO301" s="73">
        <v>14932</v>
      </c>
      <c r="AP301" s="73">
        <v>-403</v>
      </c>
      <c r="AQ301" s="73">
        <v>297</v>
      </c>
      <c r="AR301" s="73">
        <v>80214</v>
      </c>
      <c r="AS301" s="73">
        <v>26091</v>
      </c>
      <c r="AT301" s="73">
        <v>1344</v>
      </c>
      <c r="AU301" s="73">
        <v>1078763</v>
      </c>
      <c r="AV301" s="73">
        <v>0</v>
      </c>
      <c r="AW301" s="73">
        <v>10625</v>
      </c>
      <c r="AX301" s="73">
        <v>0</v>
      </c>
      <c r="AY301" s="73">
        <v>0</v>
      </c>
      <c r="AZ301" s="73">
        <v>55011</v>
      </c>
      <c r="BA301" s="73">
        <v>2</v>
      </c>
      <c r="BB301" s="73">
        <v>0</v>
      </c>
      <c r="BC301" s="73">
        <v>0</v>
      </c>
      <c r="BD301" s="73">
        <v>2142</v>
      </c>
      <c r="BE301" s="73">
        <v>1146543</v>
      </c>
      <c r="BF301" s="73">
        <v>7549</v>
      </c>
      <c r="BG301" s="73">
        <v>27821</v>
      </c>
      <c r="BH301" s="73">
        <v>5968</v>
      </c>
      <c r="BI301" s="73">
        <v>40990</v>
      </c>
      <c r="BJ301" s="73">
        <v>44</v>
      </c>
      <c r="BK301" s="73">
        <v>82372</v>
      </c>
      <c r="BL301" s="73">
        <v>8395</v>
      </c>
      <c r="BM301" s="73">
        <v>157</v>
      </c>
      <c r="BN301" s="73">
        <v>4764</v>
      </c>
      <c r="BO301" s="73">
        <v>34367</v>
      </c>
      <c r="BP301" s="73">
        <v>47683</v>
      </c>
      <c r="BQ301" s="73">
        <v>34689</v>
      </c>
      <c r="BR301" s="73">
        <v>1181232</v>
      </c>
      <c r="BS301" s="73">
        <v>380442</v>
      </c>
      <c r="BT301" s="73">
        <v>0</v>
      </c>
      <c r="BU301" s="73">
        <v>0</v>
      </c>
      <c r="BV301" s="73">
        <v>387545</v>
      </c>
      <c r="BW301" s="73">
        <v>0</v>
      </c>
      <c r="BX301" s="73">
        <v>61177</v>
      </c>
      <c r="BY301" s="73">
        <v>13930</v>
      </c>
      <c r="BZ301" s="73">
        <v>843094</v>
      </c>
      <c r="CA301" s="73">
        <v>10144</v>
      </c>
      <c r="CB301" s="73">
        <v>574</v>
      </c>
      <c r="CC301" s="73">
        <v>327420</v>
      </c>
      <c r="CD301" s="73">
        <v>379084</v>
      </c>
      <c r="CE301" s="73">
        <v>0</v>
      </c>
      <c r="CF301" s="73">
        <v>612</v>
      </c>
      <c r="CG301" s="73">
        <v>-52276</v>
      </c>
      <c r="CH301" s="73">
        <v>0</v>
      </c>
      <c r="CI301" s="73">
        <v>327420</v>
      </c>
      <c r="CJ301" s="73">
        <v>27121</v>
      </c>
      <c r="CK301" s="73">
        <v>10615</v>
      </c>
      <c r="CL301" s="73">
        <v>423</v>
      </c>
      <c r="CM301" s="73">
        <v>16083</v>
      </c>
      <c r="CN301" s="73">
        <v>49</v>
      </c>
      <c r="CO301" s="73">
        <v>0</v>
      </c>
      <c r="CP301" s="73">
        <v>607</v>
      </c>
      <c r="CQ301" s="73">
        <v>-558</v>
      </c>
      <c r="CR301" s="73">
        <v>481</v>
      </c>
      <c r="CS301" s="73">
        <v>0</v>
      </c>
      <c r="CT301" s="73">
        <v>2844</v>
      </c>
      <c r="CU301" s="73">
        <v>-2363</v>
      </c>
      <c r="CV301" s="73">
        <v>0</v>
      </c>
      <c r="CW301" s="73">
        <v>0</v>
      </c>
      <c r="CX301" s="73">
        <v>0</v>
      </c>
      <c r="CY301" s="73">
        <v>0</v>
      </c>
      <c r="CZ301" s="73">
        <v>1839</v>
      </c>
      <c r="DA301" s="73">
        <v>0</v>
      </c>
      <c r="DB301" s="73">
        <v>0</v>
      </c>
      <c r="DC301" s="73">
        <v>1839</v>
      </c>
      <c r="DD301" s="73">
        <v>29490</v>
      </c>
      <c r="DE301" s="73">
        <v>10615</v>
      </c>
      <c r="DF301" s="73">
        <v>3874</v>
      </c>
      <c r="DG301" s="73">
        <v>15001</v>
      </c>
      <c r="DH301" s="73">
        <v>380</v>
      </c>
      <c r="DI301" s="73">
        <v>399</v>
      </c>
      <c r="DJ301" s="73">
        <v>0</v>
      </c>
      <c r="DK301" s="73">
        <v>-19</v>
      </c>
      <c r="DL301" s="73">
        <v>9436</v>
      </c>
      <c r="DM301" s="73">
        <v>0</v>
      </c>
      <c r="DN301" s="73">
        <v>10176</v>
      </c>
      <c r="DO301" s="73">
        <v>-740</v>
      </c>
      <c r="DP301" s="73">
        <v>0</v>
      </c>
      <c r="DQ301" s="73">
        <v>0</v>
      </c>
      <c r="DR301" s="73">
        <v>0</v>
      </c>
      <c r="DS301" s="73">
        <v>0</v>
      </c>
      <c r="DT301" s="73">
        <v>270</v>
      </c>
      <c r="DU301" s="73">
        <v>0</v>
      </c>
      <c r="DV301" s="73">
        <v>79</v>
      </c>
      <c r="DW301" s="73">
        <v>191</v>
      </c>
      <c r="DX301" s="73">
        <v>0</v>
      </c>
      <c r="DY301" s="73">
        <v>0</v>
      </c>
      <c r="DZ301" s="73">
        <v>0</v>
      </c>
      <c r="EA301" s="73">
        <v>0</v>
      </c>
      <c r="EB301" s="73">
        <v>0</v>
      </c>
      <c r="EC301" s="73">
        <v>0</v>
      </c>
      <c r="ED301" s="73">
        <v>0</v>
      </c>
      <c r="EE301" s="73">
        <v>0</v>
      </c>
      <c r="EF301" s="73">
        <v>10086</v>
      </c>
      <c r="EG301" s="73">
        <v>399</v>
      </c>
      <c r="EH301" s="73">
        <v>10255</v>
      </c>
      <c r="EI301" s="73">
        <v>-568</v>
      </c>
      <c r="EJ301" s="73">
        <v>39576</v>
      </c>
      <c r="EK301" s="73">
        <v>11014</v>
      </c>
      <c r="EL301" s="73">
        <v>14129</v>
      </c>
      <c r="EM301" s="73">
        <v>14433</v>
      </c>
      <c r="EN301" s="73">
        <v>3131</v>
      </c>
      <c r="EO301" s="73">
        <v>1034</v>
      </c>
      <c r="EP301" s="73">
        <v>94</v>
      </c>
      <c r="EQ301" s="73">
        <v>1027</v>
      </c>
      <c r="ER301" s="73">
        <v>1155299</v>
      </c>
      <c r="ES301" s="73">
        <v>0</v>
      </c>
      <c r="ET301" s="73">
        <v>1155299</v>
      </c>
      <c r="EU301" s="73">
        <v>46841</v>
      </c>
      <c r="EV301" s="73">
        <v>-8061</v>
      </c>
      <c r="EW301" s="73">
        <v>0</v>
      </c>
      <c r="EX301" s="73">
        <v>0</v>
      </c>
      <c r="EY301" s="73">
        <v>6584</v>
      </c>
      <c r="EZ301" s="73">
        <v>1200663</v>
      </c>
      <c r="FA301" s="73">
        <v>108941</v>
      </c>
      <c r="FB301" s="73">
        <v>13856</v>
      </c>
      <c r="FC301" s="73">
        <v>480</v>
      </c>
      <c r="FD301" s="73">
        <v>0</v>
      </c>
      <c r="FE301" s="73">
        <v>-1377</v>
      </c>
      <c r="FF301" s="73">
        <v>0</v>
      </c>
      <c r="FG301" s="73">
        <v>0</v>
      </c>
      <c r="FH301" s="73">
        <v>121900</v>
      </c>
      <c r="FI301" s="73">
        <v>1078763</v>
      </c>
      <c r="FJ301" s="73">
        <v>1046358</v>
      </c>
      <c r="FK301" s="73">
        <v>4965</v>
      </c>
      <c r="FL301" s="73">
        <v>2895</v>
      </c>
      <c r="FM301" s="73">
        <v>2070</v>
      </c>
      <c r="FN301" s="73">
        <v>0</v>
      </c>
      <c r="FO301" s="73">
        <v>0</v>
      </c>
      <c r="FP301" s="73">
        <v>0</v>
      </c>
      <c r="FQ301" s="73">
        <v>545</v>
      </c>
      <c r="FR301" s="73">
        <v>533</v>
      </c>
      <c r="FS301" s="73">
        <v>12</v>
      </c>
      <c r="FT301" s="73">
        <v>0</v>
      </c>
      <c r="FU301" s="73">
        <v>0</v>
      </c>
      <c r="FV301" s="73">
        <v>0</v>
      </c>
      <c r="FW301" s="73">
        <v>0</v>
      </c>
      <c r="FX301" s="73">
        <v>0</v>
      </c>
      <c r="FY301" s="73">
        <v>0</v>
      </c>
      <c r="FZ301" s="73">
        <v>7265</v>
      </c>
      <c r="GA301" s="73">
        <v>2680</v>
      </c>
      <c r="GB301" s="73">
        <v>4585</v>
      </c>
      <c r="GC301" s="73">
        <v>12775</v>
      </c>
      <c r="GD301" s="73">
        <v>6108</v>
      </c>
      <c r="GE301" s="73">
        <v>6667</v>
      </c>
      <c r="GF301" s="73">
        <v>0</v>
      </c>
      <c r="GG301" s="73">
        <v>0</v>
      </c>
      <c r="GH301" s="73">
        <v>0</v>
      </c>
      <c r="GI301" s="73">
        <v>0</v>
      </c>
      <c r="GJ301" s="73">
        <v>44</v>
      </c>
      <c r="GK301" s="73">
        <v>0</v>
      </c>
      <c r="GL301" s="73">
        <v>44</v>
      </c>
      <c r="GM301" s="73">
        <v>1192</v>
      </c>
      <c r="GN301" s="73">
        <v>3071</v>
      </c>
      <c r="GO301" s="73">
        <v>369</v>
      </c>
      <c r="GP301" s="73">
        <v>1451</v>
      </c>
      <c r="GQ301" s="73">
        <v>0</v>
      </c>
      <c r="GR301" s="73">
        <v>6871</v>
      </c>
      <c r="GS301" s="73">
        <v>0</v>
      </c>
      <c r="GT301" s="73">
        <v>0</v>
      </c>
      <c r="GU301" s="73">
        <v>241</v>
      </c>
      <c r="GV301" s="73">
        <v>211</v>
      </c>
      <c r="GW301" s="73">
        <v>20961</v>
      </c>
      <c r="GX301" s="73">
        <v>34367</v>
      </c>
      <c r="GY301" s="73">
        <v>13490</v>
      </c>
      <c r="GZ301" s="73">
        <v>440</v>
      </c>
      <c r="HA301" s="73">
        <v>0</v>
      </c>
      <c r="HB301" s="73">
        <v>0</v>
      </c>
      <c r="HC301" s="73">
        <v>13930</v>
      </c>
      <c r="HD301" s="73">
        <v>0</v>
      </c>
      <c r="HE301" s="73">
        <v>574</v>
      </c>
      <c r="HF301" s="73">
        <v>574</v>
      </c>
      <c r="HG301" s="73">
        <v>12674</v>
      </c>
      <c r="HH301" s="73">
        <v>150</v>
      </c>
      <c r="HI301" s="73">
        <v>213</v>
      </c>
      <c r="HJ301" s="73">
        <v>52</v>
      </c>
      <c r="HK301" s="73">
        <v>0</v>
      </c>
      <c r="HL301" s="73">
        <v>-895</v>
      </c>
      <c r="HM301" s="73">
        <v>12194</v>
      </c>
      <c r="HN301" s="73">
        <v>8958</v>
      </c>
      <c r="HO301" s="73">
        <v>16365</v>
      </c>
      <c r="HP301" s="73">
        <v>480</v>
      </c>
      <c r="HQ301" s="73">
        <v>226</v>
      </c>
      <c r="HR301" s="73">
        <v>-71</v>
      </c>
      <c r="HS301" s="73">
        <v>30</v>
      </c>
      <c r="HT301" s="73">
        <v>13521</v>
      </c>
      <c r="HU301" s="73">
        <v>0</v>
      </c>
      <c r="HV301" s="73">
        <v>0</v>
      </c>
      <c r="HW301" s="73">
        <v>0</v>
      </c>
      <c r="HX301" s="73">
        <v>2467</v>
      </c>
    </row>
    <row r="302" spans="1:232" x14ac:dyDescent="0.2">
      <c r="A302" s="74" t="s">
        <v>805</v>
      </c>
      <c r="B302" s="74" t="s">
        <v>806</v>
      </c>
      <c r="C302" s="75" t="s">
        <v>200</v>
      </c>
      <c r="D302" s="75">
        <v>12</v>
      </c>
      <c r="E302" s="76">
        <v>158343</v>
      </c>
      <c r="F302" s="76">
        <v>-6525</v>
      </c>
      <c r="G302" s="76">
        <v>-101061</v>
      </c>
      <c r="H302" s="76">
        <v>50757</v>
      </c>
      <c r="I302" s="76">
        <v>-728</v>
      </c>
      <c r="J302" s="76">
        <v>137</v>
      </c>
      <c r="K302" s="76">
        <v>0</v>
      </c>
      <c r="L302" s="76">
        <v>0</v>
      </c>
      <c r="M302" s="76">
        <v>248</v>
      </c>
      <c r="N302" s="76">
        <v>-20112</v>
      </c>
      <c r="O302" s="76">
        <v>20</v>
      </c>
      <c r="P302" s="76">
        <v>0</v>
      </c>
      <c r="Q302" s="76">
        <v>0</v>
      </c>
      <c r="R302" s="76">
        <v>0</v>
      </c>
      <c r="S302" s="76">
        <v>30322</v>
      </c>
      <c r="T302" s="76">
        <v>-102</v>
      </c>
      <c r="U302" s="76">
        <v>30220</v>
      </c>
      <c r="V302" s="76">
        <v>-5850</v>
      </c>
      <c r="W302" s="76">
        <v>-12372</v>
      </c>
      <c r="X302" s="76">
        <v>0</v>
      </c>
      <c r="Y302" s="76">
        <v>0</v>
      </c>
      <c r="Z302" s="76">
        <v>11998</v>
      </c>
      <c r="AA302" s="76">
        <v>133572</v>
      </c>
      <c r="AB302" s="76">
        <v>3664</v>
      </c>
      <c r="AC302" s="76">
        <v>137236</v>
      </c>
      <c r="AD302" s="76">
        <v>0</v>
      </c>
      <c r="AE302" s="76">
        <v>4111</v>
      </c>
      <c r="AF302" s="76">
        <v>0</v>
      </c>
      <c r="AG302" s="76">
        <v>0</v>
      </c>
      <c r="AH302" s="76">
        <v>141347</v>
      </c>
      <c r="AI302" s="76">
        <v>31330</v>
      </c>
      <c r="AJ302" s="76">
        <v>5079</v>
      </c>
      <c r="AK302" s="76">
        <v>15204</v>
      </c>
      <c r="AL302" s="76">
        <v>2489</v>
      </c>
      <c r="AM302" s="76">
        <v>13231</v>
      </c>
      <c r="AN302" s="76">
        <v>722</v>
      </c>
      <c r="AO302" s="76">
        <v>17721</v>
      </c>
      <c r="AP302" s="76">
        <v>1679</v>
      </c>
      <c r="AQ302" s="76">
        <v>1501</v>
      </c>
      <c r="AR302" s="76">
        <v>88956</v>
      </c>
      <c r="AS302" s="76">
        <v>52391</v>
      </c>
      <c r="AT302" s="76">
        <v>1972</v>
      </c>
      <c r="AU302" s="76">
        <v>5659</v>
      </c>
      <c r="AV302" s="76">
        <v>656459</v>
      </c>
      <c r="AW302" s="76">
        <v>14461</v>
      </c>
      <c r="AX302" s="76">
        <v>1928</v>
      </c>
      <c r="AY302" s="76">
        <v>202</v>
      </c>
      <c r="AZ302" s="76">
        <v>12705</v>
      </c>
      <c r="BA302" s="76">
        <v>1450</v>
      </c>
      <c r="BB302" s="76">
        <v>0</v>
      </c>
      <c r="BC302" s="76">
        <v>0</v>
      </c>
      <c r="BD302" s="76">
        <v>0</v>
      </c>
      <c r="BE302" s="76">
        <v>692864</v>
      </c>
      <c r="BF302" s="76">
        <v>3291</v>
      </c>
      <c r="BG302" s="76">
        <v>10030</v>
      </c>
      <c r="BH302" s="76">
        <v>59271</v>
      </c>
      <c r="BI302" s="76">
        <v>0</v>
      </c>
      <c r="BJ302" s="76">
        <v>304</v>
      </c>
      <c r="BK302" s="76">
        <v>72896</v>
      </c>
      <c r="BL302" s="76">
        <v>2200</v>
      </c>
      <c r="BM302" s="76">
        <v>0</v>
      </c>
      <c r="BN302" s="76">
        <v>1456</v>
      </c>
      <c r="BO302" s="76">
        <v>13731</v>
      </c>
      <c r="BP302" s="76">
        <v>17387</v>
      </c>
      <c r="BQ302" s="76">
        <v>55509</v>
      </c>
      <c r="BR302" s="76">
        <v>748373</v>
      </c>
      <c r="BS302" s="76">
        <v>410600</v>
      </c>
      <c r="BT302" s="76">
        <v>0</v>
      </c>
      <c r="BU302" s="76">
        <v>0</v>
      </c>
      <c r="BV302" s="76">
        <v>0</v>
      </c>
      <c r="BW302" s="76">
        <v>0</v>
      </c>
      <c r="BX302" s="76">
        <v>0</v>
      </c>
      <c r="BY302" s="76">
        <v>2829</v>
      </c>
      <c r="BZ302" s="76">
        <v>413429</v>
      </c>
      <c r="CA302" s="76">
        <v>41973</v>
      </c>
      <c r="CB302" s="76">
        <v>0</v>
      </c>
      <c r="CC302" s="76">
        <v>292971</v>
      </c>
      <c r="CD302" s="76">
        <v>131020</v>
      </c>
      <c r="CE302" s="76">
        <v>161951</v>
      </c>
      <c r="CF302" s="76">
        <v>0</v>
      </c>
      <c r="CG302" s="76">
        <v>0</v>
      </c>
      <c r="CH302" s="76">
        <v>0</v>
      </c>
      <c r="CI302" s="76">
        <v>292971</v>
      </c>
      <c r="CJ302" s="76">
        <v>6539</v>
      </c>
      <c r="CK302" s="76">
        <v>6525</v>
      </c>
      <c r="CL302" s="76">
        <v>216</v>
      </c>
      <c r="CM302" s="76">
        <v>-202</v>
      </c>
      <c r="CN302" s="76">
        <v>997</v>
      </c>
      <c r="CO302" s="76">
        <v>0</v>
      </c>
      <c r="CP302" s="76">
        <v>1028</v>
      </c>
      <c r="CQ302" s="76">
        <v>-31</v>
      </c>
      <c r="CR302" s="76">
        <v>0</v>
      </c>
      <c r="CS302" s="76">
        <v>0</v>
      </c>
      <c r="CT302" s="76">
        <v>1176</v>
      </c>
      <c r="CU302" s="76">
        <v>-1176</v>
      </c>
      <c r="CV302" s="76">
        <v>0</v>
      </c>
      <c r="CW302" s="76">
        <v>0</v>
      </c>
      <c r="CX302" s="76">
        <v>0</v>
      </c>
      <c r="CY302" s="76">
        <v>0</v>
      </c>
      <c r="CZ302" s="76">
        <v>5441</v>
      </c>
      <c r="DA302" s="76">
        <v>0</v>
      </c>
      <c r="DB302" s="76">
        <v>5254</v>
      </c>
      <c r="DC302" s="76">
        <v>187</v>
      </c>
      <c r="DD302" s="76">
        <v>12977</v>
      </c>
      <c r="DE302" s="76">
        <v>6525</v>
      </c>
      <c r="DF302" s="76">
        <v>7674</v>
      </c>
      <c r="DG302" s="76">
        <v>-1222</v>
      </c>
      <c r="DH302" s="76">
        <v>0</v>
      </c>
      <c r="DI302" s="76">
        <v>0</v>
      </c>
      <c r="DJ302" s="76">
        <v>0</v>
      </c>
      <c r="DK302" s="76">
        <v>0</v>
      </c>
      <c r="DL302" s="76">
        <v>0</v>
      </c>
      <c r="DM302" s="76">
        <v>0</v>
      </c>
      <c r="DN302" s="76">
        <v>0</v>
      </c>
      <c r="DO302" s="76">
        <v>0</v>
      </c>
      <c r="DP302" s="76">
        <v>0</v>
      </c>
      <c r="DQ302" s="76">
        <v>0</v>
      </c>
      <c r="DR302" s="76">
        <v>0</v>
      </c>
      <c r="DS302" s="76">
        <v>0</v>
      </c>
      <c r="DT302" s="76">
        <v>0</v>
      </c>
      <c r="DU302" s="76">
        <v>0</v>
      </c>
      <c r="DV302" s="76">
        <v>0</v>
      </c>
      <c r="DW302" s="76">
        <v>0</v>
      </c>
      <c r="DX302" s="76">
        <v>0</v>
      </c>
      <c r="DY302" s="76">
        <v>0</v>
      </c>
      <c r="DZ302" s="76">
        <v>0</v>
      </c>
      <c r="EA302" s="76">
        <v>0</v>
      </c>
      <c r="EB302" s="76">
        <v>4019</v>
      </c>
      <c r="EC302" s="76">
        <v>0</v>
      </c>
      <c r="ED302" s="76">
        <v>4431</v>
      </c>
      <c r="EE302" s="76">
        <v>-412</v>
      </c>
      <c r="EF302" s="76">
        <v>4019</v>
      </c>
      <c r="EG302" s="76">
        <v>0</v>
      </c>
      <c r="EH302" s="76">
        <v>4431</v>
      </c>
      <c r="EI302" s="76">
        <v>-412</v>
      </c>
      <c r="EJ302" s="76">
        <v>16996</v>
      </c>
      <c r="EK302" s="76">
        <v>6525</v>
      </c>
      <c r="EL302" s="76">
        <v>12105</v>
      </c>
      <c r="EM302" s="76">
        <v>-1634</v>
      </c>
      <c r="EN302" s="76">
        <v>8056</v>
      </c>
      <c r="EO302" s="76">
        <v>3250</v>
      </c>
      <c r="EP302" s="76">
        <v>2256</v>
      </c>
      <c r="EQ302" s="76">
        <v>3250</v>
      </c>
      <c r="ER302" s="76">
        <v>2236</v>
      </c>
      <c r="ES302" s="76">
        <v>657360</v>
      </c>
      <c r="ET302" s="76">
        <v>659596</v>
      </c>
      <c r="EU302" s="76">
        <v>30231</v>
      </c>
      <c r="EV302" s="76">
        <v>-4706</v>
      </c>
      <c r="EW302" s="76">
        <v>0</v>
      </c>
      <c r="EX302" s="76">
        <v>0</v>
      </c>
      <c r="EY302" s="76">
        <v>-23003</v>
      </c>
      <c r="EZ302" s="76">
        <v>662118</v>
      </c>
      <c r="FA302" s="76">
        <v>0</v>
      </c>
      <c r="FB302" s="76">
        <v>17721</v>
      </c>
      <c r="FC302" s="76">
        <v>1679</v>
      </c>
      <c r="FD302" s="76">
        <v>-18627</v>
      </c>
      <c r="FE302" s="76">
        <v>-773</v>
      </c>
      <c r="FF302" s="76">
        <v>0</v>
      </c>
      <c r="FG302" s="76">
        <v>0</v>
      </c>
      <c r="FH302" s="76">
        <v>0</v>
      </c>
      <c r="FI302" s="76">
        <v>662118</v>
      </c>
      <c r="FJ302" s="76">
        <v>659596</v>
      </c>
      <c r="FK302" s="76">
        <v>463</v>
      </c>
      <c r="FL302" s="76">
        <v>461</v>
      </c>
      <c r="FM302" s="76">
        <v>2</v>
      </c>
      <c r="FN302" s="76">
        <v>2509</v>
      </c>
      <c r="FO302" s="76">
        <v>3165</v>
      </c>
      <c r="FP302" s="76">
        <v>-656</v>
      </c>
      <c r="FQ302" s="76">
        <v>1753</v>
      </c>
      <c r="FR302" s="76">
        <v>1865</v>
      </c>
      <c r="FS302" s="76">
        <v>-112</v>
      </c>
      <c r="FT302" s="76">
        <v>0</v>
      </c>
      <c r="FU302" s="76">
        <v>9</v>
      </c>
      <c r="FV302" s="76">
        <v>-9</v>
      </c>
      <c r="FW302" s="76">
        <v>0</v>
      </c>
      <c r="FX302" s="76">
        <v>0</v>
      </c>
      <c r="FY302" s="76">
        <v>0</v>
      </c>
      <c r="FZ302" s="76">
        <v>47</v>
      </c>
      <c r="GA302" s="76">
        <v>0</v>
      </c>
      <c r="GB302" s="76">
        <v>47</v>
      </c>
      <c r="GC302" s="76">
        <v>4772</v>
      </c>
      <c r="GD302" s="76">
        <v>5500</v>
      </c>
      <c r="GE302" s="76">
        <v>-728</v>
      </c>
      <c r="GF302" s="76">
        <v>0</v>
      </c>
      <c r="GG302" s="76">
        <v>0</v>
      </c>
      <c r="GH302" s="76">
        <v>0</v>
      </c>
      <c r="GI302" s="76">
        <v>0</v>
      </c>
      <c r="GJ302" s="76">
        <v>0</v>
      </c>
      <c r="GK302" s="76">
        <v>304</v>
      </c>
      <c r="GL302" s="76">
        <v>304</v>
      </c>
      <c r="GM302" s="76">
        <v>3640</v>
      </c>
      <c r="GN302" s="76">
        <v>1138</v>
      </c>
      <c r="GO302" s="76">
        <v>0</v>
      </c>
      <c r="GP302" s="76">
        <v>27</v>
      </c>
      <c r="GQ302" s="76">
        <v>0</v>
      </c>
      <c r="GR302" s="76">
        <v>4935</v>
      </c>
      <c r="GS302" s="76">
        <v>0</v>
      </c>
      <c r="GT302" s="76">
        <v>0</v>
      </c>
      <c r="GU302" s="76">
        <v>0</v>
      </c>
      <c r="GV302" s="76">
        <v>0</v>
      </c>
      <c r="GW302" s="76">
        <v>3991</v>
      </c>
      <c r="GX302" s="76">
        <v>13731</v>
      </c>
      <c r="GY302" s="76">
        <v>209</v>
      </c>
      <c r="GZ302" s="76">
        <v>2620</v>
      </c>
      <c r="HA302" s="76">
        <v>0</v>
      </c>
      <c r="HB302" s="76">
        <v>0</v>
      </c>
      <c r="HC302" s="76">
        <v>2829</v>
      </c>
      <c r="HD302" s="76">
        <v>0</v>
      </c>
      <c r="HE302" s="76">
        <v>0</v>
      </c>
      <c r="HF302" s="76">
        <v>0</v>
      </c>
      <c r="HG302" s="76">
        <v>19306</v>
      </c>
      <c r="HH302" s="76">
        <v>0</v>
      </c>
      <c r="HI302" s="76">
        <v>806</v>
      </c>
      <c r="HJ302" s="76">
        <v>0</v>
      </c>
      <c r="HK302" s="76">
        <v>0</v>
      </c>
      <c r="HL302" s="76">
        <v>0</v>
      </c>
      <c r="HM302" s="76">
        <v>20112</v>
      </c>
      <c r="HN302" s="76">
        <v>18250</v>
      </c>
      <c r="HO302" s="76">
        <v>19222</v>
      </c>
      <c r="HP302" s="76">
        <v>1679</v>
      </c>
      <c r="HQ302" s="76">
        <v>191</v>
      </c>
      <c r="HR302" s="76">
        <v>-290</v>
      </c>
      <c r="HS302" s="76">
        <v>-1</v>
      </c>
      <c r="HT302" s="76">
        <v>31202</v>
      </c>
      <c r="HU302" s="76">
        <v>0</v>
      </c>
      <c r="HV302" s="76">
        <v>0</v>
      </c>
      <c r="HW302" s="76">
        <v>10</v>
      </c>
      <c r="HX302" s="76">
        <v>421</v>
      </c>
    </row>
    <row r="303" spans="1:232" x14ac:dyDescent="0.2">
      <c r="A303" s="74" t="s">
        <v>810</v>
      </c>
      <c r="B303" s="74" t="s">
        <v>809</v>
      </c>
      <c r="C303" s="75" t="s">
        <v>200</v>
      </c>
      <c r="D303" s="75">
        <v>12</v>
      </c>
      <c r="E303" s="76">
        <v>99578</v>
      </c>
      <c r="F303" s="76">
        <v>-1696</v>
      </c>
      <c r="G303" s="76">
        <v>-62904</v>
      </c>
      <c r="H303" s="76">
        <v>34978</v>
      </c>
      <c r="I303" s="76">
        <v>5801</v>
      </c>
      <c r="J303" s="76">
        <v>362</v>
      </c>
      <c r="K303" s="76">
        <v>0</v>
      </c>
      <c r="L303" s="76">
        <v>0</v>
      </c>
      <c r="M303" s="76">
        <v>706</v>
      </c>
      <c r="N303" s="76">
        <v>-18717</v>
      </c>
      <c r="O303" s="76">
        <v>20</v>
      </c>
      <c r="P303" s="76">
        <v>-30</v>
      </c>
      <c r="Q303" s="76">
        <v>0</v>
      </c>
      <c r="R303" s="76">
        <v>0</v>
      </c>
      <c r="S303" s="76">
        <v>23120</v>
      </c>
      <c r="T303" s="76">
        <v>0</v>
      </c>
      <c r="U303" s="76">
        <v>23120</v>
      </c>
      <c r="V303" s="76">
        <v>0</v>
      </c>
      <c r="W303" s="76">
        <v>-8682</v>
      </c>
      <c r="X303" s="76">
        <v>0</v>
      </c>
      <c r="Y303" s="76">
        <v>0</v>
      </c>
      <c r="Z303" s="76">
        <v>14438</v>
      </c>
      <c r="AA303" s="76">
        <v>88339</v>
      </c>
      <c r="AB303" s="76">
        <v>4035</v>
      </c>
      <c r="AC303" s="76">
        <v>92374</v>
      </c>
      <c r="AD303" s="76">
        <v>605</v>
      </c>
      <c r="AE303" s="76">
        <v>0</v>
      </c>
      <c r="AF303" s="76">
        <v>566</v>
      </c>
      <c r="AG303" s="76">
        <v>0</v>
      </c>
      <c r="AH303" s="76">
        <v>93545</v>
      </c>
      <c r="AI303" s="76">
        <v>12415</v>
      </c>
      <c r="AJ303" s="76">
        <v>4422</v>
      </c>
      <c r="AK303" s="76">
        <v>9936</v>
      </c>
      <c r="AL303" s="76">
        <v>14826</v>
      </c>
      <c r="AM303" s="76">
        <v>7223</v>
      </c>
      <c r="AN303" s="76">
        <v>598</v>
      </c>
      <c r="AO303" s="76">
        <v>9013</v>
      </c>
      <c r="AP303" s="76">
        <v>0</v>
      </c>
      <c r="AQ303" s="76">
        <v>0</v>
      </c>
      <c r="AR303" s="76">
        <v>58433</v>
      </c>
      <c r="AS303" s="76">
        <v>35112</v>
      </c>
      <c r="AT303" s="76">
        <v>565</v>
      </c>
      <c r="AU303" s="76">
        <v>377038</v>
      </c>
      <c r="AV303" s="76">
        <v>0</v>
      </c>
      <c r="AW303" s="76">
        <v>14896</v>
      </c>
      <c r="AX303" s="76">
        <v>1787</v>
      </c>
      <c r="AY303" s="76">
        <v>137</v>
      </c>
      <c r="AZ303" s="76">
        <v>8154</v>
      </c>
      <c r="BA303" s="76">
        <v>0</v>
      </c>
      <c r="BB303" s="76">
        <v>0</v>
      </c>
      <c r="BC303" s="76">
        <v>0</v>
      </c>
      <c r="BD303" s="76">
        <v>100</v>
      </c>
      <c r="BE303" s="76">
        <v>402112</v>
      </c>
      <c r="BF303" s="76">
        <v>3743</v>
      </c>
      <c r="BG303" s="76">
        <v>5951</v>
      </c>
      <c r="BH303" s="76">
        <v>15587</v>
      </c>
      <c r="BI303" s="76">
        <v>63581</v>
      </c>
      <c r="BJ303" s="76">
        <v>5323</v>
      </c>
      <c r="BK303" s="76">
        <v>94185</v>
      </c>
      <c r="BL303" s="76">
        <v>0</v>
      </c>
      <c r="BM303" s="76">
        <v>0</v>
      </c>
      <c r="BN303" s="76">
        <v>597</v>
      </c>
      <c r="BO303" s="76">
        <v>22911</v>
      </c>
      <c r="BP303" s="76">
        <v>23508</v>
      </c>
      <c r="BQ303" s="76">
        <v>70677</v>
      </c>
      <c r="BR303" s="76">
        <v>472789</v>
      </c>
      <c r="BS303" s="76">
        <v>163405</v>
      </c>
      <c r="BT303" s="76">
        <v>172374</v>
      </c>
      <c r="BU303" s="76">
        <v>0</v>
      </c>
      <c r="BV303" s="76">
        <v>44976</v>
      </c>
      <c r="BW303" s="76">
        <v>0</v>
      </c>
      <c r="BX303" s="76">
        <v>14720</v>
      </c>
      <c r="BY303" s="76">
        <v>2399</v>
      </c>
      <c r="BZ303" s="76">
        <v>397874</v>
      </c>
      <c r="CA303" s="76">
        <v>20926</v>
      </c>
      <c r="CB303" s="76">
        <v>647</v>
      </c>
      <c r="CC303" s="76">
        <v>53342</v>
      </c>
      <c r="CD303" s="76">
        <v>53342</v>
      </c>
      <c r="CE303" s="76">
        <v>0</v>
      </c>
      <c r="CF303" s="76">
        <v>0</v>
      </c>
      <c r="CG303" s="76">
        <v>0</v>
      </c>
      <c r="CH303" s="76">
        <v>0</v>
      </c>
      <c r="CI303" s="76">
        <v>53342</v>
      </c>
      <c r="CJ303" s="76">
        <v>2496</v>
      </c>
      <c r="CK303" s="76">
        <v>1696</v>
      </c>
      <c r="CL303" s="76">
        <v>0</v>
      </c>
      <c r="CM303" s="76">
        <v>800</v>
      </c>
      <c r="CN303" s="76">
        <v>0</v>
      </c>
      <c r="CO303" s="76">
        <v>0</v>
      </c>
      <c r="CP303" s="76">
        <v>571</v>
      </c>
      <c r="CQ303" s="76">
        <v>-571</v>
      </c>
      <c r="CR303" s="76">
        <v>0</v>
      </c>
      <c r="CS303" s="76">
        <v>0</v>
      </c>
      <c r="CT303" s="76">
        <v>646</v>
      </c>
      <c r="CU303" s="76">
        <v>-646</v>
      </c>
      <c r="CV303" s="76">
        <v>0</v>
      </c>
      <c r="CW303" s="76">
        <v>0</v>
      </c>
      <c r="CX303" s="76">
        <v>0</v>
      </c>
      <c r="CY303" s="76">
        <v>0</v>
      </c>
      <c r="CZ303" s="76">
        <v>1555</v>
      </c>
      <c r="DA303" s="76">
        <v>0</v>
      </c>
      <c r="DB303" s="76">
        <v>1720</v>
      </c>
      <c r="DC303" s="76">
        <v>-165</v>
      </c>
      <c r="DD303" s="76">
        <v>4051</v>
      </c>
      <c r="DE303" s="76">
        <v>1696</v>
      </c>
      <c r="DF303" s="76">
        <v>2937</v>
      </c>
      <c r="DG303" s="76">
        <v>-582</v>
      </c>
      <c r="DH303" s="76">
        <v>0</v>
      </c>
      <c r="DI303" s="76">
        <v>0</v>
      </c>
      <c r="DJ303" s="76">
        <v>0</v>
      </c>
      <c r="DK303" s="76">
        <v>0</v>
      </c>
      <c r="DL303" s="76">
        <v>0</v>
      </c>
      <c r="DM303" s="76">
        <v>0</v>
      </c>
      <c r="DN303" s="76">
        <v>0</v>
      </c>
      <c r="DO303" s="76">
        <v>0</v>
      </c>
      <c r="DP303" s="76">
        <v>0</v>
      </c>
      <c r="DQ303" s="76">
        <v>0</v>
      </c>
      <c r="DR303" s="76">
        <v>0</v>
      </c>
      <c r="DS303" s="76">
        <v>0</v>
      </c>
      <c r="DT303" s="76">
        <v>472</v>
      </c>
      <c r="DU303" s="76">
        <v>0</v>
      </c>
      <c r="DV303" s="76">
        <v>94</v>
      </c>
      <c r="DW303" s="76">
        <v>378</v>
      </c>
      <c r="DX303" s="76">
        <v>0</v>
      </c>
      <c r="DY303" s="76">
        <v>0</v>
      </c>
      <c r="DZ303" s="76">
        <v>0</v>
      </c>
      <c r="EA303" s="76">
        <v>0</v>
      </c>
      <c r="EB303" s="76">
        <v>1510</v>
      </c>
      <c r="EC303" s="76">
        <v>0</v>
      </c>
      <c r="ED303" s="76">
        <v>1440</v>
      </c>
      <c r="EE303" s="76">
        <v>70</v>
      </c>
      <c r="EF303" s="76">
        <v>1982</v>
      </c>
      <c r="EG303" s="76">
        <v>0</v>
      </c>
      <c r="EH303" s="76">
        <v>1534</v>
      </c>
      <c r="EI303" s="76">
        <v>448</v>
      </c>
      <c r="EJ303" s="76">
        <v>6033</v>
      </c>
      <c r="EK303" s="76">
        <v>1696</v>
      </c>
      <c r="EL303" s="76">
        <v>4471</v>
      </c>
      <c r="EM303" s="76">
        <v>-134</v>
      </c>
      <c r="EN303" s="76">
        <v>1908</v>
      </c>
      <c r="EO303" s="76">
        <v>744</v>
      </c>
      <c r="EP303" s="76">
        <v>980</v>
      </c>
      <c r="EQ303" s="76">
        <v>744</v>
      </c>
      <c r="ER303" s="76">
        <v>406600</v>
      </c>
      <c r="ES303" s="76">
        <v>0</v>
      </c>
      <c r="ET303" s="76">
        <v>406600</v>
      </c>
      <c r="EU303" s="76">
        <v>58901</v>
      </c>
      <c r="EV303" s="76">
        <v>-1958</v>
      </c>
      <c r="EW303" s="76">
        <v>0</v>
      </c>
      <c r="EX303" s="76">
        <v>0</v>
      </c>
      <c r="EY303" s="76">
        <v>0</v>
      </c>
      <c r="EZ303" s="76">
        <v>463543</v>
      </c>
      <c r="FA303" s="76">
        <v>78220</v>
      </c>
      <c r="FB303" s="76">
        <v>9020</v>
      </c>
      <c r="FC303" s="76">
        <v>0</v>
      </c>
      <c r="FD303" s="76">
        <v>0</v>
      </c>
      <c r="FE303" s="76">
        <v>-735</v>
      </c>
      <c r="FF303" s="76">
        <v>0</v>
      </c>
      <c r="FG303" s="76">
        <v>0</v>
      </c>
      <c r="FH303" s="76">
        <v>86505</v>
      </c>
      <c r="FI303" s="76">
        <v>377038</v>
      </c>
      <c r="FJ303" s="76">
        <v>328380</v>
      </c>
      <c r="FK303" s="76">
        <v>0</v>
      </c>
      <c r="FL303" s="76">
        <v>0</v>
      </c>
      <c r="FM303" s="76">
        <v>0</v>
      </c>
      <c r="FN303" s="76">
        <v>3896</v>
      </c>
      <c r="FO303" s="76">
        <v>870</v>
      </c>
      <c r="FP303" s="76">
        <v>3026</v>
      </c>
      <c r="FQ303" s="76">
        <v>82</v>
      </c>
      <c r="FR303" s="76">
        <v>263</v>
      </c>
      <c r="FS303" s="76">
        <v>-181</v>
      </c>
      <c r="FT303" s="76">
        <v>1913</v>
      </c>
      <c r="FU303" s="76">
        <v>226</v>
      </c>
      <c r="FV303" s="76">
        <v>1687</v>
      </c>
      <c r="FW303" s="76">
        <v>0</v>
      </c>
      <c r="FX303" s="76">
        <v>0</v>
      </c>
      <c r="FY303" s="76">
        <v>0</v>
      </c>
      <c r="FZ303" s="76">
        <v>1378</v>
      </c>
      <c r="GA303" s="76">
        <v>109</v>
      </c>
      <c r="GB303" s="76">
        <v>1269</v>
      </c>
      <c r="GC303" s="76">
        <v>7269</v>
      </c>
      <c r="GD303" s="76">
        <v>1468</v>
      </c>
      <c r="GE303" s="76">
        <v>5801</v>
      </c>
      <c r="GF303" s="76">
        <v>1233</v>
      </c>
      <c r="GG303" s="76">
        <v>0</v>
      </c>
      <c r="GH303" s="76">
        <v>3965</v>
      </c>
      <c r="GI303" s="76">
        <v>0</v>
      </c>
      <c r="GJ303" s="76">
        <v>0</v>
      </c>
      <c r="GK303" s="76">
        <v>125</v>
      </c>
      <c r="GL303" s="76">
        <v>5323</v>
      </c>
      <c r="GM303" s="76">
        <v>3103</v>
      </c>
      <c r="GN303" s="76">
        <v>2575</v>
      </c>
      <c r="GO303" s="76">
        <v>3119</v>
      </c>
      <c r="GP303" s="76">
        <v>0</v>
      </c>
      <c r="GQ303" s="76">
        <v>0</v>
      </c>
      <c r="GR303" s="76">
        <v>7646</v>
      </c>
      <c r="GS303" s="76">
        <v>0</v>
      </c>
      <c r="GT303" s="76">
        <v>0</v>
      </c>
      <c r="GU303" s="76">
        <v>0</v>
      </c>
      <c r="GV303" s="76">
        <v>0</v>
      </c>
      <c r="GW303" s="76">
        <v>6468</v>
      </c>
      <c r="GX303" s="76">
        <v>22911</v>
      </c>
      <c r="GY303" s="76">
        <v>48</v>
      </c>
      <c r="GZ303" s="76">
        <v>1913</v>
      </c>
      <c r="HA303" s="76">
        <v>438</v>
      </c>
      <c r="HB303" s="76">
        <v>0</v>
      </c>
      <c r="HC303" s="76">
        <v>2399</v>
      </c>
      <c r="HD303" s="76">
        <v>0</v>
      </c>
      <c r="HE303" s="76">
        <v>647</v>
      </c>
      <c r="HF303" s="76">
        <v>647</v>
      </c>
      <c r="HG303" s="76">
        <v>19209</v>
      </c>
      <c r="HH303" s="76">
        <v>52</v>
      </c>
      <c r="HI303" s="76">
        <v>360</v>
      </c>
      <c r="HJ303" s="76">
        <v>0</v>
      </c>
      <c r="HK303" s="76">
        <v>9</v>
      </c>
      <c r="HL303" s="76">
        <v>-913</v>
      </c>
      <c r="HM303" s="76">
        <v>18717</v>
      </c>
      <c r="HN303" s="76">
        <v>7757</v>
      </c>
      <c r="HO303" s="76">
        <v>10265</v>
      </c>
      <c r="HP303" s="76">
        <v>0</v>
      </c>
      <c r="HQ303" s="76">
        <v>334</v>
      </c>
      <c r="HR303" s="76">
        <v>-141</v>
      </c>
      <c r="HS303" s="76">
        <v>32</v>
      </c>
      <c r="HT303" s="76">
        <v>20189</v>
      </c>
      <c r="HU303" s="76">
        <v>43</v>
      </c>
      <c r="HV303" s="76">
        <v>0</v>
      </c>
      <c r="HW303" s="76">
        <v>1</v>
      </c>
      <c r="HX303" s="76">
        <v>100</v>
      </c>
    </row>
    <row r="304" spans="1:232" x14ac:dyDescent="0.2">
      <c r="A304" s="74" t="s">
        <v>813</v>
      </c>
      <c r="B304" s="74" t="s">
        <v>812</v>
      </c>
      <c r="C304" s="75" t="s">
        <v>200</v>
      </c>
      <c r="D304" s="75">
        <v>12</v>
      </c>
      <c r="E304" s="76">
        <v>58088</v>
      </c>
      <c r="F304" s="76">
        <v>-7711</v>
      </c>
      <c r="G304" s="76">
        <v>-34736</v>
      </c>
      <c r="H304" s="76">
        <v>15641</v>
      </c>
      <c r="I304" s="76">
        <v>5395</v>
      </c>
      <c r="J304" s="76">
        <v>67</v>
      </c>
      <c r="K304" s="76">
        <v>0</v>
      </c>
      <c r="L304" s="76">
        <v>0</v>
      </c>
      <c r="M304" s="76">
        <v>1711</v>
      </c>
      <c r="N304" s="76">
        <v>-11552</v>
      </c>
      <c r="O304" s="76">
        <v>547</v>
      </c>
      <c r="P304" s="76">
        <v>-147</v>
      </c>
      <c r="Q304" s="76">
        <v>0</v>
      </c>
      <c r="R304" s="76">
        <v>0</v>
      </c>
      <c r="S304" s="76">
        <v>11662</v>
      </c>
      <c r="T304" s="76">
        <v>0</v>
      </c>
      <c r="U304" s="76">
        <v>11662</v>
      </c>
      <c r="V304" s="76">
        <v>0</v>
      </c>
      <c r="W304" s="76">
        <v>0</v>
      </c>
      <c r="X304" s="76">
        <v>-1021</v>
      </c>
      <c r="Y304" s="76">
        <v>0</v>
      </c>
      <c r="Z304" s="76">
        <v>10641</v>
      </c>
      <c r="AA304" s="76">
        <v>37923</v>
      </c>
      <c r="AB304" s="76">
        <v>3393</v>
      </c>
      <c r="AC304" s="76">
        <v>41316</v>
      </c>
      <c r="AD304" s="76">
        <v>2666</v>
      </c>
      <c r="AE304" s="76">
        <v>0</v>
      </c>
      <c r="AF304" s="76">
        <v>0</v>
      </c>
      <c r="AG304" s="76">
        <v>0</v>
      </c>
      <c r="AH304" s="76">
        <v>43982</v>
      </c>
      <c r="AI304" s="76">
        <v>11270</v>
      </c>
      <c r="AJ304" s="76">
        <v>3336</v>
      </c>
      <c r="AK304" s="76">
        <v>5111</v>
      </c>
      <c r="AL304" s="76">
        <v>2860</v>
      </c>
      <c r="AM304" s="76">
        <v>2042</v>
      </c>
      <c r="AN304" s="76">
        <v>80</v>
      </c>
      <c r="AO304" s="76">
        <v>8270</v>
      </c>
      <c r="AP304" s="76">
        <v>369</v>
      </c>
      <c r="AQ304" s="76">
        <v>0</v>
      </c>
      <c r="AR304" s="76">
        <v>33338</v>
      </c>
      <c r="AS304" s="76">
        <v>10644</v>
      </c>
      <c r="AT304" s="76">
        <v>451</v>
      </c>
      <c r="AU304" s="76">
        <v>837010</v>
      </c>
      <c r="AV304" s="76">
        <v>0</v>
      </c>
      <c r="AW304" s="76">
        <v>261</v>
      </c>
      <c r="AX304" s="76">
        <v>0</v>
      </c>
      <c r="AY304" s="76">
        <v>2090</v>
      </c>
      <c r="AZ304" s="76">
        <v>5070</v>
      </c>
      <c r="BA304" s="76">
        <v>0</v>
      </c>
      <c r="BB304" s="76">
        <v>0</v>
      </c>
      <c r="BC304" s="76">
        <v>0</v>
      </c>
      <c r="BD304" s="76">
        <v>422</v>
      </c>
      <c r="BE304" s="76">
        <v>844853</v>
      </c>
      <c r="BF304" s="76">
        <v>9167</v>
      </c>
      <c r="BG304" s="76">
        <v>3334</v>
      </c>
      <c r="BH304" s="76">
        <v>6162</v>
      </c>
      <c r="BI304" s="76">
        <v>0</v>
      </c>
      <c r="BJ304" s="76">
        <v>2738</v>
      </c>
      <c r="BK304" s="76">
        <v>21401</v>
      </c>
      <c r="BL304" s="76">
        <v>6079</v>
      </c>
      <c r="BM304" s="76">
        <v>0</v>
      </c>
      <c r="BN304" s="76">
        <v>3596</v>
      </c>
      <c r="BO304" s="76">
        <v>19467</v>
      </c>
      <c r="BP304" s="76">
        <v>29142</v>
      </c>
      <c r="BQ304" s="76">
        <v>-7741</v>
      </c>
      <c r="BR304" s="76">
        <v>837112</v>
      </c>
      <c r="BS304" s="76">
        <v>275581</v>
      </c>
      <c r="BT304" s="76">
        <v>0</v>
      </c>
      <c r="BU304" s="76">
        <v>0</v>
      </c>
      <c r="BV304" s="76">
        <v>396848</v>
      </c>
      <c r="BW304" s="76">
        <v>2090</v>
      </c>
      <c r="BX304" s="76">
        <v>44169</v>
      </c>
      <c r="BY304" s="76">
        <v>11473</v>
      </c>
      <c r="BZ304" s="76">
        <v>730161</v>
      </c>
      <c r="CA304" s="76">
        <v>0</v>
      </c>
      <c r="CB304" s="76">
        <v>0</v>
      </c>
      <c r="CC304" s="76">
        <v>106951</v>
      </c>
      <c r="CD304" s="76">
        <v>127750</v>
      </c>
      <c r="CE304" s="76">
        <v>0</v>
      </c>
      <c r="CF304" s="76">
        <v>0</v>
      </c>
      <c r="CG304" s="76">
        <v>-20799</v>
      </c>
      <c r="CH304" s="76">
        <v>0</v>
      </c>
      <c r="CI304" s="76">
        <v>106951</v>
      </c>
      <c r="CJ304" s="76">
        <v>8795</v>
      </c>
      <c r="CK304" s="76">
        <v>6998</v>
      </c>
      <c r="CL304" s="76">
        <v>611</v>
      </c>
      <c r="CM304" s="76">
        <v>1186</v>
      </c>
      <c r="CN304" s="76">
        <v>0</v>
      </c>
      <c r="CO304" s="76">
        <v>0</v>
      </c>
      <c r="CP304" s="76">
        <v>0</v>
      </c>
      <c r="CQ304" s="76">
        <v>0</v>
      </c>
      <c r="CR304" s="76">
        <v>762</v>
      </c>
      <c r="CS304" s="76">
        <v>713</v>
      </c>
      <c r="CT304" s="76">
        <v>336</v>
      </c>
      <c r="CU304" s="76">
        <v>-287</v>
      </c>
      <c r="CV304" s="76">
        <v>0</v>
      </c>
      <c r="CW304" s="76">
        <v>0</v>
      </c>
      <c r="CX304" s="76">
        <v>0</v>
      </c>
      <c r="CY304" s="76">
        <v>0</v>
      </c>
      <c r="CZ304" s="76">
        <v>4348</v>
      </c>
      <c r="DA304" s="76">
        <v>0</v>
      </c>
      <c r="DB304" s="76">
        <v>388</v>
      </c>
      <c r="DC304" s="76">
        <v>3960</v>
      </c>
      <c r="DD304" s="76">
        <v>13905</v>
      </c>
      <c r="DE304" s="76">
        <v>7711</v>
      </c>
      <c r="DF304" s="76">
        <v>1335</v>
      </c>
      <c r="DG304" s="76">
        <v>4859</v>
      </c>
      <c r="DH304" s="76">
        <v>0</v>
      </c>
      <c r="DI304" s="76">
        <v>0</v>
      </c>
      <c r="DJ304" s="76">
        <v>0</v>
      </c>
      <c r="DK304" s="76">
        <v>0</v>
      </c>
      <c r="DL304" s="76">
        <v>0</v>
      </c>
      <c r="DM304" s="76">
        <v>0</v>
      </c>
      <c r="DN304" s="76">
        <v>0</v>
      </c>
      <c r="DO304" s="76">
        <v>0</v>
      </c>
      <c r="DP304" s="76">
        <v>0</v>
      </c>
      <c r="DQ304" s="76">
        <v>0</v>
      </c>
      <c r="DR304" s="76">
        <v>0</v>
      </c>
      <c r="DS304" s="76">
        <v>0</v>
      </c>
      <c r="DT304" s="76">
        <v>62</v>
      </c>
      <c r="DU304" s="76">
        <v>0</v>
      </c>
      <c r="DV304" s="76">
        <v>20</v>
      </c>
      <c r="DW304" s="76">
        <v>42</v>
      </c>
      <c r="DX304" s="76">
        <v>0</v>
      </c>
      <c r="DY304" s="76">
        <v>0</v>
      </c>
      <c r="DZ304" s="76">
        <v>0</v>
      </c>
      <c r="EA304" s="76">
        <v>0</v>
      </c>
      <c r="EB304" s="76">
        <v>139</v>
      </c>
      <c r="EC304" s="76">
        <v>0</v>
      </c>
      <c r="ED304" s="76">
        <v>43</v>
      </c>
      <c r="EE304" s="76">
        <v>96</v>
      </c>
      <c r="EF304" s="76">
        <v>201</v>
      </c>
      <c r="EG304" s="76">
        <v>0</v>
      </c>
      <c r="EH304" s="76">
        <v>63</v>
      </c>
      <c r="EI304" s="76">
        <v>138</v>
      </c>
      <c r="EJ304" s="76">
        <v>14106</v>
      </c>
      <c r="EK304" s="76">
        <v>7711</v>
      </c>
      <c r="EL304" s="76">
        <v>1398</v>
      </c>
      <c r="EM304" s="76">
        <v>4997</v>
      </c>
      <c r="EN304" s="76">
        <v>1968</v>
      </c>
      <c r="EO304" s="76">
        <v>521</v>
      </c>
      <c r="EP304" s="76">
        <v>645</v>
      </c>
      <c r="EQ304" s="76">
        <v>521</v>
      </c>
      <c r="ER304" s="76">
        <v>857144</v>
      </c>
      <c r="ES304" s="76">
        <v>0</v>
      </c>
      <c r="ET304" s="76">
        <v>857144</v>
      </c>
      <c r="EU304" s="76">
        <v>67407</v>
      </c>
      <c r="EV304" s="76">
        <v>-14033</v>
      </c>
      <c r="EW304" s="76">
        <v>0</v>
      </c>
      <c r="EX304" s="76">
        <v>-450</v>
      </c>
      <c r="EY304" s="76">
        <v>-4102</v>
      </c>
      <c r="EZ304" s="76">
        <v>905966</v>
      </c>
      <c r="FA304" s="76">
        <v>62779</v>
      </c>
      <c r="FB304" s="76">
        <v>6923</v>
      </c>
      <c r="FC304" s="76">
        <v>556</v>
      </c>
      <c r="FD304" s="76">
        <v>0</v>
      </c>
      <c r="FE304" s="76">
        <v>-1302</v>
      </c>
      <c r="FF304" s="76">
        <v>0</v>
      </c>
      <c r="FG304" s="76">
        <v>0</v>
      </c>
      <c r="FH304" s="76">
        <v>68956</v>
      </c>
      <c r="FI304" s="76">
        <v>837010</v>
      </c>
      <c r="FJ304" s="76">
        <v>794365</v>
      </c>
      <c r="FK304" s="76">
        <v>4424</v>
      </c>
      <c r="FL304" s="76">
        <v>2559</v>
      </c>
      <c r="FM304" s="76">
        <v>1865</v>
      </c>
      <c r="FN304" s="76">
        <v>0</v>
      </c>
      <c r="FO304" s="76">
        <v>0</v>
      </c>
      <c r="FP304" s="76">
        <v>0</v>
      </c>
      <c r="FQ304" s="76">
        <v>0</v>
      </c>
      <c r="FR304" s="76">
        <v>3</v>
      </c>
      <c r="FS304" s="76">
        <v>-3</v>
      </c>
      <c r="FT304" s="76">
        <v>6288</v>
      </c>
      <c r="FU304" s="76">
        <v>2755</v>
      </c>
      <c r="FV304" s="76">
        <v>3533</v>
      </c>
      <c r="FW304" s="76">
        <v>0</v>
      </c>
      <c r="FX304" s="76">
        <v>0</v>
      </c>
      <c r="FY304" s="76">
        <v>0</v>
      </c>
      <c r="FZ304" s="76">
        <v>0</v>
      </c>
      <c r="GA304" s="76">
        <v>0</v>
      </c>
      <c r="GB304" s="76">
        <v>0</v>
      </c>
      <c r="GC304" s="76">
        <v>10712</v>
      </c>
      <c r="GD304" s="76">
        <v>5317</v>
      </c>
      <c r="GE304" s="76">
        <v>5395</v>
      </c>
      <c r="GF304" s="76">
        <v>289</v>
      </c>
      <c r="GG304" s="76">
        <v>0</v>
      </c>
      <c r="GH304" s="76">
        <v>291</v>
      </c>
      <c r="GI304" s="76">
        <v>0</v>
      </c>
      <c r="GJ304" s="76">
        <v>0</v>
      </c>
      <c r="GK304" s="76">
        <v>2158</v>
      </c>
      <c r="GL304" s="76">
        <v>2738</v>
      </c>
      <c r="GM304" s="76">
        <v>2707</v>
      </c>
      <c r="GN304" s="76">
        <v>2282</v>
      </c>
      <c r="GO304" s="76">
        <v>1351</v>
      </c>
      <c r="GP304" s="76">
        <v>3911</v>
      </c>
      <c r="GQ304" s="76">
        <v>0</v>
      </c>
      <c r="GR304" s="76">
        <v>4437</v>
      </c>
      <c r="GS304" s="76">
        <v>0</v>
      </c>
      <c r="GT304" s="76">
        <v>0</v>
      </c>
      <c r="GU304" s="76">
        <v>572</v>
      </c>
      <c r="GV304" s="76">
        <v>0</v>
      </c>
      <c r="GW304" s="76">
        <v>4207</v>
      </c>
      <c r="GX304" s="76">
        <v>19467</v>
      </c>
      <c r="GY304" s="76">
        <v>6920</v>
      </c>
      <c r="GZ304" s="76">
        <v>599</v>
      </c>
      <c r="HA304" s="76">
        <v>3954</v>
      </c>
      <c r="HB304" s="76">
        <v>0</v>
      </c>
      <c r="HC304" s="76">
        <v>11473</v>
      </c>
      <c r="HD304" s="76">
        <v>0</v>
      </c>
      <c r="HE304" s="76">
        <v>0</v>
      </c>
      <c r="HF304" s="76">
        <v>0</v>
      </c>
      <c r="HG304" s="76">
        <v>12888</v>
      </c>
      <c r="HH304" s="76">
        <v>0</v>
      </c>
      <c r="HI304" s="76">
        <v>228</v>
      </c>
      <c r="HJ304" s="76">
        <v>47</v>
      </c>
      <c r="HK304" s="76">
        <v>42</v>
      </c>
      <c r="HL304" s="76">
        <v>-1653</v>
      </c>
      <c r="HM304" s="76">
        <v>11552</v>
      </c>
      <c r="HN304" s="76">
        <v>8633</v>
      </c>
      <c r="HO304" s="76">
        <v>8628</v>
      </c>
      <c r="HP304" s="76">
        <v>363</v>
      </c>
      <c r="HQ304" s="76">
        <v>122</v>
      </c>
      <c r="HR304" s="76">
        <v>-10</v>
      </c>
      <c r="HS304" s="76">
        <v>14</v>
      </c>
      <c r="HT304" s="76">
        <v>7018</v>
      </c>
      <c r="HU304" s="76">
        <v>0</v>
      </c>
      <c r="HV304" s="76">
        <v>0</v>
      </c>
      <c r="HW304" s="76">
        <v>-6</v>
      </c>
      <c r="HX304" s="76">
        <v>8</v>
      </c>
    </row>
    <row r="305" spans="1:232" x14ac:dyDescent="0.2">
      <c r="A305" s="74" t="s">
        <v>814</v>
      </c>
      <c r="B305" s="74" t="s">
        <v>815</v>
      </c>
      <c r="C305" s="75" t="s">
        <v>200</v>
      </c>
      <c r="D305" s="75">
        <v>12</v>
      </c>
      <c r="E305" s="76">
        <v>27257</v>
      </c>
      <c r="F305" s="76">
        <v>-2637</v>
      </c>
      <c r="G305" s="76">
        <v>-20663</v>
      </c>
      <c r="H305" s="76">
        <v>3957</v>
      </c>
      <c r="I305" s="76">
        <v>258</v>
      </c>
      <c r="J305" s="76">
        <v>0</v>
      </c>
      <c r="K305" s="76">
        <v>0</v>
      </c>
      <c r="L305" s="76">
        <v>0</v>
      </c>
      <c r="M305" s="76">
        <v>74</v>
      </c>
      <c r="N305" s="76">
        <v>-416</v>
      </c>
      <c r="O305" s="76">
        <v>0</v>
      </c>
      <c r="P305" s="76">
        <v>0</v>
      </c>
      <c r="Q305" s="76">
        <v>0</v>
      </c>
      <c r="R305" s="76">
        <v>0</v>
      </c>
      <c r="S305" s="76">
        <v>3873</v>
      </c>
      <c r="T305" s="76">
        <v>0</v>
      </c>
      <c r="U305" s="76">
        <v>3873</v>
      </c>
      <c r="V305" s="76">
        <v>0</v>
      </c>
      <c r="W305" s="76">
        <v>810</v>
      </c>
      <c r="X305" s="76">
        <v>0</v>
      </c>
      <c r="Y305" s="76">
        <v>0</v>
      </c>
      <c r="Z305" s="76">
        <v>4683</v>
      </c>
      <c r="AA305" s="76">
        <v>19611</v>
      </c>
      <c r="AB305" s="76">
        <v>717</v>
      </c>
      <c r="AC305" s="76">
        <v>20328</v>
      </c>
      <c r="AD305" s="76">
        <v>1001</v>
      </c>
      <c r="AE305" s="76">
        <v>0</v>
      </c>
      <c r="AF305" s="76">
        <v>0</v>
      </c>
      <c r="AG305" s="76">
        <v>1866</v>
      </c>
      <c r="AH305" s="76">
        <v>23195</v>
      </c>
      <c r="AI305" s="76">
        <v>2857</v>
      </c>
      <c r="AJ305" s="76">
        <v>1994</v>
      </c>
      <c r="AK305" s="76">
        <v>5210</v>
      </c>
      <c r="AL305" s="76">
        <v>641</v>
      </c>
      <c r="AM305" s="76">
        <v>4035</v>
      </c>
      <c r="AN305" s="76">
        <v>167</v>
      </c>
      <c r="AO305" s="76">
        <v>2494</v>
      </c>
      <c r="AP305" s="76">
        <v>0</v>
      </c>
      <c r="AQ305" s="76">
        <v>1877</v>
      </c>
      <c r="AR305" s="76">
        <v>19275</v>
      </c>
      <c r="AS305" s="76">
        <v>3920</v>
      </c>
      <c r="AT305" s="76">
        <v>495</v>
      </c>
      <c r="AU305" s="76">
        <v>78803</v>
      </c>
      <c r="AV305" s="76">
        <v>0</v>
      </c>
      <c r="AW305" s="76">
        <v>2619</v>
      </c>
      <c r="AX305" s="76">
        <v>0</v>
      </c>
      <c r="AY305" s="76">
        <v>0</v>
      </c>
      <c r="AZ305" s="76">
        <v>0</v>
      </c>
      <c r="BA305" s="76">
        <v>0</v>
      </c>
      <c r="BB305" s="76">
        <v>0</v>
      </c>
      <c r="BC305" s="76">
        <v>0</v>
      </c>
      <c r="BD305" s="76">
        <v>0</v>
      </c>
      <c r="BE305" s="76">
        <v>81422</v>
      </c>
      <c r="BF305" s="76">
        <v>0</v>
      </c>
      <c r="BG305" s="76">
        <v>762</v>
      </c>
      <c r="BH305" s="76">
        <v>20082</v>
      </c>
      <c r="BI305" s="76">
        <v>0</v>
      </c>
      <c r="BJ305" s="76">
        <v>27585</v>
      </c>
      <c r="BK305" s="76">
        <v>48429</v>
      </c>
      <c r="BL305" s="76">
        <v>0</v>
      </c>
      <c r="BM305" s="76">
        <v>0</v>
      </c>
      <c r="BN305" s="76">
        <v>1002</v>
      </c>
      <c r="BO305" s="76">
        <v>9575</v>
      </c>
      <c r="BP305" s="76">
        <v>10577</v>
      </c>
      <c r="BQ305" s="76">
        <v>37852</v>
      </c>
      <c r="BR305" s="76">
        <v>119274</v>
      </c>
      <c r="BS305" s="76">
        <v>21000</v>
      </c>
      <c r="BT305" s="76">
        <v>0</v>
      </c>
      <c r="BU305" s="76">
        <v>0</v>
      </c>
      <c r="BV305" s="76">
        <v>25690</v>
      </c>
      <c r="BW305" s="76">
        <v>0</v>
      </c>
      <c r="BX305" s="76">
        <v>0</v>
      </c>
      <c r="BY305" s="76">
        <v>279</v>
      </c>
      <c r="BZ305" s="76">
        <v>46969</v>
      </c>
      <c r="CA305" s="76">
        <v>-1500</v>
      </c>
      <c r="CB305" s="76">
        <v>26870</v>
      </c>
      <c r="CC305" s="76">
        <v>46935</v>
      </c>
      <c r="CD305" s="76">
        <v>46935</v>
      </c>
      <c r="CE305" s="76">
        <v>0</v>
      </c>
      <c r="CF305" s="76">
        <v>0</v>
      </c>
      <c r="CG305" s="76">
        <v>0</v>
      </c>
      <c r="CH305" s="76">
        <v>0</v>
      </c>
      <c r="CI305" s="76">
        <v>46935</v>
      </c>
      <c r="CJ305" s="76">
        <v>0</v>
      </c>
      <c r="CK305" s="76">
        <v>0</v>
      </c>
      <c r="CL305" s="76">
        <v>0</v>
      </c>
      <c r="CM305" s="76">
        <v>0</v>
      </c>
      <c r="CN305" s="76">
        <v>0</v>
      </c>
      <c r="CO305" s="76">
        <v>0</v>
      </c>
      <c r="CP305" s="76">
        <v>0</v>
      </c>
      <c r="CQ305" s="76">
        <v>0</v>
      </c>
      <c r="CR305" s="76">
        <v>0</v>
      </c>
      <c r="CS305" s="76">
        <v>0</v>
      </c>
      <c r="CT305" s="76">
        <v>245</v>
      </c>
      <c r="CU305" s="76">
        <v>-245</v>
      </c>
      <c r="CV305" s="76">
        <v>0</v>
      </c>
      <c r="CW305" s="76">
        <v>0</v>
      </c>
      <c r="CX305" s="76">
        <v>0</v>
      </c>
      <c r="CY305" s="76">
        <v>0</v>
      </c>
      <c r="CZ305" s="76">
        <v>0</v>
      </c>
      <c r="DA305" s="76">
        <v>0</v>
      </c>
      <c r="DB305" s="76">
        <v>193</v>
      </c>
      <c r="DC305" s="76">
        <v>-193</v>
      </c>
      <c r="DD305" s="76">
        <v>0</v>
      </c>
      <c r="DE305" s="76">
        <v>0</v>
      </c>
      <c r="DF305" s="76">
        <v>438</v>
      </c>
      <c r="DG305" s="76">
        <v>-438</v>
      </c>
      <c r="DH305" s="76">
        <v>0</v>
      </c>
      <c r="DI305" s="76">
        <v>0</v>
      </c>
      <c r="DJ305" s="76">
        <v>0</v>
      </c>
      <c r="DK305" s="76">
        <v>0</v>
      </c>
      <c r="DL305" s="76">
        <v>0</v>
      </c>
      <c r="DM305" s="76">
        <v>0</v>
      </c>
      <c r="DN305" s="76">
        <v>0</v>
      </c>
      <c r="DO305" s="76">
        <v>0</v>
      </c>
      <c r="DP305" s="76">
        <v>0</v>
      </c>
      <c r="DQ305" s="76">
        <v>0</v>
      </c>
      <c r="DR305" s="76">
        <v>0</v>
      </c>
      <c r="DS305" s="76">
        <v>0</v>
      </c>
      <c r="DT305" s="76">
        <v>0</v>
      </c>
      <c r="DU305" s="76">
        <v>0</v>
      </c>
      <c r="DV305" s="76">
        <v>0</v>
      </c>
      <c r="DW305" s="76">
        <v>0</v>
      </c>
      <c r="DX305" s="76">
        <v>0</v>
      </c>
      <c r="DY305" s="76">
        <v>0</v>
      </c>
      <c r="DZ305" s="76">
        <v>0</v>
      </c>
      <c r="EA305" s="76">
        <v>0</v>
      </c>
      <c r="EB305" s="76">
        <v>4062</v>
      </c>
      <c r="EC305" s="76">
        <v>2637</v>
      </c>
      <c r="ED305" s="76">
        <v>950</v>
      </c>
      <c r="EE305" s="76">
        <v>475</v>
      </c>
      <c r="EF305" s="76">
        <v>4062</v>
      </c>
      <c r="EG305" s="76">
        <v>2637</v>
      </c>
      <c r="EH305" s="76">
        <v>950</v>
      </c>
      <c r="EI305" s="76">
        <v>475</v>
      </c>
      <c r="EJ305" s="76">
        <v>4062</v>
      </c>
      <c r="EK305" s="76">
        <v>2637</v>
      </c>
      <c r="EL305" s="76">
        <v>1388</v>
      </c>
      <c r="EM305" s="76">
        <v>37</v>
      </c>
      <c r="EN305" s="76">
        <v>1079</v>
      </c>
      <c r="EO305" s="76">
        <v>1666</v>
      </c>
      <c r="EP305" s="76">
        <v>317</v>
      </c>
      <c r="EQ305" s="76">
        <v>1666</v>
      </c>
      <c r="ER305" s="76">
        <v>89799</v>
      </c>
      <c r="ES305" s="76">
        <v>0</v>
      </c>
      <c r="ET305" s="76">
        <v>89799</v>
      </c>
      <c r="EU305" s="76">
        <v>3978</v>
      </c>
      <c r="EV305" s="76">
        <v>-877</v>
      </c>
      <c r="EW305" s="76">
        <v>0</v>
      </c>
      <c r="EX305" s="76">
        <v>0</v>
      </c>
      <c r="EY305" s="76">
        <v>0</v>
      </c>
      <c r="EZ305" s="76">
        <v>92900</v>
      </c>
      <c r="FA305" s="76">
        <v>11772</v>
      </c>
      <c r="FB305" s="76">
        <v>2494</v>
      </c>
      <c r="FC305" s="76">
        <v>0</v>
      </c>
      <c r="FD305" s="76">
        <v>0</v>
      </c>
      <c r="FE305" s="76">
        <v>-169</v>
      </c>
      <c r="FF305" s="76">
        <v>0</v>
      </c>
      <c r="FG305" s="76">
        <v>0</v>
      </c>
      <c r="FH305" s="76">
        <v>14097</v>
      </c>
      <c r="FI305" s="76">
        <v>78803</v>
      </c>
      <c r="FJ305" s="76">
        <v>78027</v>
      </c>
      <c r="FK305" s="76">
        <v>0</v>
      </c>
      <c r="FL305" s="76">
        <v>0</v>
      </c>
      <c r="FM305" s="76">
        <v>0</v>
      </c>
      <c r="FN305" s="76">
        <v>710</v>
      </c>
      <c r="FO305" s="76">
        <v>335</v>
      </c>
      <c r="FP305" s="76">
        <v>375</v>
      </c>
      <c r="FQ305" s="76">
        <v>0</v>
      </c>
      <c r="FR305" s="76">
        <v>0</v>
      </c>
      <c r="FS305" s="76">
        <v>0</v>
      </c>
      <c r="FT305" s="76">
        <v>0</v>
      </c>
      <c r="FU305" s="76">
        <v>0</v>
      </c>
      <c r="FV305" s="76">
        <v>0</v>
      </c>
      <c r="FW305" s="76">
        <v>0</v>
      </c>
      <c r="FX305" s="76">
        <v>0</v>
      </c>
      <c r="FY305" s="76">
        <v>0</v>
      </c>
      <c r="FZ305" s="76">
        <v>101</v>
      </c>
      <c r="GA305" s="76">
        <v>218</v>
      </c>
      <c r="GB305" s="76">
        <v>-117</v>
      </c>
      <c r="GC305" s="76">
        <v>811</v>
      </c>
      <c r="GD305" s="76">
        <v>553</v>
      </c>
      <c r="GE305" s="76">
        <v>258</v>
      </c>
      <c r="GF305" s="76">
        <v>23</v>
      </c>
      <c r="GG305" s="76">
        <v>0</v>
      </c>
      <c r="GH305" s="76">
        <v>0</v>
      </c>
      <c r="GI305" s="76">
        <v>0</v>
      </c>
      <c r="GJ305" s="76">
        <v>26870</v>
      </c>
      <c r="GK305" s="76">
        <v>692</v>
      </c>
      <c r="GL305" s="76">
        <v>27585</v>
      </c>
      <c r="GM305" s="76">
        <v>269</v>
      </c>
      <c r="GN305" s="76">
        <v>311</v>
      </c>
      <c r="GO305" s="76">
        <v>2531</v>
      </c>
      <c r="GP305" s="76">
        <v>0</v>
      </c>
      <c r="GQ305" s="76">
        <v>0</v>
      </c>
      <c r="GR305" s="76">
        <v>2333</v>
      </c>
      <c r="GS305" s="76">
        <v>0</v>
      </c>
      <c r="GT305" s="76">
        <v>0</v>
      </c>
      <c r="GU305" s="76">
        <v>5</v>
      </c>
      <c r="GV305" s="76">
        <v>0</v>
      </c>
      <c r="GW305" s="76">
        <v>4126</v>
      </c>
      <c r="GX305" s="76">
        <v>9575</v>
      </c>
      <c r="GY305" s="76">
        <v>0</v>
      </c>
      <c r="GZ305" s="76">
        <v>228</v>
      </c>
      <c r="HA305" s="76">
        <v>51</v>
      </c>
      <c r="HB305" s="76">
        <v>0</v>
      </c>
      <c r="HC305" s="76">
        <v>279</v>
      </c>
      <c r="HD305" s="76">
        <v>26870</v>
      </c>
      <c r="HE305" s="76">
        <v>0</v>
      </c>
      <c r="HF305" s="76">
        <v>26870</v>
      </c>
      <c r="HG305" s="76">
        <v>416</v>
      </c>
      <c r="HH305" s="76">
        <v>0</v>
      </c>
      <c r="HI305" s="76">
        <v>0</v>
      </c>
      <c r="HJ305" s="76">
        <v>0</v>
      </c>
      <c r="HK305" s="76">
        <v>0</v>
      </c>
      <c r="HL305" s="76">
        <v>0</v>
      </c>
      <c r="HM305" s="76">
        <v>416</v>
      </c>
      <c r="HN305" s="76">
        <v>2629</v>
      </c>
      <c r="HO305" s="76">
        <v>2886</v>
      </c>
      <c r="HP305" s="76">
        <v>0</v>
      </c>
      <c r="HQ305" s="76">
        <v>0</v>
      </c>
      <c r="HR305" s="76">
        <v>-93</v>
      </c>
      <c r="HS305" s="76">
        <v>100</v>
      </c>
      <c r="HT305" s="76">
        <v>5186</v>
      </c>
      <c r="HU305" s="76">
        <v>0</v>
      </c>
      <c r="HV305" s="76">
        <v>0</v>
      </c>
      <c r="HW305" s="76">
        <v>-1</v>
      </c>
      <c r="HX305" s="76">
        <v>987</v>
      </c>
    </row>
    <row r="306" spans="1:232" x14ac:dyDescent="0.2">
      <c r="A306" s="74" t="s">
        <v>816</v>
      </c>
      <c r="B306" s="74" t="s">
        <v>817</v>
      </c>
      <c r="C306" s="75" t="s">
        <v>200</v>
      </c>
      <c r="D306" s="75">
        <v>12</v>
      </c>
      <c r="E306" s="76">
        <v>7032</v>
      </c>
      <c r="F306" s="76">
        <v>0</v>
      </c>
      <c r="G306" s="76">
        <v>-5165</v>
      </c>
      <c r="H306" s="76">
        <v>1867</v>
      </c>
      <c r="I306" s="76">
        <v>15</v>
      </c>
      <c r="J306" s="76">
        <v>0</v>
      </c>
      <c r="K306" s="76">
        <v>0</v>
      </c>
      <c r="L306" s="76">
        <v>0</v>
      </c>
      <c r="M306" s="76">
        <v>16</v>
      </c>
      <c r="N306" s="76">
        <v>-537</v>
      </c>
      <c r="O306" s="76">
        <v>0</v>
      </c>
      <c r="P306" s="76">
        <v>0</v>
      </c>
      <c r="Q306" s="76">
        <v>0</v>
      </c>
      <c r="R306" s="76">
        <v>0</v>
      </c>
      <c r="S306" s="76">
        <v>1361</v>
      </c>
      <c r="T306" s="76">
        <v>0</v>
      </c>
      <c r="U306" s="76">
        <v>1361</v>
      </c>
      <c r="V306" s="76">
        <v>0</v>
      </c>
      <c r="W306" s="76">
        <v>-397</v>
      </c>
      <c r="X306" s="76">
        <v>0</v>
      </c>
      <c r="Y306" s="76">
        <v>0</v>
      </c>
      <c r="Z306" s="76">
        <v>964</v>
      </c>
      <c r="AA306" s="76">
        <v>5404</v>
      </c>
      <c r="AB306" s="76">
        <v>442</v>
      </c>
      <c r="AC306" s="76">
        <v>5846</v>
      </c>
      <c r="AD306" s="76">
        <v>258</v>
      </c>
      <c r="AE306" s="76">
        <v>0</v>
      </c>
      <c r="AF306" s="76">
        <v>0</v>
      </c>
      <c r="AG306" s="76">
        <v>85</v>
      </c>
      <c r="AH306" s="76">
        <v>6189</v>
      </c>
      <c r="AI306" s="76">
        <v>835</v>
      </c>
      <c r="AJ306" s="76">
        <v>546</v>
      </c>
      <c r="AK306" s="76">
        <v>923</v>
      </c>
      <c r="AL306" s="76">
        <v>0</v>
      </c>
      <c r="AM306" s="76">
        <v>414</v>
      </c>
      <c r="AN306" s="76">
        <v>7</v>
      </c>
      <c r="AO306" s="76">
        <v>899</v>
      </c>
      <c r="AP306" s="76">
        <v>0</v>
      </c>
      <c r="AQ306" s="76">
        <v>97</v>
      </c>
      <c r="AR306" s="76">
        <v>3721</v>
      </c>
      <c r="AS306" s="76">
        <v>2468</v>
      </c>
      <c r="AT306" s="76">
        <v>19</v>
      </c>
      <c r="AU306" s="76">
        <v>43196</v>
      </c>
      <c r="AV306" s="76">
        <v>0</v>
      </c>
      <c r="AW306" s="76">
        <v>4884</v>
      </c>
      <c r="AX306" s="76">
        <v>34</v>
      </c>
      <c r="AY306" s="76">
        <v>0</v>
      </c>
      <c r="AZ306" s="76">
        <v>0</v>
      </c>
      <c r="BA306" s="76">
        <v>0</v>
      </c>
      <c r="BB306" s="76">
        <v>0</v>
      </c>
      <c r="BC306" s="76">
        <v>0</v>
      </c>
      <c r="BD306" s="76">
        <v>0</v>
      </c>
      <c r="BE306" s="76">
        <v>48114</v>
      </c>
      <c r="BF306" s="76">
        <v>0</v>
      </c>
      <c r="BG306" s="76">
        <v>283</v>
      </c>
      <c r="BH306" s="76">
        <v>3396</v>
      </c>
      <c r="BI306" s="76">
        <v>0</v>
      </c>
      <c r="BJ306" s="76">
        <v>575</v>
      </c>
      <c r="BK306" s="76">
        <v>4254</v>
      </c>
      <c r="BL306" s="76">
        <v>560</v>
      </c>
      <c r="BM306" s="76">
        <v>0</v>
      </c>
      <c r="BN306" s="76">
        <v>265</v>
      </c>
      <c r="BO306" s="76">
        <v>1515</v>
      </c>
      <c r="BP306" s="76">
        <v>2340</v>
      </c>
      <c r="BQ306" s="76">
        <v>1914</v>
      </c>
      <c r="BR306" s="76">
        <v>50028</v>
      </c>
      <c r="BS306" s="76">
        <v>8324</v>
      </c>
      <c r="BT306" s="76">
        <v>0</v>
      </c>
      <c r="BU306" s="76">
        <v>0</v>
      </c>
      <c r="BV306" s="76">
        <v>20622</v>
      </c>
      <c r="BW306" s="76">
        <v>0</v>
      </c>
      <c r="BX306" s="76">
        <v>0</v>
      </c>
      <c r="BY306" s="76">
        <v>893</v>
      </c>
      <c r="BZ306" s="76">
        <v>29839</v>
      </c>
      <c r="CA306" s="76">
        <v>319</v>
      </c>
      <c r="CB306" s="76">
        <v>66</v>
      </c>
      <c r="CC306" s="76">
        <v>19804</v>
      </c>
      <c r="CD306" s="76">
        <v>19804</v>
      </c>
      <c r="CE306" s="76">
        <v>0</v>
      </c>
      <c r="CF306" s="76">
        <v>0</v>
      </c>
      <c r="CG306" s="76">
        <v>0</v>
      </c>
      <c r="CH306" s="76">
        <v>0</v>
      </c>
      <c r="CI306" s="76">
        <v>19804</v>
      </c>
      <c r="CJ306" s="76">
        <v>0</v>
      </c>
      <c r="CK306" s="76">
        <v>0</v>
      </c>
      <c r="CL306" s="76">
        <v>0</v>
      </c>
      <c r="CM306" s="76">
        <v>0</v>
      </c>
      <c r="CN306" s="76">
        <v>0</v>
      </c>
      <c r="CO306" s="76">
        <v>0</v>
      </c>
      <c r="CP306" s="76">
        <v>0</v>
      </c>
      <c r="CQ306" s="76">
        <v>0</v>
      </c>
      <c r="CR306" s="76">
        <v>0</v>
      </c>
      <c r="CS306" s="76">
        <v>0</v>
      </c>
      <c r="CT306" s="76">
        <v>0</v>
      </c>
      <c r="CU306" s="76">
        <v>0</v>
      </c>
      <c r="CV306" s="76">
        <v>0</v>
      </c>
      <c r="CW306" s="76">
        <v>0</v>
      </c>
      <c r="CX306" s="76">
        <v>0</v>
      </c>
      <c r="CY306" s="76">
        <v>0</v>
      </c>
      <c r="CZ306" s="76">
        <v>826</v>
      </c>
      <c r="DA306" s="76">
        <v>0</v>
      </c>
      <c r="DB306" s="76">
        <v>1439</v>
      </c>
      <c r="DC306" s="76">
        <v>-613</v>
      </c>
      <c r="DD306" s="76">
        <v>826</v>
      </c>
      <c r="DE306" s="76">
        <v>0</v>
      </c>
      <c r="DF306" s="76">
        <v>1439</v>
      </c>
      <c r="DG306" s="76">
        <v>-613</v>
      </c>
      <c r="DH306" s="76">
        <v>0</v>
      </c>
      <c r="DI306" s="76">
        <v>0</v>
      </c>
      <c r="DJ306" s="76">
        <v>0</v>
      </c>
      <c r="DK306" s="76">
        <v>0</v>
      </c>
      <c r="DL306" s="76">
        <v>0</v>
      </c>
      <c r="DM306" s="76">
        <v>0</v>
      </c>
      <c r="DN306" s="76">
        <v>0</v>
      </c>
      <c r="DO306" s="76">
        <v>0</v>
      </c>
      <c r="DP306" s="76">
        <v>0</v>
      </c>
      <c r="DQ306" s="76">
        <v>0</v>
      </c>
      <c r="DR306" s="76">
        <v>0</v>
      </c>
      <c r="DS306" s="76">
        <v>0</v>
      </c>
      <c r="DT306" s="76">
        <v>0</v>
      </c>
      <c r="DU306" s="76">
        <v>0</v>
      </c>
      <c r="DV306" s="76">
        <v>0</v>
      </c>
      <c r="DW306" s="76">
        <v>0</v>
      </c>
      <c r="DX306" s="76">
        <v>0</v>
      </c>
      <c r="DY306" s="76">
        <v>0</v>
      </c>
      <c r="DZ306" s="76">
        <v>0</v>
      </c>
      <c r="EA306" s="76">
        <v>0</v>
      </c>
      <c r="EB306" s="76">
        <v>17</v>
      </c>
      <c r="EC306" s="76">
        <v>0</v>
      </c>
      <c r="ED306" s="76">
        <v>5</v>
      </c>
      <c r="EE306" s="76">
        <v>12</v>
      </c>
      <c r="EF306" s="76">
        <v>17</v>
      </c>
      <c r="EG306" s="76">
        <v>0</v>
      </c>
      <c r="EH306" s="76">
        <v>5</v>
      </c>
      <c r="EI306" s="76">
        <v>12</v>
      </c>
      <c r="EJ306" s="76">
        <v>843</v>
      </c>
      <c r="EK306" s="76">
        <v>0</v>
      </c>
      <c r="EL306" s="76">
        <v>1444</v>
      </c>
      <c r="EM306" s="76">
        <v>-601</v>
      </c>
      <c r="EN306" s="76">
        <v>146</v>
      </c>
      <c r="EO306" s="76">
        <v>10</v>
      </c>
      <c r="EP306" s="76">
        <v>32</v>
      </c>
      <c r="EQ306" s="76">
        <v>10</v>
      </c>
      <c r="ER306" s="76">
        <v>52968</v>
      </c>
      <c r="ES306" s="76">
        <v>0</v>
      </c>
      <c r="ET306" s="76">
        <v>52968</v>
      </c>
      <c r="EU306" s="76">
        <v>803</v>
      </c>
      <c r="EV306" s="76">
        <v>-231</v>
      </c>
      <c r="EW306" s="76">
        <v>0</v>
      </c>
      <c r="EX306" s="76">
        <v>0</v>
      </c>
      <c r="EY306" s="76">
        <v>0</v>
      </c>
      <c r="EZ306" s="76">
        <v>53540</v>
      </c>
      <c r="FA306" s="76">
        <v>9663</v>
      </c>
      <c r="FB306" s="76">
        <v>835</v>
      </c>
      <c r="FC306" s="76">
        <v>0</v>
      </c>
      <c r="FD306" s="76">
        <v>0</v>
      </c>
      <c r="FE306" s="76">
        <v>-154</v>
      </c>
      <c r="FF306" s="76">
        <v>0</v>
      </c>
      <c r="FG306" s="76">
        <v>0</v>
      </c>
      <c r="FH306" s="76">
        <v>10344</v>
      </c>
      <c r="FI306" s="76">
        <v>43196</v>
      </c>
      <c r="FJ306" s="76">
        <v>43305</v>
      </c>
      <c r="FK306" s="76">
        <v>0</v>
      </c>
      <c r="FL306" s="76">
        <v>0</v>
      </c>
      <c r="FM306" s="76">
        <v>0</v>
      </c>
      <c r="FN306" s="76">
        <v>85</v>
      </c>
      <c r="FO306" s="76">
        <v>75</v>
      </c>
      <c r="FP306" s="76">
        <v>10</v>
      </c>
      <c r="FQ306" s="76">
        <v>0</v>
      </c>
      <c r="FR306" s="76">
        <v>0</v>
      </c>
      <c r="FS306" s="76">
        <v>0</v>
      </c>
      <c r="FT306" s="76">
        <v>0</v>
      </c>
      <c r="FU306" s="76">
        <v>-5</v>
      </c>
      <c r="FV306" s="76">
        <v>5</v>
      </c>
      <c r="FW306" s="76">
        <v>0</v>
      </c>
      <c r="FX306" s="76">
        <v>0</v>
      </c>
      <c r="FY306" s="76">
        <v>0</v>
      </c>
      <c r="FZ306" s="76">
        <v>0</v>
      </c>
      <c r="GA306" s="76">
        <v>0</v>
      </c>
      <c r="GB306" s="76">
        <v>0</v>
      </c>
      <c r="GC306" s="76">
        <v>85</v>
      </c>
      <c r="GD306" s="76">
        <v>70</v>
      </c>
      <c r="GE306" s="76">
        <v>15</v>
      </c>
      <c r="GF306" s="76">
        <v>217</v>
      </c>
      <c r="GG306" s="76">
        <v>23</v>
      </c>
      <c r="GH306" s="76">
        <v>0</v>
      </c>
      <c r="GI306" s="76">
        <v>0</v>
      </c>
      <c r="GJ306" s="76">
        <v>0</v>
      </c>
      <c r="GK306" s="76">
        <v>334</v>
      </c>
      <c r="GL306" s="76">
        <v>574</v>
      </c>
      <c r="GM306" s="76">
        <v>369</v>
      </c>
      <c r="GN306" s="76">
        <v>132</v>
      </c>
      <c r="GO306" s="76">
        <v>0</v>
      </c>
      <c r="GP306" s="76">
        <v>0</v>
      </c>
      <c r="GQ306" s="76">
        <v>0</v>
      </c>
      <c r="GR306" s="76">
        <v>169</v>
      </c>
      <c r="GS306" s="76">
        <v>0</v>
      </c>
      <c r="GT306" s="76">
        <v>0</v>
      </c>
      <c r="GU306" s="76">
        <v>0</v>
      </c>
      <c r="GV306" s="76">
        <v>0</v>
      </c>
      <c r="GW306" s="76">
        <v>845</v>
      </c>
      <c r="GX306" s="76">
        <v>1515</v>
      </c>
      <c r="GY306" s="76">
        <v>65</v>
      </c>
      <c r="GZ306" s="76">
        <v>0</v>
      </c>
      <c r="HA306" s="76">
        <v>0</v>
      </c>
      <c r="HB306" s="76">
        <v>828</v>
      </c>
      <c r="HC306" s="76">
        <v>893</v>
      </c>
      <c r="HD306" s="76">
        <v>0</v>
      </c>
      <c r="HE306" s="76">
        <v>66</v>
      </c>
      <c r="HF306" s="76">
        <v>66</v>
      </c>
      <c r="HG306" s="76">
        <v>533</v>
      </c>
      <c r="HH306" s="76">
        <v>4</v>
      </c>
      <c r="HI306" s="76">
        <v>0</v>
      </c>
      <c r="HJ306" s="76">
        <v>0</v>
      </c>
      <c r="HK306" s="76">
        <v>0</v>
      </c>
      <c r="HL306" s="76">
        <v>0</v>
      </c>
      <c r="HM306" s="76">
        <v>537</v>
      </c>
      <c r="HN306" s="76">
        <v>995</v>
      </c>
      <c r="HO306" s="76">
        <v>966</v>
      </c>
      <c r="HP306" s="76">
        <v>0</v>
      </c>
      <c r="HQ306" s="76">
        <v>1</v>
      </c>
      <c r="HR306" s="76">
        <v>-2</v>
      </c>
      <c r="HS306" s="76">
        <v>0</v>
      </c>
      <c r="HT306" s="76">
        <v>1286</v>
      </c>
      <c r="HU306" s="76">
        <v>0</v>
      </c>
      <c r="HV306" s="76">
        <v>0</v>
      </c>
      <c r="HW306" s="76">
        <v>0</v>
      </c>
      <c r="HX306" s="76">
        <v>0</v>
      </c>
    </row>
    <row r="307" spans="1:232" x14ac:dyDescent="0.2">
      <c r="A307" s="74" t="s">
        <v>819</v>
      </c>
      <c r="B307" s="74" t="s">
        <v>820</v>
      </c>
      <c r="C307" s="75" t="s">
        <v>200</v>
      </c>
      <c r="D307" s="75">
        <v>12</v>
      </c>
      <c r="E307" s="76">
        <v>37439</v>
      </c>
      <c r="F307" s="76">
        <v>-3464</v>
      </c>
      <c r="G307" s="76">
        <v>-14408</v>
      </c>
      <c r="H307" s="76">
        <v>19567</v>
      </c>
      <c r="I307" s="76">
        <v>668</v>
      </c>
      <c r="J307" s="76">
        <v>0</v>
      </c>
      <c r="K307" s="76">
        <v>0</v>
      </c>
      <c r="L307" s="76">
        <v>0</v>
      </c>
      <c r="M307" s="76">
        <v>150</v>
      </c>
      <c r="N307" s="76">
        <v>-8500</v>
      </c>
      <c r="O307" s="76">
        <v>0</v>
      </c>
      <c r="P307" s="76">
        <v>0</v>
      </c>
      <c r="Q307" s="76">
        <v>0</v>
      </c>
      <c r="R307" s="76">
        <v>0</v>
      </c>
      <c r="S307" s="76">
        <v>11885</v>
      </c>
      <c r="T307" s="76">
        <v>0</v>
      </c>
      <c r="U307" s="76">
        <v>11885</v>
      </c>
      <c r="V307" s="76">
        <v>0</v>
      </c>
      <c r="W307" s="76">
        <v>-3161</v>
      </c>
      <c r="X307" s="76">
        <v>0</v>
      </c>
      <c r="Y307" s="76">
        <v>0</v>
      </c>
      <c r="Z307" s="76">
        <v>8724</v>
      </c>
      <c r="AA307" s="76">
        <v>27932</v>
      </c>
      <c r="AB307" s="76">
        <v>2080</v>
      </c>
      <c r="AC307" s="76">
        <v>30012</v>
      </c>
      <c r="AD307" s="76">
        <v>1896</v>
      </c>
      <c r="AE307" s="76">
        <v>0</v>
      </c>
      <c r="AF307" s="76">
        <v>0</v>
      </c>
      <c r="AG307" s="76">
        <v>30</v>
      </c>
      <c r="AH307" s="76">
        <v>31938</v>
      </c>
      <c r="AI307" s="76">
        <v>2328</v>
      </c>
      <c r="AJ307" s="76">
        <v>2210</v>
      </c>
      <c r="AK307" s="76">
        <v>3111</v>
      </c>
      <c r="AL307" s="76">
        <v>759</v>
      </c>
      <c r="AM307" s="76">
        <v>561</v>
      </c>
      <c r="AN307" s="76">
        <v>31</v>
      </c>
      <c r="AO307" s="76">
        <v>5022</v>
      </c>
      <c r="AP307" s="76">
        <v>0</v>
      </c>
      <c r="AQ307" s="76">
        <v>0</v>
      </c>
      <c r="AR307" s="76">
        <v>14022</v>
      </c>
      <c r="AS307" s="76">
        <v>17916</v>
      </c>
      <c r="AT307" s="76">
        <v>240</v>
      </c>
      <c r="AU307" s="76">
        <v>408385</v>
      </c>
      <c r="AV307" s="76">
        <v>0</v>
      </c>
      <c r="AW307" s="76">
        <v>14</v>
      </c>
      <c r="AX307" s="76">
        <v>0</v>
      </c>
      <c r="AY307" s="76">
        <v>0</v>
      </c>
      <c r="AZ307" s="76">
        <v>0</v>
      </c>
      <c r="BA307" s="76">
        <v>0</v>
      </c>
      <c r="BB307" s="76">
        <v>0</v>
      </c>
      <c r="BC307" s="76">
        <v>0</v>
      </c>
      <c r="BD307" s="76">
        <v>0</v>
      </c>
      <c r="BE307" s="76">
        <v>408399</v>
      </c>
      <c r="BF307" s="76">
        <v>5107</v>
      </c>
      <c r="BG307" s="76">
        <v>444</v>
      </c>
      <c r="BH307" s="76">
        <v>35975</v>
      </c>
      <c r="BI307" s="76">
        <v>0</v>
      </c>
      <c r="BJ307" s="76">
        <v>4980</v>
      </c>
      <c r="BK307" s="76">
        <v>46506</v>
      </c>
      <c r="BL307" s="76">
        <v>3771</v>
      </c>
      <c r="BM307" s="76">
        <v>0</v>
      </c>
      <c r="BN307" s="76">
        <v>1598</v>
      </c>
      <c r="BO307" s="76">
        <v>9948</v>
      </c>
      <c r="BP307" s="76">
        <v>15317</v>
      </c>
      <c r="BQ307" s="76">
        <v>31189</v>
      </c>
      <c r="BR307" s="76">
        <v>439588</v>
      </c>
      <c r="BS307" s="76">
        <v>197499</v>
      </c>
      <c r="BT307" s="76">
        <v>0</v>
      </c>
      <c r="BU307" s="76">
        <v>0</v>
      </c>
      <c r="BV307" s="76">
        <v>155980</v>
      </c>
      <c r="BW307" s="76">
        <v>0</v>
      </c>
      <c r="BX307" s="76">
        <v>0</v>
      </c>
      <c r="BY307" s="76">
        <v>2692</v>
      </c>
      <c r="BZ307" s="76">
        <v>356171</v>
      </c>
      <c r="CA307" s="76">
        <v>10693</v>
      </c>
      <c r="CB307" s="76">
        <v>0</v>
      </c>
      <c r="CC307" s="76">
        <v>72724</v>
      </c>
      <c r="CD307" s="76">
        <v>72724</v>
      </c>
      <c r="CE307" s="76">
        <v>0</v>
      </c>
      <c r="CF307" s="76">
        <v>0</v>
      </c>
      <c r="CG307" s="76">
        <v>0</v>
      </c>
      <c r="CH307" s="76">
        <v>0</v>
      </c>
      <c r="CI307" s="76">
        <v>72724</v>
      </c>
      <c r="CJ307" s="76">
        <v>4434</v>
      </c>
      <c r="CK307" s="76">
        <v>3423</v>
      </c>
      <c r="CL307" s="76">
        <v>0</v>
      </c>
      <c r="CM307" s="76">
        <v>1011</v>
      </c>
      <c r="CN307" s="76">
        <v>0</v>
      </c>
      <c r="CO307" s="76">
        <v>0</v>
      </c>
      <c r="CP307" s="76">
        <v>0</v>
      </c>
      <c r="CQ307" s="76">
        <v>0</v>
      </c>
      <c r="CR307" s="76">
        <v>345</v>
      </c>
      <c r="CS307" s="76">
        <v>0</v>
      </c>
      <c r="CT307" s="76">
        <v>191</v>
      </c>
      <c r="CU307" s="76">
        <v>154</v>
      </c>
      <c r="CV307" s="76">
        <v>0</v>
      </c>
      <c r="CW307" s="76">
        <v>0</v>
      </c>
      <c r="CX307" s="76">
        <v>0</v>
      </c>
      <c r="CY307" s="76">
        <v>0</v>
      </c>
      <c r="CZ307" s="76">
        <v>662</v>
      </c>
      <c r="DA307" s="76">
        <v>0</v>
      </c>
      <c r="DB307" s="76">
        <v>195</v>
      </c>
      <c r="DC307" s="76">
        <v>467</v>
      </c>
      <c r="DD307" s="76">
        <v>5441</v>
      </c>
      <c r="DE307" s="76">
        <v>3423</v>
      </c>
      <c r="DF307" s="76">
        <v>386</v>
      </c>
      <c r="DG307" s="76">
        <v>1632</v>
      </c>
      <c r="DH307" s="76">
        <v>60</v>
      </c>
      <c r="DI307" s="76">
        <v>41</v>
      </c>
      <c r="DJ307" s="76">
        <v>0</v>
      </c>
      <c r="DK307" s="76">
        <v>19</v>
      </c>
      <c r="DL307" s="76">
        <v>0</v>
      </c>
      <c r="DM307" s="76">
        <v>0</v>
      </c>
      <c r="DN307" s="76">
        <v>0</v>
      </c>
      <c r="DO307" s="76">
        <v>0</v>
      </c>
      <c r="DP307" s="76">
        <v>0</v>
      </c>
      <c r="DQ307" s="76">
        <v>0</v>
      </c>
      <c r="DR307" s="76">
        <v>0</v>
      </c>
      <c r="DS307" s="76">
        <v>0</v>
      </c>
      <c r="DT307" s="76">
        <v>0</v>
      </c>
      <c r="DU307" s="76">
        <v>0</v>
      </c>
      <c r="DV307" s="76">
        <v>0</v>
      </c>
      <c r="DW307" s="76">
        <v>0</v>
      </c>
      <c r="DX307" s="76">
        <v>0</v>
      </c>
      <c r="DY307" s="76">
        <v>0</v>
      </c>
      <c r="DZ307" s="76">
        <v>0</v>
      </c>
      <c r="EA307" s="76">
        <v>0</v>
      </c>
      <c r="EB307" s="76">
        <v>0</v>
      </c>
      <c r="EC307" s="76">
        <v>0</v>
      </c>
      <c r="ED307" s="76">
        <v>0</v>
      </c>
      <c r="EE307" s="76">
        <v>0</v>
      </c>
      <c r="EF307" s="76">
        <v>60</v>
      </c>
      <c r="EG307" s="76">
        <v>41</v>
      </c>
      <c r="EH307" s="76">
        <v>0</v>
      </c>
      <c r="EI307" s="76">
        <v>19</v>
      </c>
      <c r="EJ307" s="76">
        <v>5501</v>
      </c>
      <c r="EK307" s="76">
        <v>3464</v>
      </c>
      <c r="EL307" s="76">
        <v>386</v>
      </c>
      <c r="EM307" s="76">
        <v>1651</v>
      </c>
      <c r="EN307" s="76">
        <v>943</v>
      </c>
      <c r="EO307" s="76">
        <v>277</v>
      </c>
      <c r="EP307" s="76">
        <v>499</v>
      </c>
      <c r="EQ307" s="76">
        <v>277</v>
      </c>
      <c r="ER307" s="76">
        <v>429778</v>
      </c>
      <c r="ES307" s="76">
        <v>0</v>
      </c>
      <c r="ET307" s="76">
        <v>429778</v>
      </c>
      <c r="EU307" s="76">
        <v>36970</v>
      </c>
      <c r="EV307" s="76">
        <v>-2596</v>
      </c>
      <c r="EW307" s="76">
        <v>0</v>
      </c>
      <c r="EX307" s="76">
        <v>0</v>
      </c>
      <c r="EY307" s="76">
        <v>-5660</v>
      </c>
      <c r="EZ307" s="76">
        <v>458492</v>
      </c>
      <c r="FA307" s="76">
        <v>45526</v>
      </c>
      <c r="FB307" s="76">
        <v>5022</v>
      </c>
      <c r="FC307" s="76">
        <v>0</v>
      </c>
      <c r="FD307" s="76">
        <v>0</v>
      </c>
      <c r="FE307" s="76">
        <v>-441</v>
      </c>
      <c r="FF307" s="76">
        <v>0</v>
      </c>
      <c r="FG307" s="76">
        <v>0</v>
      </c>
      <c r="FH307" s="76">
        <v>50107</v>
      </c>
      <c r="FI307" s="76">
        <v>408385</v>
      </c>
      <c r="FJ307" s="76">
        <v>384252</v>
      </c>
      <c r="FK307" s="76">
        <v>2930</v>
      </c>
      <c r="FL307" s="76">
        <v>2310</v>
      </c>
      <c r="FM307" s="76">
        <v>620</v>
      </c>
      <c r="FN307" s="76">
        <v>0</v>
      </c>
      <c r="FO307" s="76">
        <v>0</v>
      </c>
      <c r="FP307" s="76">
        <v>0</v>
      </c>
      <c r="FQ307" s="76">
        <v>0</v>
      </c>
      <c r="FR307" s="76">
        <v>0</v>
      </c>
      <c r="FS307" s="76">
        <v>0</v>
      </c>
      <c r="FT307" s="76">
        <v>115</v>
      </c>
      <c r="FU307" s="76">
        <v>67</v>
      </c>
      <c r="FV307" s="76">
        <v>48</v>
      </c>
      <c r="FW307" s="76">
        <v>0</v>
      </c>
      <c r="FX307" s="76">
        <v>0</v>
      </c>
      <c r="FY307" s="76">
        <v>0</v>
      </c>
      <c r="FZ307" s="76">
        <v>0</v>
      </c>
      <c r="GA307" s="76">
        <v>0</v>
      </c>
      <c r="GB307" s="76">
        <v>0</v>
      </c>
      <c r="GC307" s="76">
        <v>3045</v>
      </c>
      <c r="GD307" s="76">
        <v>2377</v>
      </c>
      <c r="GE307" s="76">
        <v>668</v>
      </c>
      <c r="GF307" s="76">
        <v>1631</v>
      </c>
      <c r="GG307" s="76">
        <v>0</v>
      </c>
      <c r="GH307" s="76">
        <v>2334</v>
      </c>
      <c r="GI307" s="76">
        <v>0</v>
      </c>
      <c r="GJ307" s="76">
        <v>0</v>
      </c>
      <c r="GK307" s="76">
        <v>1015</v>
      </c>
      <c r="GL307" s="76">
        <v>4980</v>
      </c>
      <c r="GM307" s="76">
        <v>602</v>
      </c>
      <c r="GN307" s="76">
        <v>1482</v>
      </c>
      <c r="GO307" s="76">
        <v>2355</v>
      </c>
      <c r="GP307" s="76">
        <v>746</v>
      </c>
      <c r="GQ307" s="76">
        <v>129</v>
      </c>
      <c r="GR307" s="76">
        <v>0</v>
      </c>
      <c r="GS307" s="76">
        <v>0</v>
      </c>
      <c r="GT307" s="76">
        <v>0</v>
      </c>
      <c r="GU307" s="76">
        <v>0</v>
      </c>
      <c r="GV307" s="76">
        <v>0</v>
      </c>
      <c r="GW307" s="76">
        <v>4634</v>
      </c>
      <c r="GX307" s="76">
        <v>9948</v>
      </c>
      <c r="GY307" s="76">
        <v>2038</v>
      </c>
      <c r="GZ307" s="76">
        <v>0</v>
      </c>
      <c r="HA307" s="76">
        <v>0</v>
      </c>
      <c r="HB307" s="76">
        <v>654</v>
      </c>
      <c r="HC307" s="76">
        <v>2692</v>
      </c>
      <c r="HD307" s="76">
        <v>0</v>
      </c>
      <c r="HE307" s="76">
        <v>0</v>
      </c>
      <c r="HF307" s="76">
        <v>0</v>
      </c>
      <c r="HG307" s="76">
        <v>8761</v>
      </c>
      <c r="HH307" s="76">
        <v>0</v>
      </c>
      <c r="HI307" s="76">
        <v>0</v>
      </c>
      <c r="HJ307" s="76">
        <v>0</v>
      </c>
      <c r="HK307" s="76">
        <v>267</v>
      </c>
      <c r="HL307" s="76">
        <v>-528</v>
      </c>
      <c r="HM307" s="76">
        <v>8500</v>
      </c>
      <c r="HN307" s="76">
        <v>770</v>
      </c>
      <c r="HO307" s="76">
        <v>5039</v>
      </c>
      <c r="HP307" s="76">
        <v>0</v>
      </c>
      <c r="HQ307" s="76">
        <v>217</v>
      </c>
      <c r="HR307" s="76">
        <v>-42</v>
      </c>
      <c r="HS307" s="76">
        <v>17</v>
      </c>
      <c r="HT307" s="76">
        <v>6516</v>
      </c>
      <c r="HU307" s="76">
        <v>0</v>
      </c>
      <c r="HV307" s="76">
        <v>0</v>
      </c>
      <c r="HW307" s="76">
        <v>-26</v>
      </c>
      <c r="HX307" s="76">
        <v>478</v>
      </c>
    </row>
    <row r="308" spans="1:232" x14ac:dyDescent="0.2">
      <c r="A308" s="74" t="s">
        <v>825</v>
      </c>
      <c r="B308" s="74" t="s">
        <v>824</v>
      </c>
      <c r="C308" s="75" t="s">
        <v>200</v>
      </c>
      <c r="D308" s="75">
        <v>12</v>
      </c>
      <c r="E308" s="76">
        <v>31473</v>
      </c>
      <c r="F308" s="76">
        <v>-1049</v>
      </c>
      <c r="G308" s="76">
        <v>-19149</v>
      </c>
      <c r="H308" s="76">
        <v>11275</v>
      </c>
      <c r="I308" s="76">
        <v>-770</v>
      </c>
      <c r="J308" s="76">
        <v>595</v>
      </c>
      <c r="K308" s="76">
        <v>0</v>
      </c>
      <c r="L308" s="76">
        <v>0</v>
      </c>
      <c r="M308" s="76">
        <v>197</v>
      </c>
      <c r="N308" s="76">
        <v>-3556</v>
      </c>
      <c r="O308" s="76">
        <v>360</v>
      </c>
      <c r="P308" s="76">
        <v>-2</v>
      </c>
      <c r="Q308" s="76">
        <v>0</v>
      </c>
      <c r="R308" s="76">
        <v>0</v>
      </c>
      <c r="S308" s="76">
        <v>8099</v>
      </c>
      <c r="T308" s="76">
        <v>0</v>
      </c>
      <c r="U308" s="76">
        <v>8099</v>
      </c>
      <c r="V308" s="76">
        <v>0</v>
      </c>
      <c r="W308" s="76">
        <v>124</v>
      </c>
      <c r="X308" s="76">
        <v>-1999</v>
      </c>
      <c r="Y308" s="76">
        <v>0</v>
      </c>
      <c r="Z308" s="76">
        <v>6224</v>
      </c>
      <c r="AA308" s="76">
        <v>26571</v>
      </c>
      <c r="AB308" s="76">
        <v>1080</v>
      </c>
      <c r="AC308" s="76">
        <v>27651</v>
      </c>
      <c r="AD308" s="76">
        <v>39</v>
      </c>
      <c r="AE308" s="76">
        <v>0</v>
      </c>
      <c r="AF308" s="76">
        <v>67</v>
      </c>
      <c r="AG308" s="76">
        <v>0</v>
      </c>
      <c r="AH308" s="76">
        <v>27757</v>
      </c>
      <c r="AI308" s="76">
        <v>8249</v>
      </c>
      <c r="AJ308" s="76">
        <v>922</v>
      </c>
      <c r="AK308" s="76">
        <v>3118</v>
      </c>
      <c r="AL308" s="76">
        <v>452</v>
      </c>
      <c r="AM308" s="76">
        <v>362</v>
      </c>
      <c r="AN308" s="76">
        <v>95</v>
      </c>
      <c r="AO308" s="76">
        <v>4234</v>
      </c>
      <c r="AP308" s="76">
        <v>0</v>
      </c>
      <c r="AQ308" s="76">
        <v>0</v>
      </c>
      <c r="AR308" s="76">
        <v>17432</v>
      </c>
      <c r="AS308" s="76">
        <v>10325</v>
      </c>
      <c r="AT308" s="76">
        <v>656</v>
      </c>
      <c r="AU308" s="76">
        <v>236561</v>
      </c>
      <c r="AV308" s="76">
        <v>0</v>
      </c>
      <c r="AW308" s="76">
        <v>12974</v>
      </c>
      <c r="AX308" s="76">
        <v>-29569</v>
      </c>
      <c r="AY308" s="76">
        <v>0</v>
      </c>
      <c r="AZ308" s="76">
        <v>3915</v>
      </c>
      <c r="BA308" s="76">
        <v>0</v>
      </c>
      <c r="BB308" s="76">
        <v>0</v>
      </c>
      <c r="BC308" s="76">
        <v>0</v>
      </c>
      <c r="BD308" s="76">
        <v>0</v>
      </c>
      <c r="BE308" s="76">
        <v>223881</v>
      </c>
      <c r="BF308" s="76">
        <v>0</v>
      </c>
      <c r="BG308" s="76">
        <v>53007</v>
      </c>
      <c r="BH308" s="76">
        <v>5800</v>
      </c>
      <c r="BI308" s="76">
        <v>0</v>
      </c>
      <c r="BJ308" s="76">
        <v>0</v>
      </c>
      <c r="BK308" s="76">
        <v>58807</v>
      </c>
      <c r="BL308" s="76">
        <v>0</v>
      </c>
      <c r="BM308" s="76">
        <v>0</v>
      </c>
      <c r="BN308" s="76">
        <v>55</v>
      </c>
      <c r="BO308" s="76">
        <v>15393</v>
      </c>
      <c r="BP308" s="76">
        <v>15448</v>
      </c>
      <c r="BQ308" s="76">
        <v>43359</v>
      </c>
      <c r="BR308" s="76">
        <v>267240</v>
      </c>
      <c r="BS308" s="76">
        <v>132158</v>
      </c>
      <c r="BT308" s="76">
        <v>0</v>
      </c>
      <c r="BU308" s="76">
        <v>94</v>
      </c>
      <c r="BV308" s="76">
        <v>4197</v>
      </c>
      <c r="BW308" s="76">
        <v>0</v>
      </c>
      <c r="BX308" s="76">
        <v>0</v>
      </c>
      <c r="BY308" s="76">
        <v>29883</v>
      </c>
      <c r="BZ308" s="76">
        <v>166332</v>
      </c>
      <c r="CA308" s="76">
        <v>463</v>
      </c>
      <c r="CB308" s="76">
        <v>0</v>
      </c>
      <c r="CC308" s="76">
        <v>100445</v>
      </c>
      <c r="CD308" s="76">
        <v>34177</v>
      </c>
      <c r="CE308" s="76">
        <v>96150</v>
      </c>
      <c r="CF308" s="76">
        <v>0</v>
      </c>
      <c r="CG308" s="76">
        <v>-29882</v>
      </c>
      <c r="CH308" s="76">
        <v>0</v>
      </c>
      <c r="CI308" s="76">
        <v>100445</v>
      </c>
      <c r="CJ308" s="76">
        <v>1651</v>
      </c>
      <c r="CK308" s="76">
        <v>1049</v>
      </c>
      <c r="CL308" s="76">
        <v>0</v>
      </c>
      <c r="CM308" s="76">
        <v>602</v>
      </c>
      <c r="CN308" s="76">
        <v>38</v>
      </c>
      <c r="CO308" s="76">
        <v>0</v>
      </c>
      <c r="CP308" s="76">
        <v>38</v>
      </c>
      <c r="CQ308" s="76">
        <v>0</v>
      </c>
      <c r="CR308" s="76">
        <v>0</v>
      </c>
      <c r="CS308" s="76">
        <v>0</v>
      </c>
      <c r="CT308" s="76">
        <v>0</v>
      </c>
      <c r="CU308" s="76">
        <v>0</v>
      </c>
      <c r="CV308" s="76">
        <v>0</v>
      </c>
      <c r="CW308" s="76">
        <v>0</v>
      </c>
      <c r="CX308" s="76">
        <v>0</v>
      </c>
      <c r="CY308" s="76">
        <v>0</v>
      </c>
      <c r="CZ308" s="76">
        <v>672</v>
      </c>
      <c r="DA308" s="76">
        <v>0</v>
      </c>
      <c r="DB308" s="76">
        <v>952</v>
      </c>
      <c r="DC308" s="76">
        <v>-280</v>
      </c>
      <c r="DD308" s="76">
        <v>2361</v>
      </c>
      <c r="DE308" s="76">
        <v>1049</v>
      </c>
      <c r="DF308" s="76">
        <v>990</v>
      </c>
      <c r="DG308" s="76">
        <v>322</v>
      </c>
      <c r="DH308" s="76">
        <v>0</v>
      </c>
      <c r="DI308" s="76">
        <v>0</v>
      </c>
      <c r="DJ308" s="76">
        <v>0</v>
      </c>
      <c r="DK308" s="76">
        <v>0</v>
      </c>
      <c r="DL308" s="76">
        <v>0</v>
      </c>
      <c r="DM308" s="76">
        <v>0</v>
      </c>
      <c r="DN308" s="76">
        <v>0</v>
      </c>
      <c r="DO308" s="76">
        <v>0</v>
      </c>
      <c r="DP308" s="76">
        <v>0</v>
      </c>
      <c r="DQ308" s="76">
        <v>0</v>
      </c>
      <c r="DR308" s="76">
        <v>0</v>
      </c>
      <c r="DS308" s="76">
        <v>0</v>
      </c>
      <c r="DT308" s="76">
        <v>1211</v>
      </c>
      <c r="DU308" s="76">
        <v>0</v>
      </c>
      <c r="DV308" s="76">
        <v>602</v>
      </c>
      <c r="DW308" s="76">
        <v>609</v>
      </c>
      <c r="DX308" s="76">
        <v>0</v>
      </c>
      <c r="DY308" s="76">
        <v>0</v>
      </c>
      <c r="DZ308" s="76">
        <v>0</v>
      </c>
      <c r="EA308" s="76">
        <v>0</v>
      </c>
      <c r="EB308" s="76">
        <v>143</v>
      </c>
      <c r="EC308" s="76">
        <v>0</v>
      </c>
      <c r="ED308" s="76">
        <v>124</v>
      </c>
      <c r="EE308" s="76">
        <v>19</v>
      </c>
      <c r="EF308" s="76">
        <v>1354</v>
      </c>
      <c r="EG308" s="76">
        <v>0</v>
      </c>
      <c r="EH308" s="76">
        <v>726</v>
      </c>
      <c r="EI308" s="76">
        <v>628</v>
      </c>
      <c r="EJ308" s="76">
        <v>3715</v>
      </c>
      <c r="EK308" s="76">
        <v>1049</v>
      </c>
      <c r="EL308" s="76">
        <v>1716</v>
      </c>
      <c r="EM308" s="76">
        <v>950</v>
      </c>
      <c r="EN308" s="76">
        <v>621</v>
      </c>
      <c r="EO308" s="76">
        <v>200</v>
      </c>
      <c r="EP308" s="76">
        <v>280</v>
      </c>
      <c r="EQ308" s="76">
        <v>200</v>
      </c>
      <c r="ER308" s="76">
        <v>227226</v>
      </c>
      <c r="ES308" s="76">
        <v>0</v>
      </c>
      <c r="ET308" s="76">
        <v>227226</v>
      </c>
      <c r="EU308" s="76">
        <v>23203</v>
      </c>
      <c r="EV308" s="76">
        <v>-2199</v>
      </c>
      <c r="EW308" s="76">
        <v>0</v>
      </c>
      <c r="EX308" s="76">
        <v>0</v>
      </c>
      <c r="EY308" s="76">
        <v>0</v>
      </c>
      <c r="EZ308" s="76">
        <v>248230</v>
      </c>
      <c r="FA308" s="76">
        <v>7592</v>
      </c>
      <c r="FB308" s="76">
        <v>4244</v>
      </c>
      <c r="FC308" s="76">
        <v>0</v>
      </c>
      <c r="FD308" s="76">
        <v>0</v>
      </c>
      <c r="FE308" s="76">
        <v>-167</v>
      </c>
      <c r="FF308" s="76">
        <v>0</v>
      </c>
      <c r="FG308" s="76">
        <v>0</v>
      </c>
      <c r="FH308" s="76">
        <v>11669</v>
      </c>
      <c r="FI308" s="76">
        <v>236561</v>
      </c>
      <c r="FJ308" s="76">
        <v>219634</v>
      </c>
      <c r="FK308" s="76">
        <v>345</v>
      </c>
      <c r="FL308" s="76">
        <v>464</v>
      </c>
      <c r="FM308" s="76">
        <v>-119</v>
      </c>
      <c r="FN308" s="76">
        <v>4123</v>
      </c>
      <c r="FO308" s="76">
        <v>4084</v>
      </c>
      <c r="FP308" s="76">
        <v>39</v>
      </c>
      <c r="FQ308" s="76">
        <v>883</v>
      </c>
      <c r="FR308" s="76">
        <v>865</v>
      </c>
      <c r="FS308" s="76">
        <v>18</v>
      </c>
      <c r="FT308" s="76">
        <v>1651</v>
      </c>
      <c r="FU308" s="76">
        <v>1049</v>
      </c>
      <c r="FV308" s="76">
        <v>602</v>
      </c>
      <c r="FW308" s="76">
        <v>0</v>
      </c>
      <c r="FX308" s="76">
        <v>0</v>
      </c>
      <c r="FY308" s="76">
        <v>0</v>
      </c>
      <c r="FZ308" s="76">
        <v>22</v>
      </c>
      <c r="GA308" s="76">
        <v>1332</v>
      </c>
      <c r="GB308" s="76">
        <v>-1310</v>
      </c>
      <c r="GC308" s="76">
        <v>7024</v>
      </c>
      <c r="GD308" s="76">
        <v>7794</v>
      </c>
      <c r="GE308" s="76">
        <v>-770</v>
      </c>
      <c r="GF308" s="76">
        <v>0</v>
      </c>
      <c r="GG308" s="76">
        <v>0</v>
      </c>
      <c r="GH308" s="76">
        <v>0</v>
      </c>
      <c r="GI308" s="76">
        <v>0</v>
      </c>
      <c r="GJ308" s="76">
        <v>0</v>
      </c>
      <c r="GK308" s="76">
        <v>0</v>
      </c>
      <c r="GL308" s="76">
        <v>0</v>
      </c>
      <c r="GM308" s="76">
        <v>7952</v>
      </c>
      <c r="GN308" s="76">
        <v>987</v>
      </c>
      <c r="GO308" s="76">
        <v>0</v>
      </c>
      <c r="GP308" s="76">
        <v>0</v>
      </c>
      <c r="GQ308" s="76">
        <v>0</v>
      </c>
      <c r="GR308" s="76">
        <v>6248</v>
      </c>
      <c r="GS308" s="76">
        <v>5</v>
      </c>
      <c r="GT308" s="76">
        <v>0</v>
      </c>
      <c r="GU308" s="76">
        <v>48</v>
      </c>
      <c r="GV308" s="76">
        <v>0</v>
      </c>
      <c r="GW308" s="76">
        <v>153</v>
      </c>
      <c r="GX308" s="76">
        <v>15393</v>
      </c>
      <c r="GY308" s="76">
        <v>0</v>
      </c>
      <c r="GZ308" s="76">
        <v>0</v>
      </c>
      <c r="HA308" s="76">
        <v>0</v>
      </c>
      <c r="HB308" s="76">
        <v>29883</v>
      </c>
      <c r="HC308" s="76">
        <v>29883</v>
      </c>
      <c r="HD308" s="76">
        <v>0</v>
      </c>
      <c r="HE308" s="76">
        <v>0</v>
      </c>
      <c r="HF308" s="76">
        <v>0</v>
      </c>
      <c r="HG308" s="76">
        <v>3819</v>
      </c>
      <c r="HH308" s="76">
        <v>48</v>
      </c>
      <c r="HI308" s="76">
        <v>0</v>
      </c>
      <c r="HJ308" s="76">
        <v>0</v>
      </c>
      <c r="HK308" s="76">
        <v>11</v>
      </c>
      <c r="HL308" s="76">
        <v>-322</v>
      </c>
      <c r="HM308" s="76">
        <v>3556</v>
      </c>
      <c r="HN308" s="76">
        <v>4663</v>
      </c>
      <c r="HO308" s="76">
        <v>4666</v>
      </c>
      <c r="HP308" s="76">
        <v>0</v>
      </c>
      <c r="HQ308" s="76">
        <v>82</v>
      </c>
      <c r="HR308" s="76">
        <v>-44</v>
      </c>
      <c r="HS308" s="76">
        <v>0</v>
      </c>
      <c r="HT308" s="76">
        <v>4768</v>
      </c>
      <c r="HU308" s="76">
        <v>0</v>
      </c>
      <c r="HV308" s="76">
        <v>-4</v>
      </c>
      <c r="HW308" s="76">
        <v>0</v>
      </c>
      <c r="HX308" s="76">
        <v>32</v>
      </c>
    </row>
    <row r="309" spans="1:232" x14ac:dyDescent="0.2">
      <c r="A309" s="74" t="s">
        <v>826</v>
      </c>
      <c r="B309" s="74" t="s">
        <v>827</v>
      </c>
      <c r="C309" s="75" t="s">
        <v>200</v>
      </c>
      <c r="D309" s="75">
        <v>12</v>
      </c>
      <c r="E309" s="76">
        <v>15849</v>
      </c>
      <c r="F309" s="76">
        <v>0</v>
      </c>
      <c r="G309" s="76">
        <v>-11771</v>
      </c>
      <c r="H309" s="76">
        <v>4078</v>
      </c>
      <c r="I309" s="76">
        <v>381</v>
      </c>
      <c r="J309" s="76">
        <v>0</v>
      </c>
      <c r="K309" s="76">
        <v>0</v>
      </c>
      <c r="L309" s="76">
        <v>0</v>
      </c>
      <c r="M309" s="76">
        <v>3</v>
      </c>
      <c r="N309" s="76">
        <v>-628</v>
      </c>
      <c r="O309" s="76">
        <v>0</v>
      </c>
      <c r="P309" s="76">
        <v>0</v>
      </c>
      <c r="Q309" s="76">
        <v>0</v>
      </c>
      <c r="R309" s="76">
        <v>0</v>
      </c>
      <c r="S309" s="76">
        <v>3834</v>
      </c>
      <c r="T309" s="76">
        <v>0</v>
      </c>
      <c r="U309" s="76">
        <v>3834</v>
      </c>
      <c r="V309" s="76">
        <v>0</v>
      </c>
      <c r="W309" s="76">
        <v>-1270</v>
      </c>
      <c r="X309" s="76">
        <v>0</v>
      </c>
      <c r="Y309" s="76">
        <v>0</v>
      </c>
      <c r="Z309" s="76">
        <v>2564</v>
      </c>
      <c r="AA309" s="76">
        <v>12134</v>
      </c>
      <c r="AB309" s="76">
        <v>1924</v>
      </c>
      <c r="AC309" s="76">
        <v>14058</v>
      </c>
      <c r="AD309" s="76">
        <v>588</v>
      </c>
      <c r="AE309" s="76">
        <v>0</v>
      </c>
      <c r="AF309" s="76">
        <v>0</v>
      </c>
      <c r="AG309" s="76">
        <v>0</v>
      </c>
      <c r="AH309" s="76">
        <v>14646</v>
      </c>
      <c r="AI309" s="76">
        <v>2228</v>
      </c>
      <c r="AJ309" s="76">
        <v>2375</v>
      </c>
      <c r="AK309" s="76">
        <v>3161</v>
      </c>
      <c r="AL309" s="76">
        <v>1035</v>
      </c>
      <c r="AM309" s="76">
        <v>0</v>
      </c>
      <c r="AN309" s="76">
        <v>51</v>
      </c>
      <c r="AO309" s="76">
        <v>2138</v>
      </c>
      <c r="AP309" s="76">
        <v>0</v>
      </c>
      <c r="AQ309" s="76">
        <v>0</v>
      </c>
      <c r="AR309" s="76">
        <v>10988</v>
      </c>
      <c r="AS309" s="76">
        <v>3658</v>
      </c>
      <c r="AT309" s="76">
        <v>187</v>
      </c>
      <c r="AU309" s="76">
        <v>44844</v>
      </c>
      <c r="AV309" s="76">
        <v>0</v>
      </c>
      <c r="AW309" s="76">
        <v>2711</v>
      </c>
      <c r="AX309" s="76">
        <v>0</v>
      </c>
      <c r="AY309" s="76">
        <v>0</v>
      </c>
      <c r="AZ309" s="76">
        <v>0</v>
      </c>
      <c r="BA309" s="76">
        <v>0</v>
      </c>
      <c r="BB309" s="76">
        <v>0</v>
      </c>
      <c r="BC309" s="76">
        <v>0</v>
      </c>
      <c r="BD309" s="76">
        <v>0</v>
      </c>
      <c r="BE309" s="76">
        <v>47555</v>
      </c>
      <c r="BF309" s="76">
        <v>0</v>
      </c>
      <c r="BG309" s="76">
        <v>1373</v>
      </c>
      <c r="BH309" s="76">
        <v>4896</v>
      </c>
      <c r="BI309" s="76">
        <v>0</v>
      </c>
      <c r="BJ309" s="76">
        <v>70</v>
      </c>
      <c r="BK309" s="76">
        <v>6339</v>
      </c>
      <c r="BL309" s="76">
        <v>0</v>
      </c>
      <c r="BM309" s="76">
        <v>0</v>
      </c>
      <c r="BN309" s="76">
        <v>540</v>
      </c>
      <c r="BO309" s="76">
        <v>4254</v>
      </c>
      <c r="BP309" s="76">
        <v>4794</v>
      </c>
      <c r="BQ309" s="76">
        <v>1545</v>
      </c>
      <c r="BR309" s="76">
        <v>49100</v>
      </c>
      <c r="BS309" s="76">
        <v>10231</v>
      </c>
      <c r="BT309" s="76">
        <v>0</v>
      </c>
      <c r="BU309" s="76">
        <v>0</v>
      </c>
      <c r="BV309" s="76">
        <v>15038</v>
      </c>
      <c r="BW309" s="76">
        <v>0</v>
      </c>
      <c r="BX309" s="76">
        <v>0</v>
      </c>
      <c r="BY309" s="76">
        <v>0</v>
      </c>
      <c r="BZ309" s="76">
        <v>25269</v>
      </c>
      <c r="CA309" s="76">
        <v>2817</v>
      </c>
      <c r="CB309" s="76">
        <v>0</v>
      </c>
      <c r="CC309" s="76">
        <v>21014</v>
      </c>
      <c r="CD309" s="76">
        <v>21014</v>
      </c>
      <c r="CE309" s="76">
        <v>0</v>
      </c>
      <c r="CF309" s="76">
        <v>0</v>
      </c>
      <c r="CG309" s="76">
        <v>0</v>
      </c>
      <c r="CH309" s="76">
        <v>0</v>
      </c>
      <c r="CI309" s="76">
        <v>21014</v>
      </c>
      <c r="CJ309" s="76">
        <v>0</v>
      </c>
      <c r="CK309" s="76">
        <v>0</v>
      </c>
      <c r="CL309" s="76">
        <v>0</v>
      </c>
      <c r="CM309" s="76">
        <v>0</v>
      </c>
      <c r="CN309" s="76">
        <v>0</v>
      </c>
      <c r="CO309" s="76">
        <v>0</v>
      </c>
      <c r="CP309" s="76">
        <v>0</v>
      </c>
      <c r="CQ309" s="76">
        <v>0</v>
      </c>
      <c r="CR309" s="76">
        <v>0</v>
      </c>
      <c r="CS309" s="76">
        <v>0</v>
      </c>
      <c r="CT309" s="76">
        <v>0</v>
      </c>
      <c r="CU309" s="76">
        <v>0</v>
      </c>
      <c r="CV309" s="76">
        <v>0</v>
      </c>
      <c r="CW309" s="76">
        <v>0</v>
      </c>
      <c r="CX309" s="76">
        <v>0</v>
      </c>
      <c r="CY309" s="76">
        <v>0</v>
      </c>
      <c r="CZ309" s="76">
        <v>1082</v>
      </c>
      <c r="DA309" s="76">
        <v>0</v>
      </c>
      <c r="DB309" s="76">
        <v>767</v>
      </c>
      <c r="DC309" s="76">
        <v>315</v>
      </c>
      <c r="DD309" s="76">
        <v>1082</v>
      </c>
      <c r="DE309" s="76">
        <v>0</v>
      </c>
      <c r="DF309" s="76">
        <v>767</v>
      </c>
      <c r="DG309" s="76">
        <v>315</v>
      </c>
      <c r="DH309" s="76">
        <v>0</v>
      </c>
      <c r="DI309" s="76">
        <v>0</v>
      </c>
      <c r="DJ309" s="76">
        <v>0</v>
      </c>
      <c r="DK309" s="76">
        <v>0</v>
      </c>
      <c r="DL309" s="76">
        <v>0</v>
      </c>
      <c r="DM309" s="76">
        <v>0</v>
      </c>
      <c r="DN309" s="76">
        <v>0</v>
      </c>
      <c r="DO309" s="76">
        <v>0</v>
      </c>
      <c r="DP309" s="76">
        <v>0</v>
      </c>
      <c r="DQ309" s="76">
        <v>0</v>
      </c>
      <c r="DR309" s="76">
        <v>0</v>
      </c>
      <c r="DS309" s="76">
        <v>0</v>
      </c>
      <c r="DT309" s="76">
        <v>0</v>
      </c>
      <c r="DU309" s="76">
        <v>0</v>
      </c>
      <c r="DV309" s="76">
        <v>0</v>
      </c>
      <c r="DW309" s="76">
        <v>0</v>
      </c>
      <c r="DX309" s="76">
        <v>0</v>
      </c>
      <c r="DY309" s="76">
        <v>0</v>
      </c>
      <c r="DZ309" s="76">
        <v>0</v>
      </c>
      <c r="EA309" s="76">
        <v>0</v>
      </c>
      <c r="EB309" s="76">
        <v>121</v>
      </c>
      <c r="EC309" s="76">
        <v>0</v>
      </c>
      <c r="ED309" s="76">
        <v>16</v>
      </c>
      <c r="EE309" s="76">
        <v>105</v>
      </c>
      <c r="EF309" s="76">
        <v>121</v>
      </c>
      <c r="EG309" s="76">
        <v>0</v>
      </c>
      <c r="EH309" s="76">
        <v>16</v>
      </c>
      <c r="EI309" s="76">
        <v>105</v>
      </c>
      <c r="EJ309" s="76">
        <v>1203</v>
      </c>
      <c r="EK309" s="76">
        <v>0</v>
      </c>
      <c r="EL309" s="76">
        <v>783</v>
      </c>
      <c r="EM309" s="76">
        <v>420</v>
      </c>
      <c r="EN309" s="76">
        <v>407</v>
      </c>
      <c r="EO309" s="76">
        <v>120</v>
      </c>
      <c r="EP309" s="76">
        <v>144</v>
      </c>
      <c r="EQ309" s="76">
        <v>120</v>
      </c>
      <c r="ER309" s="76">
        <v>52078</v>
      </c>
      <c r="ES309" s="76">
        <v>0</v>
      </c>
      <c r="ET309" s="76">
        <v>52078</v>
      </c>
      <c r="EU309" s="76">
        <v>4941</v>
      </c>
      <c r="EV309" s="76">
        <v>-174</v>
      </c>
      <c r="EW309" s="76">
        <v>0</v>
      </c>
      <c r="EX309" s="76">
        <v>0</v>
      </c>
      <c r="EY309" s="76">
        <v>0</v>
      </c>
      <c r="EZ309" s="76">
        <v>56845</v>
      </c>
      <c r="FA309" s="76">
        <v>9913</v>
      </c>
      <c r="FB309" s="76">
        <v>2138</v>
      </c>
      <c r="FC309" s="76">
        <v>0</v>
      </c>
      <c r="FD309" s="76">
        <v>0</v>
      </c>
      <c r="FE309" s="76">
        <v>-50</v>
      </c>
      <c r="FF309" s="76">
        <v>0</v>
      </c>
      <c r="FG309" s="76">
        <v>0</v>
      </c>
      <c r="FH309" s="76">
        <v>12001</v>
      </c>
      <c r="FI309" s="76">
        <v>44844</v>
      </c>
      <c r="FJ309" s="76">
        <v>42165</v>
      </c>
      <c r="FK309" s="76">
        <v>0</v>
      </c>
      <c r="FL309" s="76">
        <v>0</v>
      </c>
      <c r="FM309" s="76">
        <v>0</v>
      </c>
      <c r="FN309" s="76">
        <v>313</v>
      </c>
      <c r="FO309" s="76">
        <v>105</v>
      </c>
      <c r="FP309" s="76">
        <v>208</v>
      </c>
      <c r="FQ309" s="76">
        <v>192</v>
      </c>
      <c r="FR309" s="76">
        <v>19</v>
      </c>
      <c r="FS309" s="76">
        <v>173</v>
      </c>
      <c r="FT309" s="76">
        <v>0</v>
      </c>
      <c r="FU309" s="76">
        <v>0</v>
      </c>
      <c r="FV309" s="76">
        <v>0</v>
      </c>
      <c r="FW309" s="76">
        <v>0</v>
      </c>
      <c r="FX309" s="76">
        <v>0</v>
      </c>
      <c r="FY309" s="76">
        <v>0</v>
      </c>
      <c r="FZ309" s="76">
        <v>0</v>
      </c>
      <c r="GA309" s="76">
        <v>0</v>
      </c>
      <c r="GB309" s="76">
        <v>0</v>
      </c>
      <c r="GC309" s="76">
        <v>505</v>
      </c>
      <c r="GD309" s="76">
        <v>124</v>
      </c>
      <c r="GE309" s="76">
        <v>381</v>
      </c>
      <c r="GF309" s="76">
        <v>70</v>
      </c>
      <c r="GG309" s="76">
        <v>0</v>
      </c>
      <c r="GH309" s="76">
        <v>0</v>
      </c>
      <c r="GI309" s="76">
        <v>0</v>
      </c>
      <c r="GJ309" s="76">
        <v>0</v>
      </c>
      <c r="GK309" s="76">
        <v>0</v>
      </c>
      <c r="GL309" s="76">
        <v>70</v>
      </c>
      <c r="GM309" s="76">
        <v>793</v>
      </c>
      <c r="GN309" s="76">
        <v>396</v>
      </c>
      <c r="GO309" s="76">
        <v>183</v>
      </c>
      <c r="GP309" s="76">
        <v>0</v>
      </c>
      <c r="GQ309" s="76">
        <v>0</v>
      </c>
      <c r="GR309" s="76">
        <v>2800</v>
      </c>
      <c r="GS309" s="76">
        <v>0</v>
      </c>
      <c r="GT309" s="76">
        <v>0</v>
      </c>
      <c r="GU309" s="76">
        <v>0</v>
      </c>
      <c r="GV309" s="76">
        <v>0</v>
      </c>
      <c r="GW309" s="76">
        <v>82</v>
      </c>
      <c r="GX309" s="76">
        <v>4254</v>
      </c>
      <c r="GY309" s="76">
        <v>0</v>
      </c>
      <c r="GZ309" s="76">
        <v>0</v>
      </c>
      <c r="HA309" s="76">
        <v>0</v>
      </c>
      <c r="HB309" s="76">
        <v>0</v>
      </c>
      <c r="HC309" s="76">
        <v>0</v>
      </c>
      <c r="HD309" s="76">
        <v>0</v>
      </c>
      <c r="HE309" s="76">
        <v>0</v>
      </c>
      <c r="HF309" s="76">
        <v>0</v>
      </c>
      <c r="HG309" s="76">
        <v>526</v>
      </c>
      <c r="HH309" s="76">
        <v>48</v>
      </c>
      <c r="HI309" s="76">
        <v>54</v>
      </c>
      <c r="HJ309" s="76">
        <v>0</v>
      </c>
      <c r="HK309" s="76">
        <v>0</v>
      </c>
      <c r="HL309" s="76">
        <v>0</v>
      </c>
      <c r="HM309" s="76">
        <v>628</v>
      </c>
      <c r="HN309" s="76">
        <v>4941</v>
      </c>
      <c r="HO309" s="76">
        <v>2271</v>
      </c>
      <c r="HP309" s="76">
        <v>0</v>
      </c>
      <c r="HQ309" s="76">
        <v>0</v>
      </c>
      <c r="HR309" s="76">
        <v>-11</v>
      </c>
      <c r="HS309" s="76">
        <v>1</v>
      </c>
      <c r="HT309" s="76">
        <v>2649</v>
      </c>
      <c r="HU309" s="76">
        <v>0</v>
      </c>
      <c r="HV309" s="76">
        <v>0</v>
      </c>
      <c r="HW309" s="76">
        <v>0</v>
      </c>
      <c r="HX309" s="76">
        <v>0</v>
      </c>
    </row>
    <row r="310" spans="1:232" x14ac:dyDescent="0.2">
      <c r="A310" s="74" t="s">
        <v>831</v>
      </c>
      <c r="B310" s="74" t="s">
        <v>830</v>
      </c>
      <c r="C310" s="75" t="s">
        <v>200</v>
      </c>
      <c r="D310" s="75">
        <v>12</v>
      </c>
      <c r="E310" s="76">
        <v>32030</v>
      </c>
      <c r="F310" s="76">
        <v>0</v>
      </c>
      <c r="G310" s="76">
        <v>-21633</v>
      </c>
      <c r="H310" s="76">
        <v>10397</v>
      </c>
      <c r="I310" s="76">
        <v>790</v>
      </c>
      <c r="J310" s="76">
        <v>28</v>
      </c>
      <c r="K310" s="76">
        <v>0</v>
      </c>
      <c r="L310" s="76">
        <v>0</v>
      </c>
      <c r="M310" s="76">
        <v>37</v>
      </c>
      <c r="N310" s="76">
        <v>-3463</v>
      </c>
      <c r="O310" s="76">
        <v>0</v>
      </c>
      <c r="P310" s="76">
        <v>0</v>
      </c>
      <c r="Q310" s="76">
        <v>0</v>
      </c>
      <c r="R310" s="76">
        <v>0</v>
      </c>
      <c r="S310" s="76">
        <v>7789</v>
      </c>
      <c r="T310" s="76">
        <v>0</v>
      </c>
      <c r="U310" s="76">
        <v>7789</v>
      </c>
      <c r="V310" s="76">
        <v>0</v>
      </c>
      <c r="W310" s="76">
        <v>-6588</v>
      </c>
      <c r="X310" s="76">
        <v>0</v>
      </c>
      <c r="Y310" s="76">
        <v>0</v>
      </c>
      <c r="Z310" s="76">
        <v>1201</v>
      </c>
      <c r="AA310" s="76">
        <v>29594</v>
      </c>
      <c r="AB310" s="76">
        <v>770</v>
      </c>
      <c r="AC310" s="76">
        <v>30364</v>
      </c>
      <c r="AD310" s="76">
        <v>100</v>
      </c>
      <c r="AE310" s="76">
        <v>0</v>
      </c>
      <c r="AF310" s="76">
        <v>30</v>
      </c>
      <c r="AG310" s="76">
        <v>0</v>
      </c>
      <c r="AH310" s="76">
        <v>30494</v>
      </c>
      <c r="AI310" s="76">
        <v>4839</v>
      </c>
      <c r="AJ310" s="76">
        <v>1642</v>
      </c>
      <c r="AK310" s="76">
        <v>4655</v>
      </c>
      <c r="AL310" s="76">
        <v>3684</v>
      </c>
      <c r="AM310" s="76">
        <v>1911</v>
      </c>
      <c r="AN310" s="76">
        <v>45</v>
      </c>
      <c r="AO310" s="76">
        <v>2683</v>
      </c>
      <c r="AP310" s="76">
        <v>0</v>
      </c>
      <c r="AQ310" s="76">
        <v>0</v>
      </c>
      <c r="AR310" s="76">
        <v>19459</v>
      </c>
      <c r="AS310" s="76">
        <v>11035</v>
      </c>
      <c r="AT310" s="76">
        <v>380</v>
      </c>
      <c r="AU310" s="76">
        <v>93517</v>
      </c>
      <c r="AV310" s="76">
        <v>0</v>
      </c>
      <c r="AW310" s="76">
        <v>4623</v>
      </c>
      <c r="AX310" s="76">
        <v>0</v>
      </c>
      <c r="AY310" s="76">
        <v>0</v>
      </c>
      <c r="AZ310" s="76">
        <v>0</v>
      </c>
      <c r="BA310" s="76">
        <v>0</v>
      </c>
      <c r="BB310" s="76">
        <v>0</v>
      </c>
      <c r="BC310" s="76">
        <v>0</v>
      </c>
      <c r="BD310" s="76">
        <v>0</v>
      </c>
      <c r="BE310" s="76">
        <v>98140</v>
      </c>
      <c r="BF310" s="76">
        <v>238</v>
      </c>
      <c r="BG310" s="76">
        <v>1462</v>
      </c>
      <c r="BH310" s="76">
        <v>15533</v>
      </c>
      <c r="BI310" s="76">
        <v>0</v>
      </c>
      <c r="BJ310" s="76">
        <v>96</v>
      </c>
      <c r="BK310" s="76">
        <v>17329</v>
      </c>
      <c r="BL310" s="76">
        <v>4663</v>
      </c>
      <c r="BM310" s="76">
        <v>0</v>
      </c>
      <c r="BN310" s="76">
        <v>141</v>
      </c>
      <c r="BO310" s="76">
        <v>4447</v>
      </c>
      <c r="BP310" s="76">
        <v>9251</v>
      </c>
      <c r="BQ310" s="76">
        <v>8078</v>
      </c>
      <c r="BR310" s="76">
        <v>106218</v>
      </c>
      <c r="BS310" s="76">
        <v>73398</v>
      </c>
      <c r="BT310" s="76">
        <v>0</v>
      </c>
      <c r="BU310" s="76">
        <v>61</v>
      </c>
      <c r="BV310" s="76">
        <v>7779</v>
      </c>
      <c r="BW310" s="76">
        <v>0</v>
      </c>
      <c r="BX310" s="76">
        <v>0</v>
      </c>
      <c r="BY310" s="76">
        <v>604</v>
      </c>
      <c r="BZ310" s="76">
        <v>81842</v>
      </c>
      <c r="CA310" s="76">
        <v>10829</v>
      </c>
      <c r="CB310" s="76">
        <v>0</v>
      </c>
      <c r="CC310" s="76">
        <v>13547</v>
      </c>
      <c r="CD310" s="76">
        <v>13503</v>
      </c>
      <c r="CE310" s="76">
        <v>0</v>
      </c>
      <c r="CF310" s="76">
        <v>44</v>
      </c>
      <c r="CG310" s="76">
        <v>0</v>
      </c>
      <c r="CH310" s="76">
        <v>0</v>
      </c>
      <c r="CI310" s="76">
        <v>13547</v>
      </c>
      <c r="CJ310" s="76">
        <v>0</v>
      </c>
      <c r="CK310" s="76">
        <v>0</v>
      </c>
      <c r="CL310" s="76">
        <v>0</v>
      </c>
      <c r="CM310" s="76">
        <v>0</v>
      </c>
      <c r="CN310" s="76">
        <v>0</v>
      </c>
      <c r="CO310" s="76">
        <v>0</v>
      </c>
      <c r="CP310" s="76">
        <v>0</v>
      </c>
      <c r="CQ310" s="76">
        <v>0</v>
      </c>
      <c r="CR310" s="76">
        <v>0</v>
      </c>
      <c r="CS310" s="76">
        <v>0</v>
      </c>
      <c r="CT310" s="76">
        <v>0</v>
      </c>
      <c r="CU310" s="76">
        <v>0</v>
      </c>
      <c r="CV310" s="76">
        <v>79</v>
      </c>
      <c r="CW310" s="76">
        <v>0</v>
      </c>
      <c r="CX310" s="76">
        <v>1387</v>
      </c>
      <c r="CY310" s="76">
        <v>-1308</v>
      </c>
      <c r="CZ310" s="76">
        <v>0</v>
      </c>
      <c r="DA310" s="76">
        <v>0</v>
      </c>
      <c r="DB310" s="76">
        <v>0</v>
      </c>
      <c r="DC310" s="76">
        <v>0</v>
      </c>
      <c r="DD310" s="76">
        <v>79</v>
      </c>
      <c r="DE310" s="76">
        <v>0</v>
      </c>
      <c r="DF310" s="76">
        <v>1387</v>
      </c>
      <c r="DG310" s="76">
        <v>-1308</v>
      </c>
      <c r="DH310" s="76">
        <v>0</v>
      </c>
      <c r="DI310" s="76">
        <v>0</v>
      </c>
      <c r="DJ310" s="76">
        <v>0</v>
      </c>
      <c r="DK310" s="76">
        <v>0</v>
      </c>
      <c r="DL310" s="76">
        <v>0</v>
      </c>
      <c r="DM310" s="76">
        <v>0</v>
      </c>
      <c r="DN310" s="76">
        <v>0</v>
      </c>
      <c r="DO310" s="76">
        <v>0</v>
      </c>
      <c r="DP310" s="76">
        <v>0</v>
      </c>
      <c r="DQ310" s="76">
        <v>0</v>
      </c>
      <c r="DR310" s="76">
        <v>0</v>
      </c>
      <c r="DS310" s="76">
        <v>0</v>
      </c>
      <c r="DT310" s="76">
        <v>0</v>
      </c>
      <c r="DU310" s="76">
        <v>0</v>
      </c>
      <c r="DV310" s="76">
        <v>0</v>
      </c>
      <c r="DW310" s="76">
        <v>0</v>
      </c>
      <c r="DX310" s="76">
        <v>0</v>
      </c>
      <c r="DY310" s="76">
        <v>0</v>
      </c>
      <c r="DZ310" s="76">
        <v>0</v>
      </c>
      <c r="EA310" s="76">
        <v>0</v>
      </c>
      <c r="EB310" s="76">
        <v>1457</v>
      </c>
      <c r="EC310" s="76">
        <v>0</v>
      </c>
      <c r="ED310" s="76">
        <v>787</v>
      </c>
      <c r="EE310" s="76">
        <v>670</v>
      </c>
      <c r="EF310" s="76">
        <v>1457</v>
      </c>
      <c r="EG310" s="76">
        <v>0</v>
      </c>
      <c r="EH310" s="76">
        <v>787</v>
      </c>
      <c r="EI310" s="76">
        <v>670</v>
      </c>
      <c r="EJ310" s="76">
        <v>1536</v>
      </c>
      <c r="EK310" s="76">
        <v>0</v>
      </c>
      <c r="EL310" s="76">
        <v>2174</v>
      </c>
      <c r="EM310" s="76">
        <v>-638</v>
      </c>
      <c r="EN310" s="76">
        <v>631</v>
      </c>
      <c r="EO310" s="76">
        <v>650</v>
      </c>
      <c r="EP310" s="76">
        <v>631</v>
      </c>
      <c r="EQ310" s="76">
        <v>650</v>
      </c>
      <c r="ER310" s="76">
        <v>111882</v>
      </c>
      <c r="ES310" s="76">
        <v>0</v>
      </c>
      <c r="ET310" s="76">
        <v>111882</v>
      </c>
      <c r="EU310" s="76">
        <v>3303</v>
      </c>
      <c r="EV310" s="76">
        <v>-521</v>
      </c>
      <c r="EW310" s="76">
        <v>0</v>
      </c>
      <c r="EX310" s="76">
        <v>0</v>
      </c>
      <c r="EY310" s="76">
        <v>0</v>
      </c>
      <c r="EZ310" s="76">
        <v>114664</v>
      </c>
      <c r="FA310" s="76">
        <v>18598</v>
      </c>
      <c r="FB310" s="76">
        <v>2656</v>
      </c>
      <c r="FC310" s="76">
        <v>0</v>
      </c>
      <c r="FD310" s="76">
        <v>0</v>
      </c>
      <c r="FE310" s="76">
        <v>-107</v>
      </c>
      <c r="FF310" s="76">
        <v>0</v>
      </c>
      <c r="FG310" s="76">
        <v>0</v>
      </c>
      <c r="FH310" s="76">
        <v>21147</v>
      </c>
      <c r="FI310" s="76">
        <v>93517</v>
      </c>
      <c r="FJ310" s="76">
        <v>93284</v>
      </c>
      <c r="FK310" s="76">
        <v>0</v>
      </c>
      <c r="FL310" s="76">
        <v>0</v>
      </c>
      <c r="FM310" s="76">
        <v>0</v>
      </c>
      <c r="FN310" s="76">
        <v>1039</v>
      </c>
      <c r="FO310" s="76">
        <v>315</v>
      </c>
      <c r="FP310" s="76">
        <v>724</v>
      </c>
      <c r="FQ310" s="76">
        <v>540</v>
      </c>
      <c r="FR310" s="76">
        <v>536</v>
      </c>
      <c r="FS310" s="76">
        <v>4</v>
      </c>
      <c r="FT310" s="76">
        <v>0</v>
      </c>
      <c r="FU310" s="76">
        <v>0</v>
      </c>
      <c r="FV310" s="76">
        <v>0</v>
      </c>
      <c r="FW310" s="76">
        <v>0</v>
      </c>
      <c r="FX310" s="76">
        <v>0</v>
      </c>
      <c r="FY310" s="76">
        <v>0</v>
      </c>
      <c r="FZ310" s="76">
        <v>69</v>
      </c>
      <c r="GA310" s="76">
        <v>7</v>
      </c>
      <c r="GB310" s="76">
        <v>62</v>
      </c>
      <c r="GC310" s="76">
        <v>1648</v>
      </c>
      <c r="GD310" s="76">
        <v>858</v>
      </c>
      <c r="GE310" s="76">
        <v>790</v>
      </c>
      <c r="GF310" s="76">
        <v>0</v>
      </c>
      <c r="GG310" s="76">
        <v>0</v>
      </c>
      <c r="GH310" s="76">
        <v>0</v>
      </c>
      <c r="GI310" s="76">
        <v>0</v>
      </c>
      <c r="GJ310" s="76">
        <v>0</v>
      </c>
      <c r="GK310" s="76">
        <v>96</v>
      </c>
      <c r="GL310" s="76">
        <v>96</v>
      </c>
      <c r="GM310" s="76">
        <v>1111</v>
      </c>
      <c r="GN310" s="76">
        <v>1001</v>
      </c>
      <c r="GO310" s="76">
        <v>0</v>
      </c>
      <c r="GP310" s="76">
        <v>0</v>
      </c>
      <c r="GQ310" s="76">
        <v>0</v>
      </c>
      <c r="GR310" s="76">
        <v>1089</v>
      </c>
      <c r="GS310" s="76">
        <v>40</v>
      </c>
      <c r="GT310" s="76">
        <v>0</v>
      </c>
      <c r="GU310" s="76">
        <v>0</v>
      </c>
      <c r="GV310" s="76">
        <v>0</v>
      </c>
      <c r="GW310" s="76">
        <v>1206</v>
      </c>
      <c r="GX310" s="76">
        <v>4447</v>
      </c>
      <c r="GY310" s="76">
        <v>0</v>
      </c>
      <c r="GZ310" s="76">
        <v>604</v>
      </c>
      <c r="HA310" s="76">
        <v>0</v>
      </c>
      <c r="HB310" s="76">
        <v>0</v>
      </c>
      <c r="HC310" s="76">
        <v>604</v>
      </c>
      <c r="HD310" s="76">
        <v>0</v>
      </c>
      <c r="HE310" s="76">
        <v>0</v>
      </c>
      <c r="HF310" s="76">
        <v>0</v>
      </c>
      <c r="HG310" s="76">
        <v>3348</v>
      </c>
      <c r="HH310" s="76">
        <v>0</v>
      </c>
      <c r="HI310" s="76">
        <v>134</v>
      </c>
      <c r="HJ310" s="76">
        <v>0</v>
      </c>
      <c r="HK310" s="76">
        <v>0</v>
      </c>
      <c r="HL310" s="76">
        <v>-19</v>
      </c>
      <c r="HM310" s="76">
        <v>3463</v>
      </c>
      <c r="HN310" s="76">
        <v>1923</v>
      </c>
      <c r="HO310" s="76">
        <v>3089</v>
      </c>
      <c r="HP310" s="76">
        <v>0</v>
      </c>
      <c r="HQ310" s="76">
        <v>7</v>
      </c>
      <c r="HR310" s="76">
        <v>-32</v>
      </c>
      <c r="HS310" s="76">
        <v>-7</v>
      </c>
      <c r="HT310" s="76">
        <v>6267</v>
      </c>
      <c r="HU310" s="76">
        <v>0</v>
      </c>
      <c r="HV310" s="76">
        <v>0</v>
      </c>
      <c r="HW310" s="76">
        <v>0</v>
      </c>
      <c r="HX310" s="76">
        <v>0</v>
      </c>
    </row>
    <row r="311" spans="1:232" x14ac:dyDescent="0.2">
      <c r="A311" s="74" t="s">
        <v>832</v>
      </c>
      <c r="B311" s="74" t="s">
        <v>833</v>
      </c>
      <c r="C311" s="75" t="s">
        <v>200</v>
      </c>
      <c r="D311" s="75">
        <v>12</v>
      </c>
      <c r="E311" s="76">
        <v>22445</v>
      </c>
      <c r="F311" s="76">
        <v>-708</v>
      </c>
      <c r="G311" s="76">
        <v>-13940</v>
      </c>
      <c r="H311" s="76">
        <v>7797</v>
      </c>
      <c r="I311" s="76">
        <v>709</v>
      </c>
      <c r="J311" s="76">
        <v>0</v>
      </c>
      <c r="K311" s="76">
        <v>0</v>
      </c>
      <c r="L311" s="76">
        <v>0</v>
      </c>
      <c r="M311" s="76">
        <v>25</v>
      </c>
      <c r="N311" s="76">
        <v>-2086</v>
      </c>
      <c r="O311" s="76">
        <v>419</v>
      </c>
      <c r="P311" s="76">
        <v>0</v>
      </c>
      <c r="Q311" s="76">
        <v>0</v>
      </c>
      <c r="R311" s="76">
        <v>0</v>
      </c>
      <c r="S311" s="76">
        <v>6864</v>
      </c>
      <c r="T311" s="76">
        <v>0</v>
      </c>
      <c r="U311" s="76">
        <v>6864</v>
      </c>
      <c r="V311" s="76">
        <v>0</v>
      </c>
      <c r="W311" s="76">
        <v>237</v>
      </c>
      <c r="X311" s="76">
        <v>0</v>
      </c>
      <c r="Y311" s="76">
        <v>0</v>
      </c>
      <c r="Z311" s="76">
        <v>7101</v>
      </c>
      <c r="AA311" s="76">
        <v>20555</v>
      </c>
      <c r="AB311" s="76">
        <v>321</v>
      </c>
      <c r="AC311" s="76">
        <v>20876</v>
      </c>
      <c r="AD311" s="76">
        <v>0</v>
      </c>
      <c r="AE311" s="76">
        <v>51</v>
      </c>
      <c r="AF311" s="76">
        <v>0</v>
      </c>
      <c r="AG311" s="76">
        <v>367</v>
      </c>
      <c r="AH311" s="76">
        <v>21294</v>
      </c>
      <c r="AI311" s="76">
        <v>3816</v>
      </c>
      <c r="AJ311" s="76">
        <v>624</v>
      </c>
      <c r="AK311" s="76">
        <v>4772</v>
      </c>
      <c r="AL311" s="76">
        <v>325</v>
      </c>
      <c r="AM311" s="76">
        <v>323</v>
      </c>
      <c r="AN311" s="76">
        <v>258</v>
      </c>
      <c r="AO311" s="76">
        <v>2957</v>
      </c>
      <c r="AP311" s="76">
        <v>0</v>
      </c>
      <c r="AQ311" s="76">
        <v>537</v>
      </c>
      <c r="AR311" s="76">
        <v>13612</v>
      </c>
      <c r="AS311" s="76">
        <v>7682</v>
      </c>
      <c r="AT311" s="76">
        <v>300</v>
      </c>
      <c r="AU311" s="76">
        <v>92381</v>
      </c>
      <c r="AV311" s="76">
        <v>0</v>
      </c>
      <c r="AW311" s="76">
        <v>128</v>
      </c>
      <c r="AX311" s="76">
        <v>0</v>
      </c>
      <c r="AY311" s="76">
        <v>0</v>
      </c>
      <c r="AZ311" s="76">
        <v>1885</v>
      </c>
      <c r="BA311" s="76">
        <v>0</v>
      </c>
      <c r="BB311" s="76">
        <v>0</v>
      </c>
      <c r="BC311" s="76">
        <v>0</v>
      </c>
      <c r="BD311" s="76">
        <v>0</v>
      </c>
      <c r="BE311" s="76">
        <v>94394</v>
      </c>
      <c r="BF311" s="76">
        <v>0</v>
      </c>
      <c r="BG311" s="76">
        <v>1248</v>
      </c>
      <c r="BH311" s="76">
        <v>2807</v>
      </c>
      <c r="BI311" s="76">
        <v>0</v>
      </c>
      <c r="BJ311" s="76">
        <v>0</v>
      </c>
      <c r="BK311" s="76">
        <v>4055</v>
      </c>
      <c r="BL311" s="76">
        <v>0</v>
      </c>
      <c r="BM311" s="76">
        <v>0</v>
      </c>
      <c r="BN311" s="76">
        <v>51</v>
      </c>
      <c r="BO311" s="76">
        <v>4041</v>
      </c>
      <c r="BP311" s="76">
        <v>4092</v>
      </c>
      <c r="BQ311" s="76">
        <v>-37</v>
      </c>
      <c r="BR311" s="76">
        <v>94357</v>
      </c>
      <c r="BS311" s="76">
        <v>35821</v>
      </c>
      <c r="BT311" s="76">
        <v>0</v>
      </c>
      <c r="BU311" s="76">
        <v>0</v>
      </c>
      <c r="BV311" s="76">
        <v>3584</v>
      </c>
      <c r="BW311" s="76">
        <v>0</v>
      </c>
      <c r="BX311" s="76">
        <v>0</v>
      </c>
      <c r="BY311" s="76">
        <v>399</v>
      </c>
      <c r="BZ311" s="76">
        <v>39804</v>
      </c>
      <c r="CA311" s="76">
        <v>-874</v>
      </c>
      <c r="CB311" s="76">
        <v>0</v>
      </c>
      <c r="CC311" s="76">
        <v>55427</v>
      </c>
      <c r="CD311" s="76">
        <v>55427</v>
      </c>
      <c r="CE311" s="76">
        <v>0</v>
      </c>
      <c r="CF311" s="76">
        <v>0</v>
      </c>
      <c r="CG311" s="76">
        <v>0</v>
      </c>
      <c r="CH311" s="76">
        <v>0</v>
      </c>
      <c r="CI311" s="76">
        <v>55427</v>
      </c>
      <c r="CJ311" s="76">
        <v>965</v>
      </c>
      <c r="CK311" s="76">
        <v>708</v>
      </c>
      <c r="CL311" s="76">
        <v>0</v>
      </c>
      <c r="CM311" s="76">
        <v>257</v>
      </c>
      <c r="CN311" s="76">
        <v>54</v>
      </c>
      <c r="CO311" s="76">
        <v>0</v>
      </c>
      <c r="CP311" s="76">
        <v>328</v>
      </c>
      <c r="CQ311" s="76">
        <v>-274</v>
      </c>
      <c r="CR311" s="76">
        <v>0</v>
      </c>
      <c r="CS311" s="76">
        <v>0</v>
      </c>
      <c r="CT311" s="76">
        <v>0</v>
      </c>
      <c r="CU311" s="76">
        <v>0</v>
      </c>
      <c r="CV311" s="76">
        <v>0</v>
      </c>
      <c r="CW311" s="76">
        <v>0</v>
      </c>
      <c r="CX311" s="76">
        <v>0</v>
      </c>
      <c r="CY311" s="76">
        <v>0</v>
      </c>
      <c r="CZ311" s="76">
        <v>0</v>
      </c>
      <c r="DA311" s="76">
        <v>0</v>
      </c>
      <c r="DB311" s="76">
        <v>0</v>
      </c>
      <c r="DC311" s="76">
        <v>0</v>
      </c>
      <c r="DD311" s="76">
        <v>1019</v>
      </c>
      <c r="DE311" s="76">
        <v>708</v>
      </c>
      <c r="DF311" s="76">
        <v>328</v>
      </c>
      <c r="DG311" s="76">
        <v>-17</v>
      </c>
      <c r="DH311" s="76">
        <v>0</v>
      </c>
      <c r="DI311" s="76">
        <v>0</v>
      </c>
      <c r="DJ311" s="76">
        <v>0</v>
      </c>
      <c r="DK311" s="76">
        <v>0</v>
      </c>
      <c r="DL311" s="76">
        <v>0</v>
      </c>
      <c r="DM311" s="76">
        <v>0</v>
      </c>
      <c r="DN311" s="76">
        <v>0</v>
      </c>
      <c r="DO311" s="76">
        <v>0</v>
      </c>
      <c r="DP311" s="76">
        <v>0</v>
      </c>
      <c r="DQ311" s="76">
        <v>0</v>
      </c>
      <c r="DR311" s="76">
        <v>0</v>
      </c>
      <c r="DS311" s="76">
        <v>0</v>
      </c>
      <c r="DT311" s="76">
        <v>0</v>
      </c>
      <c r="DU311" s="76">
        <v>0</v>
      </c>
      <c r="DV311" s="76">
        <v>0</v>
      </c>
      <c r="DW311" s="76">
        <v>0</v>
      </c>
      <c r="DX311" s="76">
        <v>0</v>
      </c>
      <c r="DY311" s="76">
        <v>0</v>
      </c>
      <c r="DZ311" s="76">
        <v>0</v>
      </c>
      <c r="EA311" s="76">
        <v>0</v>
      </c>
      <c r="EB311" s="76">
        <v>132</v>
      </c>
      <c r="EC311" s="76">
        <v>0</v>
      </c>
      <c r="ED311" s="76">
        <v>0</v>
      </c>
      <c r="EE311" s="76">
        <v>132</v>
      </c>
      <c r="EF311" s="76">
        <v>132</v>
      </c>
      <c r="EG311" s="76">
        <v>0</v>
      </c>
      <c r="EH311" s="76">
        <v>0</v>
      </c>
      <c r="EI311" s="76">
        <v>132</v>
      </c>
      <c r="EJ311" s="76">
        <v>1151</v>
      </c>
      <c r="EK311" s="76">
        <v>708</v>
      </c>
      <c r="EL311" s="76">
        <v>328</v>
      </c>
      <c r="EM311" s="76">
        <v>115</v>
      </c>
      <c r="EN311" s="76">
        <v>1048</v>
      </c>
      <c r="EO311" s="76">
        <v>0</v>
      </c>
      <c r="EP311" s="76">
        <v>407</v>
      </c>
      <c r="EQ311" s="76">
        <v>0</v>
      </c>
      <c r="ER311" s="76">
        <v>99977</v>
      </c>
      <c r="ES311" s="76">
        <v>0</v>
      </c>
      <c r="ET311" s="76">
        <v>99977</v>
      </c>
      <c r="EU311" s="76">
        <v>9256</v>
      </c>
      <c r="EV311" s="76">
        <v>-315</v>
      </c>
      <c r="EW311" s="76">
        <v>0</v>
      </c>
      <c r="EX311" s="76">
        <v>0</v>
      </c>
      <c r="EY311" s="76">
        <v>247</v>
      </c>
      <c r="EZ311" s="76">
        <v>109165</v>
      </c>
      <c r="FA311" s="76">
        <v>14042</v>
      </c>
      <c r="FB311" s="76">
        <v>2822</v>
      </c>
      <c r="FC311" s="76">
        <v>0</v>
      </c>
      <c r="FD311" s="76">
        <v>0</v>
      </c>
      <c r="FE311" s="76">
        <v>-80</v>
      </c>
      <c r="FF311" s="76">
        <v>0</v>
      </c>
      <c r="FG311" s="76">
        <v>0</v>
      </c>
      <c r="FH311" s="76">
        <v>16784</v>
      </c>
      <c r="FI311" s="76">
        <v>92381</v>
      </c>
      <c r="FJ311" s="76">
        <v>85935</v>
      </c>
      <c r="FK311" s="76">
        <v>965</v>
      </c>
      <c r="FL311" s="76">
        <v>708</v>
      </c>
      <c r="FM311" s="76">
        <v>257</v>
      </c>
      <c r="FN311" s="76">
        <v>1043</v>
      </c>
      <c r="FO311" s="76">
        <v>591</v>
      </c>
      <c r="FP311" s="76">
        <v>452</v>
      </c>
      <c r="FQ311" s="76">
        <v>0</v>
      </c>
      <c r="FR311" s="76">
        <v>0</v>
      </c>
      <c r="FS311" s="76">
        <v>0</v>
      </c>
      <c r="FT311" s="76">
        <v>0</v>
      </c>
      <c r="FU311" s="76">
        <v>0</v>
      </c>
      <c r="FV311" s="76">
        <v>0</v>
      </c>
      <c r="FW311" s="76">
        <v>0</v>
      </c>
      <c r="FX311" s="76">
        <v>0</v>
      </c>
      <c r="FY311" s="76">
        <v>0</v>
      </c>
      <c r="FZ311" s="76">
        <v>0</v>
      </c>
      <c r="GA311" s="76">
        <v>0</v>
      </c>
      <c r="GB311" s="76">
        <v>0</v>
      </c>
      <c r="GC311" s="76">
        <v>2008</v>
      </c>
      <c r="GD311" s="76">
        <v>1299</v>
      </c>
      <c r="GE311" s="76">
        <v>709</v>
      </c>
      <c r="GF311" s="76">
        <v>0</v>
      </c>
      <c r="GG311" s="76">
        <v>0</v>
      </c>
      <c r="GH311" s="76">
        <v>0</v>
      </c>
      <c r="GI311" s="76">
        <v>0</v>
      </c>
      <c r="GJ311" s="76">
        <v>0</v>
      </c>
      <c r="GK311" s="76">
        <v>0</v>
      </c>
      <c r="GL311" s="76">
        <v>0</v>
      </c>
      <c r="GM311" s="76">
        <v>132</v>
      </c>
      <c r="GN311" s="76">
        <v>442</v>
      </c>
      <c r="GO311" s="76">
        <v>0</v>
      </c>
      <c r="GP311" s="76">
        <v>0</v>
      </c>
      <c r="GQ311" s="76">
        <v>0</v>
      </c>
      <c r="GR311" s="76">
        <v>2228</v>
      </c>
      <c r="GS311" s="76">
        <v>0</v>
      </c>
      <c r="GT311" s="76">
        <v>0</v>
      </c>
      <c r="GU311" s="76">
        <v>22</v>
      </c>
      <c r="GV311" s="76">
        <v>0</v>
      </c>
      <c r="GW311" s="76">
        <v>1217</v>
      </c>
      <c r="GX311" s="76">
        <v>4041</v>
      </c>
      <c r="GY311" s="76">
        <v>0</v>
      </c>
      <c r="GZ311" s="76">
        <v>0</v>
      </c>
      <c r="HA311" s="76">
        <v>204</v>
      </c>
      <c r="HB311" s="76">
        <v>195</v>
      </c>
      <c r="HC311" s="76">
        <v>399</v>
      </c>
      <c r="HD311" s="76">
        <v>0</v>
      </c>
      <c r="HE311" s="76">
        <v>0</v>
      </c>
      <c r="HF311" s="76">
        <v>0</v>
      </c>
      <c r="HG311" s="76">
        <v>2169</v>
      </c>
      <c r="HH311" s="76">
        <v>0</v>
      </c>
      <c r="HI311" s="76">
        <v>0</v>
      </c>
      <c r="HJ311" s="76">
        <v>0</v>
      </c>
      <c r="HK311" s="76">
        <v>0</v>
      </c>
      <c r="HL311" s="76">
        <v>-83</v>
      </c>
      <c r="HM311" s="76">
        <v>2086</v>
      </c>
      <c r="HN311" s="76">
        <v>1928</v>
      </c>
      <c r="HO311" s="76">
        <v>2957</v>
      </c>
      <c r="HP311" s="76">
        <v>0</v>
      </c>
      <c r="HQ311" s="76">
        <v>92</v>
      </c>
      <c r="HR311" s="76">
        <v>-28</v>
      </c>
      <c r="HS311" s="76">
        <v>-6</v>
      </c>
      <c r="HT311" s="76">
        <v>4676</v>
      </c>
      <c r="HU311" s="76">
        <v>4</v>
      </c>
      <c r="HV311" s="76">
        <v>0</v>
      </c>
      <c r="HW311" s="76">
        <v>5</v>
      </c>
      <c r="HX311" s="76">
        <v>117</v>
      </c>
    </row>
    <row r="312" spans="1:232" x14ac:dyDescent="0.2">
      <c r="A312" s="71" t="s">
        <v>189</v>
      </c>
      <c r="B312" s="71" t="s">
        <v>187</v>
      </c>
      <c r="C312" s="72" t="s">
        <v>201</v>
      </c>
      <c r="D312" s="72">
        <v>12</v>
      </c>
      <c r="E312" s="73">
        <v>45967</v>
      </c>
      <c r="F312" s="73">
        <v>-1828</v>
      </c>
      <c r="G312" s="73">
        <v>-26510</v>
      </c>
      <c r="H312" s="73">
        <v>17629</v>
      </c>
      <c r="I312" s="73">
        <v>805</v>
      </c>
      <c r="J312" s="73">
        <v>0</v>
      </c>
      <c r="K312" s="73">
        <v>0</v>
      </c>
      <c r="L312" s="73">
        <v>0</v>
      </c>
      <c r="M312" s="73">
        <v>60</v>
      </c>
      <c r="N312" s="73">
        <v>-6606</v>
      </c>
      <c r="O312" s="73">
        <v>0</v>
      </c>
      <c r="P312" s="73">
        <v>0</v>
      </c>
      <c r="Q312" s="73">
        <v>0</v>
      </c>
      <c r="R312" s="73">
        <v>0</v>
      </c>
      <c r="S312" s="73">
        <v>11888</v>
      </c>
      <c r="T312" s="73">
        <v>0</v>
      </c>
      <c r="U312" s="73">
        <v>11888</v>
      </c>
      <c r="V312" s="73">
        <v>0</v>
      </c>
      <c r="W312" s="73">
        <v>-7851</v>
      </c>
      <c r="X312" s="73">
        <v>0</v>
      </c>
      <c r="Y312" s="73">
        <v>0</v>
      </c>
      <c r="Z312" s="73">
        <v>4037</v>
      </c>
      <c r="AA312" s="73">
        <v>37609</v>
      </c>
      <c r="AB312" s="73">
        <v>2942</v>
      </c>
      <c r="AC312" s="73">
        <v>40551</v>
      </c>
      <c r="AD312" s="73">
        <v>958</v>
      </c>
      <c r="AE312" s="73">
        <v>0</v>
      </c>
      <c r="AF312" s="73">
        <v>285</v>
      </c>
      <c r="AG312" s="73">
        <v>0</v>
      </c>
      <c r="AH312" s="73">
        <v>41794</v>
      </c>
      <c r="AI312" s="73">
        <v>3797</v>
      </c>
      <c r="AJ312" s="73">
        <v>4412</v>
      </c>
      <c r="AK312" s="73">
        <v>5214</v>
      </c>
      <c r="AL312" s="73">
        <v>5597</v>
      </c>
      <c r="AM312" s="73">
        <v>23</v>
      </c>
      <c r="AN312" s="73">
        <v>141</v>
      </c>
      <c r="AO312" s="73">
        <v>5044</v>
      </c>
      <c r="AP312" s="73">
        <v>0</v>
      </c>
      <c r="AQ312" s="73">
        <v>44</v>
      </c>
      <c r="AR312" s="73">
        <v>24272</v>
      </c>
      <c r="AS312" s="73">
        <v>17522</v>
      </c>
      <c r="AT312" s="73">
        <v>477</v>
      </c>
      <c r="AU312" s="73">
        <v>517320</v>
      </c>
      <c r="AV312" s="73">
        <v>0</v>
      </c>
      <c r="AW312" s="73">
        <v>3172</v>
      </c>
      <c r="AX312" s="73">
        <v>0</v>
      </c>
      <c r="AY312" s="73">
        <v>0</v>
      </c>
      <c r="AZ312" s="73">
        <v>6625</v>
      </c>
      <c r="BA312" s="73">
        <v>0</v>
      </c>
      <c r="BB312" s="73">
        <v>0</v>
      </c>
      <c r="BC312" s="73">
        <v>0</v>
      </c>
      <c r="BD312" s="73">
        <v>0</v>
      </c>
      <c r="BE312" s="73">
        <v>527117</v>
      </c>
      <c r="BF312" s="73">
        <v>3822</v>
      </c>
      <c r="BG312" s="73">
        <v>2125</v>
      </c>
      <c r="BH312" s="73">
        <v>19756</v>
      </c>
      <c r="BI312" s="73">
        <v>0</v>
      </c>
      <c r="BJ312" s="73">
        <v>164</v>
      </c>
      <c r="BK312" s="73">
        <v>25867</v>
      </c>
      <c r="BL312" s="73">
        <v>1293</v>
      </c>
      <c r="BM312" s="73">
        <v>0</v>
      </c>
      <c r="BN312" s="73">
        <v>0</v>
      </c>
      <c r="BO312" s="73">
        <v>5062</v>
      </c>
      <c r="BP312" s="73">
        <v>6355</v>
      </c>
      <c r="BQ312" s="73">
        <v>19512</v>
      </c>
      <c r="BR312" s="73">
        <v>546629</v>
      </c>
      <c r="BS312" s="73">
        <v>175010</v>
      </c>
      <c r="BT312" s="73">
        <v>0</v>
      </c>
      <c r="BU312" s="73">
        <v>21416</v>
      </c>
      <c r="BV312" s="73">
        <v>85696</v>
      </c>
      <c r="BW312" s="73">
        <v>0</v>
      </c>
      <c r="BX312" s="73">
        <v>0</v>
      </c>
      <c r="BY312" s="73">
        <v>1116</v>
      </c>
      <c r="BZ312" s="73">
        <v>283238</v>
      </c>
      <c r="CA312" s="73">
        <v>12620</v>
      </c>
      <c r="CB312" s="73">
        <v>0</v>
      </c>
      <c r="CC312" s="73">
        <v>250771</v>
      </c>
      <c r="CD312" s="73">
        <v>82275</v>
      </c>
      <c r="CE312" s="73">
        <v>168496</v>
      </c>
      <c r="CF312" s="73">
        <v>0</v>
      </c>
      <c r="CG312" s="73">
        <v>0</v>
      </c>
      <c r="CH312" s="73">
        <v>0</v>
      </c>
      <c r="CI312" s="73">
        <v>250771</v>
      </c>
      <c r="CJ312" s="73">
        <v>2511</v>
      </c>
      <c r="CK312" s="73">
        <v>1828</v>
      </c>
      <c r="CL312" s="73">
        <v>0</v>
      </c>
      <c r="CM312" s="73">
        <v>683</v>
      </c>
      <c r="CN312" s="73">
        <v>900</v>
      </c>
      <c r="CO312" s="73">
        <v>0</v>
      </c>
      <c r="CP312" s="73">
        <v>1068</v>
      </c>
      <c r="CQ312" s="73">
        <v>-168</v>
      </c>
      <c r="CR312" s="73">
        <v>0</v>
      </c>
      <c r="CS312" s="73">
        <v>0</v>
      </c>
      <c r="CT312" s="73">
        <v>189</v>
      </c>
      <c r="CU312" s="73">
        <v>-189</v>
      </c>
      <c r="CV312" s="73">
        <v>0</v>
      </c>
      <c r="CW312" s="73">
        <v>0</v>
      </c>
      <c r="CX312" s="73">
        <v>796</v>
      </c>
      <c r="CY312" s="73">
        <v>-796</v>
      </c>
      <c r="CZ312" s="73">
        <v>98</v>
      </c>
      <c r="DA312" s="73">
        <v>0</v>
      </c>
      <c r="DB312" s="73">
        <v>65</v>
      </c>
      <c r="DC312" s="73">
        <v>33</v>
      </c>
      <c r="DD312" s="73">
        <v>3509</v>
      </c>
      <c r="DE312" s="73">
        <v>1828</v>
      </c>
      <c r="DF312" s="73">
        <v>2118</v>
      </c>
      <c r="DG312" s="73">
        <v>-437</v>
      </c>
      <c r="DH312" s="73">
        <v>0</v>
      </c>
      <c r="DI312" s="73">
        <v>0</v>
      </c>
      <c r="DJ312" s="73">
        <v>0</v>
      </c>
      <c r="DK312" s="73">
        <v>0</v>
      </c>
      <c r="DL312" s="73">
        <v>0</v>
      </c>
      <c r="DM312" s="73">
        <v>0</v>
      </c>
      <c r="DN312" s="73">
        <v>0</v>
      </c>
      <c r="DO312" s="73">
        <v>0</v>
      </c>
      <c r="DP312" s="73">
        <v>0</v>
      </c>
      <c r="DQ312" s="73">
        <v>0</v>
      </c>
      <c r="DR312" s="73">
        <v>0</v>
      </c>
      <c r="DS312" s="73">
        <v>0</v>
      </c>
      <c r="DT312" s="73">
        <v>0</v>
      </c>
      <c r="DU312" s="73">
        <v>0</v>
      </c>
      <c r="DV312" s="73">
        <v>0</v>
      </c>
      <c r="DW312" s="73">
        <v>0</v>
      </c>
      <c r="DX312" s="73">
        <v>0</v>
      </c>
      <c r="DY312" s="73">
        <v>0</v>
      </c>
      <c r="DZ312" s="73">
        <v>0</v>
      </c>
      <c r="EA312" s="73">
        <v>0</v>
      </c>
      <c r="EB312" s="73">
        <v>664</v>
      </c>
      <c r="EC312" s="73">
        <v>0</v>
      </c>
      <c r="ED312" s="73">
        <v>120</v>
      </c>
      <c r="EE312" s="73">
        <v>544</v>
      </c>
      <c r="EF312" s="73">
        <v>664</v>
      </c>
      <c r="EG312" s="73">
        <v>0</v>
      </c>
      <c r="EH312" s="73">
        <v>120</v>
      </c>
      <c r="EI312" s="73">
        <v>544</v>
      </c>
      <c r="EJ312" s="73">
        <v>4173</v>
      </c>
      <c r="EK312" s="73">
        <v>1828</v>
      </c>
      <c r="EL312" s="73">
        <v>2238</v>
      </c>
      <c r="EM312" s="73">
        <v>107</v>
      </c>
      <c r="EN312" s="73">
        <v>930</v>
      </c>
      <c r="EO312" s="73">
        <v>121</v>
      </c>
      <c r="EP312" s="73">
        <v>402</v>
      </c>
      <c r="EQ312" s="73">
        <v>121</v>
      </c>
      <c r="ER312" s="73">
        <v>529293</v>
      </c>
      <c r="ES312" s="73">
        <v>0</v>
      </c>
      <c r="ET312" s="73">
        <v>529293</v>
      </c>
      <c r="EU312" s="73">
        <v>41265</v>
      </c>
      <c r="EV312" s="73">
        <v>-3734</v>
      </c>
      <c r="EW312" s="73">
        <v>0</v>
      </c>
      <c r="EX312" s="73">
        <v>0</v>
      </c>
      <c r="EY312" s="73">
        <v>0</v>
      </c>
      <c r="EZ312" s="73">
        <v>566824</v>
      </c>
      <c r="FA312" s="73">
        <v>46173</v>
      </c>
      <c r="FB312" s="73">
        <v>5044</v>
      </c>
      <c r="FC312" s="73">
        <v>0</v>
      </c>
      <c r="FD312" s="73">
        <v>0</v>
      </c>
      <c r="FE312" s="73">
        <v>-1713</v>
      </c>
      <c r="FF312" s="73">
        <v>0</v>
      </c>
      <c r="FG312" s="73">
        <v>0</v>
      </c>
      <c r="FH312" s="73">
        <v>49504</v>
      </c>
      <c r="FI312" s="73">
        <v>517320</v>
      </c>
      <c r="FJ312" s="73">
        <v>483120</v>
      </c>
      <c r="FK312" s="73">
        <v>1453</v>
      </c>
      <c r="FL312" s="73">
        <v>1040</v>
      </c>
      <c r="FM312" s="73">
        <v>413</v>
      </c>
      <c r="FN312" s="73">
        <v>1380</v>
      </c>
      <c r="FO312" s="73">
        <v>1031</v>
      </c>
      <c r="FP312" s="73">
        <v>349</v>
      </c>
      <c r="FQ312" s="73">
        <v>0</v>
      </c>
      <c r="FR312" s="73">
        <v>0</v>
      </c>
      <c r="FS312" s="73">
        <v>0</v>
      </c>
      <c r="FT312" s="73">
        <v>43</v>
      </c>
      <c r="FU312" s="73">
        <v>0</v>
      </c>
      <c r="FV312" s="73">
        <v>43</v>
      </c>
      <c r="FW312" s="73">
        <v>0</v>
      </c>
      <c r="FX312" s="73">
        <v>0</v>
      </c>
      <c r="FY312" s="73">
        <v>0</v>
      </c>
      <c r="FZ312" s="73">
        <v>0</v>
      </c>
      <c r="GA312" s="73">
        <v>0</v>
      </c>
      <c r="GB312" s="73">
        <v>0</v>
      </c>
      <c r="GC312" s="73">
        <v>2876</v>
      </c>
      <c r="GD312" s="73">
        <v>2071</v>
      </c>
      <c r="GE312" s="73">
        <v>805</v>
      </c>
      <c r="GF312" s="73">
        <v>18</v>
      </c>
      <c r="GG312" s="73">
        <v>3</v>
      </c>
      <c r="GH312" s="73">
        <v>6</v>
      </c>
      <c r="GI312" s="73">
        <v>0</v>
      </c>
      <c r="GJ312" s="73">
        <v>0</v>
      </c>
      <c r="GK312" s="73">
        <v>137</v>
      </c>
      <c r="GL312" s="73">
        <v>164</v>
      </c>
      <c r="GM312" s="73">
        <v>2185</v>
      </c>
      <c r="GN312" s="73">
        <v>909</v>
      </c>
      <c r="GO312" s="73">
        <v>0</v>
      </c>
      <c r="GP312" s="73">
        <v>28</v>
      </c>
      <c r="GQ312" s="73">
        <v>0</v>
      </c>
      <c r="GR312" s="73">
        <v>71</v>
      </c>
      <c r="GS312" s="73">
        <v>108</v>
      </c>
      <c r="GT312" s="73">
        <v>0</v>
      </c>
      <c r="GU312" s="73">
        <v>0</v>
      </c>
      <c r="GV312" s="73">
        <v>0</v>
      </c>
      <c r="GW312" s="73">
        <v>1761</v>
      </c>
      <c r="GX312" s="73">
        <v>5062</v>
      </c>
      <c r="GY312" s="73">
        <v>493</v>
      </c>
      <c r="GZ312" s="73">
        <v>0</v>
      </c>
      <c r="HA312" s="73">
        <v>0</v>
      </c>
      <c r="HB312" s="73">
        <v>623</v>
      </c>
      <c r="HC312" s="73">
        <v>1116</v>
      </c>
      <c r="HD312" s="73">
        <v>0</v>
      </c>
      <c r="HE312" s="73">
        <v>0</v>
      </c>
      <c r="HF312" s="73">
        <v>0</v>
      </c>
      <c r="HG312" s="73">
        <v>6897</v>
      </c>
      <c r="HH312" s="73">
        <v>-43</v>
      </c>
      <c r="HI312" s="73">
        <v>165</v>
      </c>
      <c r="HJ312" s="73">
        <v>0</v>
      </c>
      <c r="HK312" s="73">
        <v>50</v>
      </c>
      <c r="HL312" s="73">
        <v>-463</v>
      </c>
      <c r="HM312" s="73">
        <v>6606</v>
      </c>
      <c r="HN312" s="73">
        <v>2722</v>
      </c>
      <c r="HO312" s="73">
        <v>5722</v>
      </c>
      <c r="HP312" s="73">
        <v>0</v>
      </c>
      <c r="HQ312" s="73">
        <v>254</v>
      </c>
      <c r="HR312" s="73">
        <v>-16</v>
      </c>
      <c r="HS312" s="73">
        <v>0</v>
      </c>
      <c r="HT312" s="73">
        <v>6970</v>
      </c>
      <c r="HU312" s="73">
        <v>0</v>
      </c>
      <c r="HV312" s="73">
        <v>0</v>
      </c>
      <c r="HW312" s="73">
        <v>7</v>
      </c>
      <c r="HX312" s="73">
        <v>170</v>
      </c>
    </row>
    <row r="313" spans="1:232" x14ac:dyDescent="0.2">
      <c r="A313" s="74" t="s">
        <v>191</v>
      </c>
      <c r="B313" s="74" t="s">
        <v>190</v>
      </c>
      <c r="C313" s="75" t="s">
        <v>200</v>
      </c>
      <c r="D313" s="75">
        <v>12</v>
      </c>
      <c r="E313" s="76">
        <v>34839</v>
      </c>
      <c r="F313" s="76">
        <v>0</v>
      </c>
      <c r="G313" s="76">
        <v>-22296</v>
      </c>
      <c r="H313" s="76">
        <v>12543</v>
      </c>
      <c r="I313" s="76">
        <v>413</v>
      </c>
      <c r="J313" s="76">
        <v>0</v>
      </c>
      <c r="K313" s="76">
        <v>0</v>
      </c>
      <c r="L313" s="76">
        <v>0</v>
      </c>
      <c r="M313" s="76">
        <v>286</v>
      </c>
      <c r="N313" s="76">
        <v>-5631</v>
      </c>
      <c r="O313" s="76">
        <v>0</v>
      </c>
      <c r="P313" s="76">
        <v>0</v>
      </c>
      <c r="Q313" s="76">
        <v>0</v>
      </c>
      <c r="R313" s="76">
        <v>0</v>
      </c>
      <c r="S313" s="76">
        <v>7611</v>
      </c>
      <c r="T313" s="76">
        <v>0</v>
      </c>
      <c r="U313" s="76">
        <v>7611</v>
      </c>
      <c r="V313" s="76">
        <v>0</v>
      </c>
      <c r="W313" s="76">
        <v>0</v>
      </c>
      <c r="X313" s="76">
        <v>0</v>
      </c>
      <c r="Y313" s="76">
        <v>0</v>
      </c>
      <c r="Z313" s="76">
        <v>7611</v>
      </c>
      <c r="AA313" s="76">
        <v>28727</v>
      </c>
      <c r="AB313" s="76">
        <v>2374</v>
      </c>
      <c r="AC313" s="76">
        <v>31101</v>
      </c>
      <c r="AD313" s="76">
        <v>2006</v>
      </c>
      <c r="AE313" s="76">
        <v>0</v>
      </c>
      <c r="AF313" s="76">
        <v>43</v>
      </c>
      <c r="AG313" s="76">
        <v>155</v>
      </c>
      <c r="AH313" s="76">
        <v>33305</v>
      </c>
      <c r="AI313" s="76">
        <v>3765</v>
      </c>
      <c r="AJ313" s="76">
        <v>4061</v>
      </c>
      <c r="AK313" s="76">
        <v>5433</v>
      </c>
      <c r="AL313" s="76">
        <v>849</v>
      </c>
      <c r="AM313" s="76">
        <v>560</v>
      </c>
      <c r="AN313" s="76">
        <v>73</v>
      </c>
      <c r="AO313" s="76">
        <v>5873</v>
      </c>
      <c r="AP313" s="76">
        <v>70</v>
      </c>
      <c r="AQ313" s="76">
        <v>181</v>
      </c>
      <c r="AR313" s="76">
        <v>20865</v>
      </c>
      <c r="AS313" s="76">
        <v>12440</v>
      </c>
      <c r="AT313" s="76">
        <v>198</v>
      </c>
      <c r="AU313" s="76">
        <v>330109</v>
      </c>
      <c r="AV313" s="76">
        <v>0</v>
      </c>
      <c r="AW313" s="76">
        <v>77</v>
      </c>
      <c r="AX313" s="76">
        <v>0</v>
      </c>
      <c r="AY313" s="76">
        <v>2491</v>
      </c>
      <c r="AZ313" s="76">
        <v>0</v>
      </c>
      <c r="BA313" s="76">
        <v>0</v>
      </c>
      <c r="BB313" s="76">
        <v>0</v>
      </c>
      <c r="BC313" s="76">
        <v>0</v>
      </c>
      <c r="BD313" s="76">
        <v>0</v>
      </c>
      <c r="BE313" s="76">
        <v>332677</v>
      </c>
      <c r="BF313" s="76">
        <v>86</v>
      </c>
      <c r="BG313" s="76">
        <v>861</v>
      </c>
      <c r="BH313" s="76">
        <v>27346</v>
      </c>
      <c r="BI313" s="76">
        <v>0</v>
      </c>
      <c r="BJ313" s="76">
        <v>4752</v>
      </c>
      <c r="BK313" s="76">
        <v>33045</v>
      </c>
      <c r="BL313" s="76">
        <v>3066</v>
      </c>
      <c r="BM313" s="76">
        <v>0</v>
      </c>
      <c r="BN313" s="76">
        <v>2003</v>
      </c>
      <c r="BO313" s="76">
        <v>6052</v>
      </c>
      <c r="BP313" s="76">
        <v>11121</v>
      </c>
      <c r="BQ313" s="76">
        <v>21924</v>
      </c>
      <c r="BR313" s="76">
        <v>354601</v>
      </c>
      <c r="BS313" s="76">
        <v>141568</v>
      </c>
      <c r="BT313" s="76">
        <v>0</v>
      </c>
      <c r="BU313" s="76">
        <v>0</v>
      </c>
      <c r="BV313" s="76">
        <v>151747</v>
      </c>
      <c r="BW313" s="76">
        <v>2503</v>
      </c>
      <c r="BX313" s="76">
        <v>0</v>
      </c>
      <c r="BY313" s="76">
        <v>4110</v>
      </c>
      <c r="BZ313" s="76">
        <v>299928</v>
      </c>
      <c r="CA313" s="76">
        <v>0</v>
      </c>
      <c r="CB313" s="76">
        <v>0</v>
      </c>
      <c r="CC313" s="76">
        <v>54673</v>
      </c>
      <c r="CD313" s="76">
        <v>54669</v>
      </c>
      <c r="CE313" s="76">
        <v>0</v>
      </c>
      <c r="CF313" s="76">
        <v>4</v>
      </c>
      <c r="CG313" s="76">
        <v>0</v>
      </c>
      <c r="CH313" s="76">
        <v>0</v>
      </c>
      <c r="CI313" s="76">
        <v>54673</v>
      </c>
      <c r="CJ313" s="76">
        <v>195</v>
      </c>
      <c r="CK313" s="76">
        <v>0</v>
      </c>
      <c r="CL313" s="76">
        <v>128</v>
      </c>
      <c r="CM313" s="76">
        <v>67</v>
      </c>
      <c r="CN313" s="76">
        <v>777</v>
      </c>
      <c r="CO313" s="76">
        <v>0</v>
      </c>
      <c r="CP313" s="76">
        <v>700</v>
      </c>
      <c r="CQ313" s="76">
        <v>77</v>
      </c>
      <c r="CR313" s="76">
        <v>0</v>
      </c>
      <c r="CS313" s="76">
        <v>0</v>
      </c>
      <c r="CT313" s="76">
        <v>523</v>
      </c>
      <c r="CU313" s="76">
        <v>-523</v>
      </c>
      <c r="CV313" s="76">
        <v>0</v>
      </c>
      <c r="CW313" s="76">
        <v>0</v>
      </c>
      <c r="CX313" s="76">
        <v>0</v>
      </c>
      <c r="CY313" s="76">
        <v>0</v>
      </c>
      <c r="CZ313" s="76">
        <v>466</v>
      </c>
      <c r="DA313" s="76">
        <v>0</v>
      </c>
      <c r="DB313" s="76">
        <v>39</v>
      </c>
      <c r="DC313" s="76">
        <v>427</v>
      </c>
      <c r="DD313" s="76">
        <v>1438</v>
      </c>
      <c r="DE313" s="76">
        <v>0</v>
      </c>
      <c r="DF313" s="76">
        <v>1390</v>
      </c>
      <c r="DG313" s="76">
        <v>48</v>
      </c>
      <c r="DH313" s="76">
        <v>0</v>
      </c>
      <c r="DI313" s="76">
        <v>0</v>
      </c>
      <c r="DJ313" s="76">
        <v>0</v>
      </c>
      <c r="DK313" s="76">
        <v>0</v>
      </c>
      <c r="DL313" s="76">
        <v>0</v>
      </c>
      <c r="DM313" s="76">
        <v>0</v>
      </c>
      <c r="DN313" s="76">
        <v>0</v>
      </c>
      <c r="DO313" s="76">
        <v>0</v>
      </c>
      <c r="DP313" s="76">
        <v>96</v>
      </c>
      <c r="DQ313" s="76">
        <v>0</v>
      </c>
      <c r="DR313" s="76">
        <v>41</v>
      </c>
      <c r="DS313" s="76">
        <v>55</v>
      </c>
      <c r="DT313" s="76">
        <v>0</v>
      </c>
      <c r="DU313" s="76">
        <v>0</v>
      </c>
      <c r="DV313" s="76">
        <v>0</v>
      </c>
      <c r="DW313" s="76">
        <v>0</v>
      </c>
      <c r="DX313" s="76">
        <v>0</v>
      </c>
      <c r="DY313" s="76">
        <v>0</v>
      </c>
      <c r="DZ313" s="76">
        <v>0</v>
      </c>
      <c r="EA313" s="76">
        <v>0</v>
      </c>
      <c r="EB313" s="76">
        <v>0</v>
      </c>
      <c r="EC313" s="76">
        <v>0</v>
      </c>
      <c r="ED313" s="76">
        <v>0</v>
      </c>
      <c r="EE313" s="76">
        <v>0</v>
      </c>
      <c r="EF313" s="76">
        <v>96</v>
      </c>
      <c r="EG313" s="76">
        <v>0</v>
      </c>
      <c r="EH313" s="76">
        <v>41</v>
      </c>
      <c r="EI313" s="76">
        <v>55</v>
      </c>
      <c r="EJ313" s="76">
        <v>1534</v>
      </c>
      <c r="EK313" s="76">
        <v>0</v>
      </c>
      <c r="EL313" s="76">
        <v>1431</v>
      </c>
      <c r="EM313" s="76">
        <v>103</v>
      </c>
      <c r="EN313" s="76">
        <v>1193</v>
      </c>
      <c r="EO313" s="76">
        <v>500</v>
      </c>
      <c r="EP313" s="76">
        <v>874</v>
      </c>
      <c r="EQ313" s="76">
        <v>500</v>
      </c>
      <c r="ER313" s="76">
        <v>401104</v>
      </c>
      <c r="ES313" s="76">
        <v>0</v>
      </c>
      <c r="ET313" s="76">
        <v>401104</v>
      </c>
      <c r="EU313" s="76">
        <v>8544</v>
      </c>
      <c r="EV313" s="76">
        <v>-2968</v>
      </c>
      <c r="EW313" s="76">
        <v>0</v>
      </c>
      <c r="EX313" s="76">
        <v>0</v>
      </c>
      <c r="EY313" s="76">
        <v>-40</v>
      </c>
      <c r="EZ313" s="76">
        <v>406640</v>
      </c>
      <c r="FA313" s="76">
        <v>71552</v>
      </c>
      <c r="FB313" s="76">
        <v>5873</v>
      </c>
      <c r="FC313" s="76">
        <v>42</v>
      </c>
      <c r="FD313" s="76">
        <v>0</v>
      </c>
      <c r="FE313" s="76">
        <v>-964</v>
      </c>
      <c r="FF313" s="76">
        <v>0</v>
      </c>
      <c r="FG313" s="76">
        <v>28</v>
      </c>
      <c r="FH313" s="76">
        <v>76531</v>
      </c>
      <c r="FI313" s="76">
        <v>330109</v>
      </c>
      <c r="FJ313" s="76">
        <v>329552</v>
      </c>
      <c r="FK313" s="76">
        <v>2535</v>
      </c>
      <c r="FL313" s="76">
        <v>2122</v>
      </c>
      <c r="FM313" s="76">
        <v>413</v>
      </c>
      <c r="FN313" s="76">
        <v>0</v>
      </c>
      <c r="FO313" s="76">
        <v>0</v>
      </c>
      <c r="FP313" s="76">
        <v>0</v>
      </c>
      <c r="FQ313" s="76">
        <v>0</v>
      </c>
      <c r="FR313" s="76">
        <v>0</v>
      </c>
      <c r="FS313" s="76">
        <v>0</v>
      </c>
      <c r="FT313" s="76">
        <v>0</v>
      </c>
      <c r="FU313" s="76">
        <v>0</v>
      </c>
      <c r="FV313" s="76">
        <v>0</v>
      </c>
      <c r="FW313" s="76">
        <v>0</v>
      </c>
      <c r="FX313" s="76">
        <v>0</v>
      </c>
      <c r="FY313" s="76">
        <v>0</v>
      </c>
      <c r="FZ313" s="76">
        <v>0</v>
      </c>
      <c r="GA313" s="76">
        <v>0</v>
      </c>
      <c r="GB313" s="76">
        <v>0</v>
      </c>
      <c r="GC313" s="76">
        <v>2535</v>
      </c>
      <c r="GD313" s="76">
        <v>2122</v>
      </c>
      <c r="GE313" s="76">
        <v>413</v>
      </c>
      <c r="GF313" s="76">
        <v>250</v>
      </c>
      <c r="GG313" s="76">
        <v>0</v>
      </c>
      <c r="GH313" s="76">
        <v>552</v>
      </c>
      <c r="GI313" s="76">
        <v>0</v>
      </c>
      <c r="GJ313" s="76">
        <v>0</v>
      </c>
      <c r="GK313" s="76">
        <v>3950</v>
      </c>
      <c r="GL313" s="76">
        <v>4752</v>
      </c>
      <c r="GM313" s="76">
        <v>0</v>
      </c>
      <c r="GN313" s="76">
        <v>1202</v>
      </c>
      <c r="GO313" s="76">
        <v>1157</v>
      </c>
      <c r="GP313" s="76">
        <v>419</v>
      </c>
      <c r="GQ313" s="76">
        <v>0</v>
      </c>
      <c r="GR313" s="76">
        <v>2438</v>
      </c>
      <c r="GS313" s="76">
        <v>0</v>
      </c>
      <c r="GT313" s="76">
        <v>0</v>
      </c>
      <c r="GU313" s="76">
        <v>285</v>
      </c>
      <c r="GV313" s="76">
        <v>0</v>
      </c>
      <c r="GW313" s="76">
        <v>551</v>
      </c>
      <c r="GX313" s="76">
        <v>6052</v>
      </c>
      <c r="GY313" s="76">
        <v>1636</v>
      </c>
      <c r="GZ313" s="76">
        <v>0</v>
      </c>
      <c r="HA313" s="76">
        <v>1968</v>
      </c>
      <c r="HB313" s="76">
        <v>506</v>
      </c>
      <c r="HC313" s="76">
        <v>4110</v>
      </c>
      <c r="HD313" s="76">
        <v>0</v>
      </c>
      <c r="HE313" s="76">
        <v>0</v>
      </c>
      <c r="HF313" s="76">
        <v>0</v>
      </c>
      <c r="HG313" s="76">
        <v>5620</v>
      </c>
      <c r="HH313" s="76">
        <v>0</v>
      </c>
      <c r="HI313" s="76">
        <v>0</v>
      </c>
      <c r="HJ313" s="76">
        <v>0</v>
      </c>
      <c r="HK313" s="76">
        <v>47</v>
      </c>
      <c r="HL313" s="76">
        <v>-36</v>
      </c>
      <c r="HM313" s="76">
        <v>5631</v>
      </c>
      <c r="HN313" s="76">
        <v>1613</v>
      </c>
      <c r="HO313" s="76">
        <v>5918</v>
      </c>
      <c r="HP313" s="76">
        <v>70</v>
      </c>
      <c r="HQ313" s="76">
        <v>44</v>
      </c>
      <c r="HR313" s="76">
        <v>-31</v>
      </c>
      <c r="HS313" s="76">
        <v>29</v>
      </c>
      <c r="HT313" s="76">
        <v>4545</v>
      </c>
      <c r="HU313" s="76">
        <v>0</v>
      </c>
      <c r="HV313" s="76">
        <v>-29</v>
      </c>
      <c r="HW313" s="76">
        <v>0</v>
      </c>
      <c r="HX313" s="76">
        <v>14</v>
      </c>
    </row>
    <row r="314" spans="1:232" x14ac:dyDescent="0.2">
      <c r="A314" s="71" t="s">
        <v>834</v>
      </c>
      <c r="B314" s="71" t="s">
        <v>835</v>
      </c>
      <c r="C314" s="72" t="s">
        <v>200</v>
      </c>
      <c r="D314" s="72">
        <v>12</v>
      </c>
      <c r="E314" s="73">
        <v>40573</v>
      </c>
      <c r="F314" s="73">
        <v>-532</v>
      </c>
      <c r="G314" s="73">
        <v>-29713</v>
      </c>
      <c r="H314" s="73">
        <v>10328</v>
      </c>
      <c r="I314" s="73">
        <v>3143</v>
      </c>
      <c r="J314" s="73">
        <v>0</v>
      </c>
      <c r="K314" s="73">
        <v>-226</v>
      </c>
      <c r="L314" s="73">
        <v>0</v>
      </c>
      <c r="M314" s="73">
        <v>46</v>
      </c>
      <c r="N314" s="73">
        <v>-7002</v>
      </c>
      <c r="O314" s="73">
        <v>0</v>
      </c>
      <c r="P314" s="73">
        <v>0</v>
      </c>
      <c r="Q314" s="73">
        <v>0</v>
      </c>
      <c r="R314" s="73">
        <v>0</v>
      </c>
      <c r="S314" s="73">
        <v>6289</v>
      </c>
      <c r="T314" s="73">
        <v>0</v>
      </c>
      <c r="U314" s="73">
        <v>6289</v>
      </c>
      <c r="V314" s="73">
        <v>0</v>
      </c>
      <c r="W314" s="73">
        <v>-1852</v>
      </c>
      <c r="X314" s="73">
        <v>0</v>
      </c>
      <c r="Y314" s="73">
        <v>0</v>
      </c>
      <c r="Z314" s="73">
        <v>4437</v>
      </c>
      <c r="AA314" s="73">
        <v>35299</v>
      </c>
      <c r="AB314" s="73">
        <v>1592</v>
      </c>
      <c r="AC314" s="73">
        <v>36891</v>
      </c>
      <c r="AD314" s="73">
        <v>101</v>
      </c>
      <c r="AE314" s="73">
        <v>0</v>
      </c>
      <c r="AF314" s="73">
        <v>0</v>
      </c>
      <c r="AG314" s="73">
        <v>345</v>
      </c>
      <c r="AH314" s="73">
        <v>37337</v>
      </c>
      <c r="AI314" s="73">
        <v>7920</v>
      </c>
      <c r="AJ314" s="73">
        <v>1513</v>
      </c>
      <c r="AK314" s="73">
        <v>5859</v>
      </c>
      <c r="AL314" s="73">
        <v>3026</v>
      </c>
      <c r="AM314" s="73">
        <v>0</v>
      </c>
      <c r="AN314" s="73">
        <v>347</v>
      </c>
      <c r="AO314" s="73">
        <v>7495</v>
      </c>
      <c r="AP314" s="73">
        <v>0</v>
      </c>
      <c r="AQ314" s="73">
        <v>0</v>
      </c>
      <c r="AR314" s="73">
        <v>26160</v>
      </c>
      <c r="AS314" s="73">
        <v>11177</v>
      </c>
      <c r="AT314" s="73">
        <v>499</v>
      </c>
      <c r="AU314" s="73">
        <v>371286</v>
      </c>
      <c r="AV314" s="73">
        <v>0</v>
      </c>
      <c r="AW314" s="73">
        <v>3780</v>
      </c>
      <c r="AX314" s="73">
        <v>0</v>
      </c>
      <c r="AY314" s="73">
        <v>0</v>
      </c>
      <c r="AZ314" s="73">
        <v>0</v>
      </c>
      <c r="BA314" s="73">
        <v>0</v>
      </c>
      <c r="BB314" s="73">
        <v>0</v>
      </c>
      <c r="BC314" s="73">
        <v>0</v>
      </c>
      <c r="BD314" s="73">
        <v>2185</v>
      </c>
      <c r="BE314" s="73">
        <v>377251</v>
      </c>
      <c r="BF314" s="73">
        <v>4784</v>
      </c>
      <c r="BG314" s="73">
        <v>1816</v>
      </c>
      <c r="BH314" s="73">
        <v>23334</v>
      </c>
      <c r="BI314" s="73">
        <v>0</v>
      </c>
      <c r="BJ314" s="73">
        <v>594</v>
      </c>
      <c r="BK314" s="73">
        <v>30528</v>
      </c>
      <c r="BL314" s="73">
        <v>7214</v>
      </c>
      <c r="BM314" s="73">
        <v>482</v>
      </c>
      <c r="BN314" s="73">
        <v>0</v>
      </c>
      <c r="BO314" s="73">
        <v>5342</v>
      </c>
      <c r="BP314" s="73">
        <v>13038</v>
      </c>
      <c r="BQ314" s="73">
        <v>17490</v>
      </c>
      <c r="BR314" s="73">
        <v>394741</v>
      </c>
      <c r="BS314" s="73">
        <v>180282</v>
      </c>
      <c r="BT314" s="73">
        <v>0</v>
      </c>
      <c r="BU314" s="73">
        <v>0</v>
      </c>
      <c r="BV314" s="73">
        <v>8513</v>
      </c>
      <c r="BW314" s="73">
        <v>0</v>
      </c>
      <c r="BX314" s="73">
        <v>0</v>
      </c>
      <c r="BY314" s="73">
        <v>151</v>
      </c>
      <c r="BZ314" s="73">
        <v>188946</v>
      </c>
      <c r="CA314" s="73">
        <v>8410</v>
      </c>
      <c r="CB314" s="73">
        <v>2458</v>
      </c>
      <c r="CC314" s="73">
        <v>194927</v>
      </c>
      <c r="CD314" s="73">
        <v>30375</v>
      </c>
      <c r="CE314" s="73">
        <v>164552</v>
      </c>
      <c r="CF314" s="73">
        <v>0</v>
      </c>
      <c r="CG314" s="73">
        <v>0</v>
      </c>
      <c r="CH314" s="73">
        <v>0</v>
      </c>
      <c r="CI314" s="73">
        <v>194927</v>
      </c>
      <c r="CJ314" s="73">
        <v>821</v>
      </c>
      <c r="CK314" s="73">
        <v>532</v>
      </c>
      <c r="CL314" s="73">
        <v>0</v>
      </c>
      <c r="CM314" s="73">
        <v>289</v>
      </c>
      <c r="CN314" s="73">
        <v>2287</v>
      </c>
      <c r="CO314" s="73">
        <v>0</v>
      </c>
      <c r="CP314" s="73">
        <v>2066</v>
      </c>
      <c r="CQ314" s="73">
        <v>221</v>
      </c>
      <c r="CR314" s="73">
        <v>0</v>
      </c>
      <c r="CS314" s="73">
        <v>0</v>
      </c>
      <c r="CT314" s="73">
        <v>0</v>
      </c>
      <c r="CU314" s="73">
        <v>0</v>
      </c>
      <c r="CV314" s="73">
        <v>0</v>
      </c>
      <c r="CW314" s="73">
        <v>0</v>
      </c>
      <c r="CX314" s="73">
        <v>0</v>
      </c>
      <c r="CY314" s="73">
        <v>0</v>
      </c>
      <c r="CZ314" s="73">
        <v>0</v>
      </c>
      <c r="DA314" s="73">
        <v>0</v>
      </c>
      <c r="DB314" s="73">
        <v>1312</v>
      </c>
      <c r="DC314" s="73">
        <v>-1312</v>
      </c>
      <c r="DD314" s="73">
        <v>3108</v>
      </c>
      <c r="DE314" s="73">
        <v>532</v>
      </c>
      <c r="DF314" s="73">
        <v>3378</v>
      </c>
      <c r="DG314" s="73">
        <v>-802</v>
      </c>
      <c r="DH314" s="73">
        <v>0</v>
      </c>
      <c r="DI314" s="73">
        <v>0</v>
      </c>
      <c r="DJ314" s="73">
        <v>0</v>
      </c>
      <c r="DK314" s="73">
        <v>0</v>
      </c>
      <c r="DL314" s="73">
        <v>128</v>
      </c>
      <c r="DM314" s="73">
        <v>0</v>
      </c>
      <c r="DN314" s="73">
        <v>175</v>
      </c>
      <c r="DO314" s="73">
        <v>-47</v>
      </c>
      <c r="DP314" s="73">
        <v>0</v>
      </c>
      <c r="DQ314" s="73">
        <v>0</v>
      </c>
      <c r="DR314" s="73">
        <v>0</v>
      </c>
      <c r="DS314" s="73">
        <v>0</v>
      </c>
      <c r="DT314" s="73">
        <v>0</v>
      </c>
      <c r="DU314" s="73">
        <v>0</v>
      </c>
      <c r="DV314" s="73">
        <v>0</v>
      </c>
      <c r="DW314" s="73">
        <v>0</v>
      </c>
      <c r="DX314" s="73">
        <v>0</v>
      </c>
      <c r="DY314" s="73">
        <v>0</v>
      </c>
      <c r="DZ314" s="73">
        <v>0</v>
      </c>
      <c r="EA314" s="73">
        <v>0</v>
      </c>
      <c r="EB314" s="73">
        <v>0</v>
      </c>
      <c r="EC314" s="73">
        <v>0</v>
      </c>
      <c r="ED314" s="73">
        <v>0</v>
      </c>
      <c r="EE314" s="73">
        <v>0</v>
      </c>
      <c r="EF314" s="73">
        <v>128</v>
      </c>
      <c r="EG314" s="73">
        <v>0</v>
      </c>
      <c r="EH314" s="73">
        <v>175</v>
      </c>
      <c r="EI314" s="73">
        <v>-47</v>
      </c>
      <c r="EJ314" s="73">
        <v>3236</v>
      </c>
      <c r="EK314" s="73">
        <v>532</v>
      </c>
      <c r="EL314" s="73">
        <v>3553</v>
      </c>
      <c r="EM314" s="73">
        <v>-849</v>
      </c>
      <c r="EN314" s="73">
        <v>1265</v>
      </c>
      <c r="EO314" s="73">
        <v>743</v>
      </c>
      <c r="EP314" s="73">
        <v>287</v>
      </c>
      <c r="EQ314" s="73">
        <v>743</v>
      </c>
      <c r="ER314" s="73">
        <v>407605</v>
      </c>
      <c r="ES314" s="73">
        <v>0</v>
      </c>
      <c r="ET314" s="73">
        <v>407605</v>
      </c>
      <c r="EU314" s="73">
        <v>7624</v>
      </c>
      <c r="EV314" s="73">
        <v>-4737</v>
      </c>
      <c r="EW314" s="73">
        <v>0</v>
      </c>
      <c r="EX314" s="73">
        <v>0</v>
      </c>
      <c r="EY314" s="73">
        <v>810</v>
      </c>
      <c r="EZ314" s="73">
        <v>411302</v>
      </c>
      <c r="FA314" s="73">
        <v>34418</v>
      </c>
      <c r="FB314" s="73">
        <v>7504</v>
      </c>
      <c r="FC314" s="73">
        <v>0</v>
      </c>
      <c r="FD314" s="73">
        <v>0</v>
      </c>
      <c r="FE314" s="73">
        <v>-1906</v>
      </c>
      <c r="FF314" s="73">
        <v>0</v>
      </c>
      <c r="FG314" s="73">
        <v>0</v>
      </c>
      <c r="FH314" s="73">
        <v>40016</v>
      </c>
      <c r="FI314" s="73">
        <v>371286</v>
      </c>
      <c r="FJ314" s="73">
        <v>373187</v>
      </c>
      <c r="FK314" s="73">
        <v>1137</v>
      </c>
      <c r="FL314" s="73">
        <v>804</v>
      </c>
      <c r="FM314" s="73">
        <v>333</v>
      </c>
      <c r="FN314" s="73">
        <v>551</v>
      </c>
      <c r="FO314" s="73">
        <v>734</v>
      </c>
      <c r="FP314" s="73">
        <v>-183</v>
      </c>
      <c r="FQ314" s="73">
        <v>0</v>
      </c>
      <c r="FR314" s="73">
        <v>0</v>
      </c>
      <c r="FS314" s="73">
        <v>0</v>
      </c>
      <c r="FT314" s="73">
        <v>4404</v>
      </c>
      <c r="FU314" s="73">
        <v>1778</v>
      </c>
      <c r="FV314" s="73">
        <v>2626</v>
      </c>
      <c r="FW314" s="73">
        <v>585</v>
      </c>
      <c r="FX314" s="73">
        <v>218</v>
      </c>
      <c r="FY314" s="73">
        <v>367</v>
      </c>
      <c r="FZ314" s="73">
        <v>0</v>
      </c>
      <c r="GA314" s="73">
        <v>0</v>
      </c>
      <c r="GB314" s="73">
        <v>0</v>
      </c>
      <c r="GC314" s="73">
        <v>6677</v>
      </c>
      <c r="GD314" s="73">
        <v>3534</v>
      </c>
      <c r="GE314" s="73">
        <v>3143</v>
      </c>
      <c r="GF314" s="73">
        <v>317</v>
      </c>
      <c r="GG314" s="73">
        <v>0</v>
      </c>
      <c r="GH314" s="73">
        <v>0</v>
      </c>
      <c r="GI314" s="73">
        <v>0</v>
      </c>
      <c r="GJ314" s="73">
        <v>0</v>
      </c>
      <c r="GK314" s="73">
        <v>277</v>
      </c>
      <c r="GL314" s="73">
        <v>594</v>
      </c>
      <c r="GM314" s="73">
        <v>340</v>
      </c>
      <c r="GN314" s="73">
        <v>643</v>
      </c>
      <c r="GO314" s="73">
        <v>328</v>
      </c>
      <c r="GP314" s="73">
        <v>498</v>
      </c>
      <c r="GQ314" s="73">
        <v>0</v>
      </c>
      <c r="GR314" s="73">
        <v>2607</v>
      </c>
      <c r="GS314" s="73">
        <v>0</v>
      </c>
      <c r="GT314" s="73">
        <v>0</v>
      </c>
      <c r="GU314" s="73">
        <v>0</v>
      </c>
      <c r="GV314" s="73">
        <v>0</v>
      </c>
      <c r="GW314" s="73">
        <v>926</v>
      </c>
      <c r="GX314" s="73">
        <v>5342</v>
      </c>
      <c r="GY314" s="73">
        <v>0</v>
      </c>
      <c r="GZ314" s="73">
        <v>0</v>
      </c>
      <c r="HA314" s="73">
        <v>0</v>
      </c>
      <c r="HB314" s="73">
        <v>151</v>
      </c>
      <c r="HC314" s="73">
        <v>151</v>
      </c>
      <c r="HD314" s="73">
        <v>0</v>
      </c>
      <c r="HE314" s="73">
        <v>2458</v>
      </c>
      <c r="HF314" s="73">
        <v>2458</v>
      </c>
      <c r="HG314" s="73">
        <v>7136</v>
      </c>
      <c r="HH314" s="73">
        <v>0</v>
      </c>
      <c r="HI314" s="73">
        <v>0</v>
      </c>
      <c r="HJ314" s="73">
        <v>0</v>
      </c>
      <c r="HK314" s="73">
        <v>0</v>
      </c>
      <c r="HL314" s="73">
        <v>-134</v>
      </c>
      <c r="HM314" s="73">
        <v>7002</v>
      </c>
      <c r="HN314" s="73">
        <v>4885</v>
      </c>
      <c r="HO314" s="73">
        <v>7917</v>
      </c>
      <c r="HP314" s="73">
        <v>0</v>
      </c>
      <c r="HQ314" s="73">
        <v>45</v>
      </c>
      <c r="HR314" s="73">
        <v>-87</v>
      </c>
      <c r="HS314" s="73">
        <v>61</v>
      </c>
      <c r="HT314" s="73">
        <v>7552</v>
      </c>
      <c r="HU314" s="73">
        <v>0</v>
      </c>
      <c r="HV314" s="73">
        <v>0</v>
      </c>
      <c r="HW314" s="73">
        <v>-3</v>
      </c>
      <c r="HX314" s="73">
        <v>39</v>
      </c>
    </row>
    <row r="315" spans="1:232" x14ac:dyDescent="0.2">
      <c r="A315" s="74" t="s">
        <v>836</v>
      </c>
      <c r="B315" s="74" t="s">
        <v>837</v>
      </c>
      <c r="C315" s="75" t="s">
        <v>200</v>
      </c>
      <c r="D315" s="75">
        <v>12</v>
      </c>
      <c r="E315" s="76">
        <v>40040</v>
      </c>
      <c r="F315" s="76">
        <v>0</v>
      </c>
      <c r="G315" s="76">
        <v>-26806</v>
      </c>
      <c r="H315" s="76">
        <v>13234</v>
      </c>
      <c r="I315" s="76">
        <v>932</v>
      </c>
      <c r="J315" s="76">
        <v>643</v>
      </c>
      <c r="K315" s="76">
        <v>0</v>
      </c>
      <c r="L315" s="76">
        <v>0</v>
      </c>
      <c r="M315" s="76">
        <v>170</v>
      </c>
      <c r="N315" s="76">
        <v>-5215</v>
      </c>
      <c r="O315" s="76">
        <v>0</v>
      </c>
      <c r="P315" s="76">
        <v>0</v>
      </c>
      <c r="Q315" s="76">
        <v>0</v>
      </c>
      <c r="R315" s="76">
        <v>0</v>
      </c>
      <c r="S315" s="76">
        <v>9764</v>
      </c>
      <c r="T315" s="76">
        <v>0</v>
      </c>
      <c r="U315" s="76">
        <v>9764</v>
      </c>
      <c r="V315" s="76">
        <v>0</v>
      </c>
      <c r="W315" s="76">
        <v>-1207</v>
      </c>
      <c r="X315" s="76">
        <v>0</v>
      </c>
      <c r="Y315" s="76">
        <v>0</v>
      </c>
      <c r="Z315" s="76">
        <v>8557</v>
      </c>
      <c r="AA315" s="76">
        <v>28932</v>
      </c>
      <c r="AB315" s="76">
        <v>3012</v>
      </c>
      <c r="AC315" s="76">
        <v>31944</v>
      </c>
      <c r="AD315" s="76">
        <v>1967</v>
      </c>
      <c r="AE315" s="76">
        <v>0</v>
      </c>
      <c r="AF315" s="76">
        <v>0</v>
      </c>
      <c r="AG315" s="76">
        <v>1712</v>
      </c>
      <c r="AH315" s="76">
        <v>35623</v>
      </c>
      <c r="AI315" s="76">
        <v>4379</v>
      </c>
      <c r="AJ315" s="76">
        <v>3581</v>
      </c>
      <c r="AK315" s="76">
        <v>5074</v>
      </c>
      <c r="AL315" s="76">
        <v>1364</v>
      </c>
      <c r="AM315" s="76">
        <v>1612</v>
      </c>
      <c r="AN315" s="76">
        <v>103</v>
      </c>
      <c r="AO315" s="76">
        <v>5697</v>
      </c>
      <c r="AP315" s="76">
        <v>0</v>
      </c>
      <c r="AQ315" s="76">
        <v>1327</v>
      </c>
      <c r="AR315" s="76">
        <v>23137</v>
      </c>
      <c r="AS315" s="76">
        <v>12486</v>
      </c>
      <c r="AT315" s="76">
        <v>458</v>
      </c>
      <c r="AU315" s="76">
        <v>347079</v>
      </c>
      <c r="AV315" s="76">
        <v>0</v>
      </c>
      <c r="AW315" s="76">
        <v>4002</v>
      </c>
      <c r="AX315" s="76">
        <v>0</v>
      </c>
      <c r="AY315" s="76">
        <v>0</v>
      </c>
      <c r="AZ315" s="76">
        <v>275</v>
      </c>
      <c r="BA315" s="76">
        <v>0</v>
      </c>
      <c r="BB315" s="76">
        <v>0</v>
      </c>
      <c r="BC315" s="76">
        <v>0</v>
      </c>
      <c r="BD315" s="76">
        <v>1257</v>
      </c>
      <c r="BE315" s="76">
        <v>352613</v>
      </c>
      <c r="BF315" s="76">
        <v>1579</v>
      </c>
      <c r="BG315" s="76">
        <v>8170</v>
      </c>
      <c r="BH315" s="76">
        <v>10268</v>
      </c>
      <c r="BI315" s="76">
        <v>0</v>
      </c>
      <c r="BJ315" s="76">
        <v>1</v>
      </c>
      <c r="BK315" s="76">
        <v>20018</v>
      </c>
      <c r="BL315" s="76">
        <v>1617</v>
      </c>
      <c r="BM315" s="76">
        <v>0</v>
      </c>
      <c r="BN315" s="76">
        <v>3</v>
      </c>
      <c r="BO315" s="76">
        <v>9081</v>
      </c>
      <c r="BP315" s="76">
        <v>10701</v>
      </c>
      <c r="BQ315" s="76">
        <v>9317</v>
      </c>
      <c r="BR315" s="76">
        <v>361930</v>
      </c>
      <c r="BS315" s="76">
        <v>135658</v>
      </c>
      <c r="BT315" s="76">
        <v>0</v>
      </c>
      <c r="BU315" s="76">
        <v>0</v>
      </c>
      <c r="BV315" s="76">
        <v>134921</v>
      </c>
      <c r="BW315" s="76">
        <v>0</v>
      </c>
      <c r="BX315" s="76">
        <v>0</v>
      </c>
      <c r="BY315" s="76">
        <v>1977</v>
      </c>
      <c r="BZ315" s="76">
        <v>272556</v>
      </c>
      <c r="CA315" s="76">
        <v>6782</v>
      </c>
      <c r="CB315" s="76">
        <v>0</v>
      </c>
      <c r="CC315" s="76">
        <v>82592</v>
      </c>
      <c r="CD315" s="76">
        <v>82467</v>
      </c>
      <c r="CE315" s="76">
        <v>125</v>
      </c>
      <c r="CF315" s="76">
        <v>0</v>
      </c>
      <c r="CG315" s="76">
        <v>0</v>
      </c>
      <c r="CH315" s="76">
        <v>0</v>
      </c>
      <c r="CI315" s="76">
        <v>82592</v>
      </c>
      <c r="CJ315" s="76">
        <v>1819</v>
      </c>
      <c r="CK315" s="76">
        <v>0</v>
      </c>
      <c r="CL315" s="76">
        <v>1168</v>
      </c>
      <c r="CM315" s="76">
        <v>651</v>
      </c>
      <c r="CN315" s="76">
        <v>266</v>
      </c>
      <c r="CO315" s="76">
        <v>0</v>
      </c>
      <c r="CP315" s="76">
        <v>293</v>
      </c>
      <c r="CQ315" s="76">
        <v>-27</v>
      </c>
      <c r="CR315" s="76">
        <v>0</v>
      </c>
      <c r="CS315" s="76">
        <v>0</v>
      </c>
      <c r="CT315" s="76">
        <v>0</v>
      </c>
      <c r="CU315" s="76">
        <v>0</v>
      </c>
      <c r="CV315" s="76">
        <v>0</v>
      </c>
      <c r="CW315" s="76">
        <v>0</v>
      </c>
      <c r="CX315" s="76">
        <v>0</v>
      </c>
      <c r="CY315" s="76">
        <v>0</v>
      </c>
      <c r="CZ315" s="76">
        <v>161</v>
      </c>
      <c r="DA315" s="76">
        <v>0</v>
      </c>
      <c r="DB315" s="76">
        <v>126</v>
      </c>
      <c r="DC315" s="76">
        <v>35</v>
      </c>
      <c r="DD315" s="76">
        <v>2246</v>
      </c>
      <c r="DE315" s="76">
        <v>0</v>
      </c>
      <c r="DF315" s="76">
        <v>1587</v>
      </c>
      <c r="DG315" s="76">
        <v>659</v>
      </c>
      <c r="DH315" s="76">
        <v>0</v>
      </c>
      <c r="DI315" s="76">
        <v>0</v>
      </c>
      <c r="DJ315" s="76">
        <v>0</v>
      </c>
      <c r="DK315" s="76">
        <v>0</v>
      </c>
      <c r="DL315" s="76">
        <v>0</v>
      </c>
      <c r="DM315" s="76">
        <v>0</v>
      </c>
      <c r="DN315" s="76">
        <v>0</v>
      </c>
      <c r="DO315" s="76">
        <v>0</v>
      </c>
      <c r="DP315" s="76">
        <v>0</v>
      </c>
      <c r="DQ315" s="76">
        <v>0</v>
      </c>
      <c r="DR315" s="76">
        <v>0</v>
      </c>
      <c r="DS315" s="76">
        <v>0</v>
      </c>
      <c r="DT315" s="76">
        <v>0</v>
      </c>
      <c r="DU315" s="76">
        <v>0</v>
      </c>
      <c r="DV315" s="76">
        <v>0</v>
      </c>
      <c r="DW315" s="76">
        <v>0</v>
      </c>
      <c r="DX315" s="76">
        <v>0</v>
      </c>
      <c r="DY315" s="76">
        <v>0</v>
      </c>
      <c r="DZ315" s="76">
        <v>0</v>
      </c>
      <c r="EA315" s="76">
        <v>0</v>
      </c>
      <c r="EB315" s="76">
        <v>2171</v>
      </c>
      <c r="EC315" s="76">
        <v>0</v>
      </c>
      <c r="ED315" s="76">
        <v>2082</v>
      </c>
      <c r="EE315" s="76">
        <v>89</v>
      </c>
      <c r="EF315" s="76">
        <v>2171</v>
      </c>
      <c r="EG315" s="76">
        <v>0</v>
      </c>
      <c r="EH315" s="76">
        <v>2082</v>
      </c>
      <c r="EI315" s="76">
        <v>89</v>
      </c>
      <c r="EJ315" s="76">
        <v>4417</v>
      </c>
      <c r="EK315" s="76">
        <v>0</v>
      </c>
      <c r="EL315" s="76">
        <v>3669</v>
      </c>
      <c r="EM315" s="76">
        <v>748</v>
      </c>
      <c r="EN315" s="76">
        <v>1083</v>
      </c>
      <c r="EO315" s="76">
        <v>221</v>
      </c>
      <c r="EP315" s="76">
        <v>141</v>
      </c>
      <c r="EQ315" s="76">
        <v>221</v>
      </c>
      <c r="ER315" s="76">
        <v>381053</v>
      </c>
      <c r="ES315" s="76">
        <v>0</v>
      </c>
      <c r="ET315" s="76">
        <v>381053</v>
      </c>
      <c r="EU315" s="76">
        <v>24789</v>
      </c>
      <c r="EV315" s="76">
        <v>-2819</v>
      </c>
      <c r="EW315" s="76">
        <v>0</v>
      </c>
      <c r="EX315" s="76">
        <v>0</v>
      </c>
      <c r="EY315" s="76">
        <v>0</v>
      </c>
      <c r="EZ315" s="76">
        <v>403023</v>
      </c>
      <c r="FA315" s="76">
        <v>51054</v>
      </c>
      <c r="FB315" s="76">
        <v>5697</v>
      </c>
      <c r="FC315" s="76">
        <v>0</v>
      </c>
      <c r="FD315" s="76">
        <v>0</v>
      </c>
      <c r="FE315" s="76">
        <v>-807</v>
      </c>
      <c r="FF315" s="76">
        <v>0</v>
      </c>
      <c r="FG315" s="76">
        <v>0</v>
      </c>
      <c r="FH315" s="76">
        <v>55944</v>
      </c>
      <c r="FI315" s="76">
        <v>347079</v>
      </c>
      <c r="FJ315" s="76">
        <v>329999</v>
      </c>
      <c r="FK315" s="76">
        <v>1319</v>
      </c>
      <c r="FL315" s="76">
        <v>477</v>
      </c>
      <c r="FM315" s="76">
        <v>842</v>
      </c>
      <c r="FN315" s="76">
        <v>74</v>
      </c>
      <c r="FO315" s="76">
        <v>45</v>
      </c>
      <c r="FP315" s="76">
        <v>29</v>
      </c>
      <c r="FQ315" s="76">
        <v>0</v>
      </c>
      <c r="FR315" s="76">
        <v>0</v>
      </c>
      <c r="FS315" s="76">
        <v>0</v>
      </c>
      <c r="FT315" s="76">
        <v>880</v>
      </c>
      <c r="FU315" s="76">
        <v>853</v>
      </c>
      <c r="FV315" s="76">
        <v>27</v>
      </c>
      <c r="FW315" s="76">
        <v>0</v>
      </c>
      <c r="FX315" s="76">
        <v>0</v>
      </c>
      <c r="FY315" s="76">
        <v>0</v>
      </c>
      <c r="FZ315" s="76">
        <v>34</v>
      </c>
      <c r="GA315" s="76">
        <v>0</v>
      </c>
      <c r="GB315" s="76">
        <v>34</v>
      </c>
      <c r="GC315" s="76">
        <v>2307</v>
      </c>
      <c r="GD315" s="76">
        <v>1375</v>
      </c>
      <c r="GE315" s="76">
        <v>932</v>
      </c>
      <c r="GF315" s="76">
        <v>0</v>
      </c>
      <c r="GG315" s="76">
        <v>1</v>
      </c>
      <c r="GH315" s="76">
        <v>0</v>
      </c>
      <c r="GI315" s="76">
        <v>0</v>
      </c>
      <c r="GJ315" s="76">
        <v>0</v>
      </c>
      <c r="GK315" s="76">
        <v>0</v>
      </c>
      <c r="GL315" s="76">
        <v>1</v>
      </c>
      <c r="GM315" s="76">
        <v>512</v>
      </c>
      <c r="GN315" s="76">
        <v>1034</v>
      </c>
      <c r="GO315" s="76">
        <v>1395</v>
      </c>
      <c r="GP315" s="76">
        <v>1100</v>
      </c>
      <c r="GQ315" s="76">
        <v>0</v>
      </c>
      <c r="GR315" s="76">
        <v>1317</v>
      </c>
      <c r="GS315" s="76">
        <v>0</v>
      </c>
      <c r="GT315" s="76">
        <v>0</v>
      </c>
      <c r="GU315" s="76">
        <v>610</v>
      </c>
      <c r="GV315" s="76">
        <v>0</v>
      </c>
      <c r="GW315" s="76">
        <v>3113</v>
      </c>
      <c r="GX315" s="76">
        <v>9081</v>
      </c>
      <c r="GY315" s="76">
        <v>1569</v>
      </c>
      <c r="GZ315" s="76">
        <v>0</v>
      </c>
      <c r="HA315" s="76">
        <v>0</v>
      </c>
      <c r="HB315" s="76">
        <v>408</v>
      </c>
      <c r="HC315" s="76">
        <v>1977</v>
      </c>
      <c r="HD315" s="76">
        <v>0</v>
      </c>
      <c r="HE315" s="76">
        <v>0</v>
      </c>
      <c r="HF315" s="76">
        <v>0</v>
      </c>
      <c r="HG315" s="76">
        <v>5572</v>
      </c>
      <c r="HH315" s="76">
        <v>0</v>
      </c>
      <c r="HI315" s="76">
        <v>278</v>
      </c>
      <c r="HJ315" s="76">
        <v>0</v>
      </c>
      <c r="HK315" s="76">
        <v>0</v>
      </c>
      <c r="HL315" s="76">
        <v>-635</v>
      </c>
      <c r="HM315" s="76">
        <v>5215</v>
      </c>
      <c r="HN315" s="76">
        <v>7491</v>
      </c>
      <c r="HO315" s="76">
        <v>5999</v>
      </c>
      <c r="HP315" s="76">
        <v>0</v>
      </c>
      <c r="HQ315" s="76">
        <v>118</v>
      </c>
      <c r="HR315" s="76">
        <v>0</v>
      </c>
      <c r="HS315" s="76">
        <v>0</v>
      </c>
      <c r="HT315" s="76">
        <v>7260</v>
      </c>
      <c r="HU315" s="76">
        <v>0</v>
      </c>
      <c r="HV315" s="76">
        <v>0</v>
      </c>
      <c r="HW315" s="76">
        <v>0</v>
      </c>
      <c r="HX315" s="76">
        <v>0</v>
      </c>
    </row>
    <row r="316" spans="1:232" x14ac:dyDescent="0.2">
      <c r="A316" s="71" t="s">
        <v>193</v>
      </c>
      <c r="B316" s="71" t="s">
        <v>192</v>
      </c>
      <c r="C316" s="72" t="s">
        <v>200</v>
      </c>
      <c r="D316" s="72">
        <v>12</v>
      </c>
      <c r="E316" s="73">
        <v>87477</v>
      </c>
      <c r="F316" s="73">
        <v>-1230</v>
      </c>
      <c r="G316" s="73">
        <v>-59761</v>
      </c>
      <c r="H316" s="73">
        <v>26486</v>
      </c>
      <c r="I316" s="73">
        <v>-1524</v>
      </c>
      <c r="J316" s="73">
        <v>0</v>
      </c>
      <c r="K316" s="73">
        <v>0</v>
      </c>
      <c r="L316" s="73">
        <v>0</v>
      </c>
      <c r="M316" s="73">
        <v>208</v>
      </c>
      <c r="N316" s="73">
        <v>-15891</v>
      </c>
      <c r="O316" s="73">
        <v>32</v>
      </c>
      <c r="P316" s="73">
        <v>0</v>
      </c>
      <c r="Q316" s="73">
        <v>0</v>
      </c>
      <c r="R316" s="73">
        <v>0</v>
      </c>
      <c r="S316" s="73">
        <v>9311</v>
      </c>
      <c r="T316" s="73">
        <v>0</v>
      </c>
      <c r="U316" s="73">
        <v>9311</v>
      </c>
      <c r="V316" s="73">
        <v>0</v>
      </c>
      <c r="W316" s="73">
        <v>-4554</v>
      </c>
      <c r="X316" s="73">
        <v>0</v>
      </c>
      <c r="Y316" s="73">
        <v>0</v>
      </c>
      <c r="Z316" s="73">
        <v>4757</v>
      </c>
      <c r="AA316" s="73">
        <v>77055</v>
      </c>
      <c r="AB316" s="73">
        <v>4895</v>
      </c>
      <c r="AC316" s="73">
        <v>81950</v>
      </c>
      <c r="AD316" s="73">
        <v>431</v>
      </c>
      <c r="AE316" s="73">
        <v>0</v>
      </c>
      <c r="AF316" s="73">
        <v>0</v>
      </c>
      <c r="AG316" s="73">
        <v>1286</v>
      </c>
      <c r="AH316" s="73">
        <v>83667</v>
      </c>
      <c r="AI316" s="73">
        <v>9347</v>
      </c>
      <c r="AJ316" s="73">
        <v>7588</v>
      </c>
      <c r="AK316" s="73">
        <v>17098</v>
      </c>
      <c r="AL316" s="73">
        <v>4379</v>
      </c>
      <c r="AM316" s="73">
        <v>6467</v>
      </c>
      <c r="AN316" s="73">
        <v>1251</v>
      </c>
      <c r="AO316" s="73">
        <v>10062</v>
      </c>
      <c r="AP316" s="73">
        <v>1174</v>
      </c>
      <c r="AQ316" s="73">
        <v>1969</v>
      </c>
      <c r="AR316" s="73">
        <v>59335</v>
      </c>
      <c r="AS316" s="73">
        <v>24332</v>
      </c>
      <c r="AT316" s="73">
        <v>1111</v>
      </c>
      <c r="AU316" s="73">
        <v>322285</v>
      </c>
      <c r="AV316" s="73">
        <v>0</v>
      </c>
      <c r="AW316" s="73">
        <v>4159</v>
      </c>
      <c r="AX316" s="73">
        <v>0</v>
      </c>
      <c r="AY316" s="73">
        <v>0</v>
      </c>
      <c r="AZ316" s="73">
        <v>0</v>
      </c>
      <c r="BA316" s="73">
        <v>0</v>
      </c>
      <c r="BB316" s="73">
        <v>0</v>
      </c>
      <c r="BC316" s="73">
        <v>0</v>
      </c>
      <c r="BD316" s="73">
        <v>0</v>
      </c>
      <c r="BE316" s="73">
        <v>326444</v>
      </c>
      <c r="BF316" s="73">
        <v>126</v>
      </c>
      <c r="BG316" s="73">
        <v>3504</v>
      </c>
      <c r="BH316" s="73">
        <v>21390</v>
      </c>
      <c r="BI316" s="73">
        <v>4314</v>
      </c>
      <c r="BJ316" s="73">
        <v>5782</v>
      </c>
      <c r="BK316" s="73">
        <v>35116</v>
      </c>
      <c r="BL316" s="73">
        <v>7889</v>
      </c>
      <c r="BM316" s="73">
        <v>0</v>
      </c>
      <c r="BN316" s="73">
        <v>433</v>
      </c>
      <c r="BO316" s="73">
        <v>22790</v>
      </c>
      <c r="BP316" s="73">
        <v>31112</v>
      </c>
      <c r="BQ316" s="73">
        <v>4004</v>
      </c>
      <c r="BR316" s="73">
        <v>330448</v>
      </c>
      <c r="BS316" s="73">
        <v>268339</v>
      </c>
      <c r="BT316" s="73">
        <v>0</v>
      </c>
      <c r="BU316" s="73">
        <v>0</v>
      </c>
      <c r="BV316" s="73">
        <v>42498</v>
      </c>
      <c r="BW316" s="73">
        <v>0</v>
      </c>
      <c r="BX316" s="73">
        <v>0</v>
      </c>
      <c r="BY316" s="73">
        <v>3929</v>
      </c>
      <c r="BZ316" s="73">
        <v>314766</v>
      </c>
      <c r="CA316" s="73">
        <v>38839</v>
      </c>
      <c r="CB316" s="73">
        <v>0</v>
      </c>
      <c r="CC316" s="73">
        <v>-23157</v>
      </c>
      <c r="CD316" s="73">
        <v>-23157</v>
      </c>
      <c r="CE316" s="73">
        <v>0</v>
      </c>
      <c r="CF316" s="73">
        <v>0</v>
      </c>
      <c r="CG316" s="73">
        <v>0</v>
      </c>
      <c r="CH316" s="73">
        <v>0</v>
      </c>
      <c r="CI316" s="73">
        <v>-23157</v>
      </c>
      <c r="CJ316" s="73">
        <v>1895</v>
      </c>
      <c r="CK316" s="73">
        <v>1230</v>
      </c>
      <c r="CL316" s="73">
        <v>0</v>
      </c>
      <c r="CM316" s="73">
        <v>665</v>
      </c>
      <c r="CN316" s="73">
        <v>66</v>
      </c>
      <c r="CO316" s="73">
        <v>0</v>
      </c>
      <c r="CP316" s="73">
        <v>72</v>
      </c>
      <c r="CQ316" s="73">
        <v>-6</v>
      </c>
      <c r="CR316" s="73">
        <v>0</v>
      </c>
      <c r="CS316" s="73">
        <v>0</v>
      </c>
      <c r="CT316" s="73">
        <v>0</v>
      </c>
      <c r="CU316" s="73">
        <v>0</v>
      </c>
      <c r="CV316" s="73">
        <v>0</v>
      </c>
      <c r="CW316" s="73">
        <v>0</v>
      </c>
      <c r="CX316" s="73">
        <v>0</v>
      </c>
      <c r="CY316" s="73">
        <v>0</v>
      </c>
      <c r="CZ316" s="73">
        <v>1849</v>
      </c>
      <c r="DA316" s="73">
        <v>0</v>
      </c>
      <c r="DB316" s="73">
        <v>354</v>
      </c>
      <c r="DC316" s="73">
        <v>1495</v>
      </c>
      <c r="DD316" s="73">
        <v>3810</v>
      </c>
      <c r="DE316" s="73">
        <v>1230</v>
      </c>
      <c r="DF316" s="73">
        <v>426</v>
      </c>
      <c r="DG316" s="73">
        <v>2154</v>
      </c>
      <c r="DH316" s="73">
        <v>0</v>
      </c>
      <c r="DI316" s="73">
        <v>0</v>
      </c>
      <c r="DJ316" s="73">
        <v>0</v>
      </c>
      <c r="DK316" s="73">
        <v>0</v>
      </c>
      <c r="DL316" s="73">
        <v>0</v>
      </c>
      <c r="DM316" s="73">
        <v>0</v>
      </c>
      <c r="DN316" s="73">
        <v>0</v>
      </c>
      <c r="DO316" s="73">
        <v>0</v>
      </c>
      <c r="DP316" s="73">
        <v>0</v>
      </c>
      <c r="DQ316" s="73">
        <v>0</v>
      </c>
      <c r="DR316" s="73">
        <v>0</v>
      </c>
      <c r="DS316" s="73">
        <v>0</v>
      </c>
      <c r="DT316" s="73">
        <v>0</v>
      </c>
      <c r="DU316" s="73">
        <v>0</v>
      </c>
      <c r="DV316" s="73">
        <v>0</v>
      </c>
      <c r="DW316" s="73">
        <v>0</v>
      </c>
      <c r="DX316" s="73">
        <v>0</v>
      </c>
      <c r="DY316" s="73">
        <v>0</v>
      </c>
      <c r="DZ316" s="73">
        <v>0</v>
      </c>
      <c r="EA316" s="73">
        <v>0</v>
      </c>
      <c r="EB316" s="73">
        <v>0</v>
      </c>
      <c r="EC316" s="73">
        <v>0</v>
      </c>
      <c r="ED316" s="73">
        <v>0</v>
      </c>
      <c r="EE316" s="73">
        <v>0</v>
      </c>
      <c r="EF316" s="73">
        <v>0</v>
      </c>
      <c r="EG316" s="73">
        <v>0</v>
      </c>
      <c r="EH316" s="73">
        <v>0</v>
      </c>
      <c r="EI316" s="73">
        <v>0</v>
      </c>
      <c r="EJ316" s="73">
        <v>3810</v>
      </c>
      <c r="EK316" s="73">
        <v>1230</v>
      </c>
      <c r="EL316" s="73">
        <v>426</v>
      </c>
      <c r="EM316" s="73">
        <v>2154</v>
      </c>
      <c r="EN316" s="73">
        <v>4008</v>
      </c>
      <c r="EO316" s="73">
        <v>2747</v>
      </c>
      <c r="EP316" s="73">
        <v>2891</v>
      </c>
      <c r="EQ316" s="73">
        <v>2747</v>
      </c>
      <c r="ER316" s="73">
        <v>384209</v>
      </c>
      <c r="ES316" s="73">
        <v>0</v>
      </c>
      <c r="ET316" s="73">
        <v>384209</v>
      </c>
      <c r="EU316" s="73">
        <v>28934</v>
      </c>
      <c r="EV316" s="73">
        <v>-1761</v>
      </c>
      <c r="EW316" s="73">
        <v>0</v>
      </c>
      <c r="EX316" s="73">
        <v>0</v>
      </c>
      <c r="EY316" s="73">
        <v>-78</v>
      </c>
      <c r="EZ316" s="73">
        <v>411304</v>
      </c>
      <c r="FA316" s="73">
        <v>78521</v>
      </c>
      <c r="FB316" s="73">
        <v>10062</v>
      </c>
      <c r="FC316" s="73">
        <v>1174</v>
      </c>
      <c r="FD316" s="73">
        <v>0</v>
      </c>
      <c r="FE316" s="73">
        <v>-738</v>
      </c>
      <c r="FF316" s="73">
        <v>0</v>
      </c>
      <c r="FG316" s="73">
        <v>0</v>
      </c>
      <c r="FH316" s="73">
        <v>89019</v>
      </c>
      <c r="FI316" s="73">
        <v>322285</v>
      </c>
      <c r="FJ316" s="73">
        <v>305688</v>
      </c>
      <c r="FK316" s="73">
        <v>34</v>
      </c>
      <c r="FL316" s="73">
        <v>31</v>
      </c>
      <c r="FM316" s="73">
        <v>3</v>
      </c>
      <c r="FN316" s="73">
        <v>2955</v>
      </c>
      <c r="FO316" s="73">
        <v>4735</v>
      </c>
      <c r="FP316" s="73">
        <v>-1780</v>
      </c>
      <c r="FQ316" s="73">
        <v>2310</v>
      </c>
      <c r="FR316" s="73">
        <v>2204</v>
      </c>
      <c r="FS316" s="73">
        <v>106</v>
      </c>
      <c r="FT316" s="73">
        <v>156</v>
      </c>
      <c r="FU316" s="73">
        <v>9</v>
      </c>
      <c r="FV316" s="73">
        <v>147</v>
      </c>
      <c r="FW316" s="73">
        <v>0</v>
      </c>
      <c r="FX316" s="73">
        <v>0</v>
      </c>
      <c r="FY316" s="73">
        <v>0</v>
      </c>
      <c r="FZ316" s="73">
        <v>0</v>
      </c>
      <c r="GA316" s="73">
        <v>0</v>
      </c>
      <c r="GB316" s="73">
        <v>0</v>
      </c>
      <c r="GC316" s="73">
        <v>5455</v>
      </c>
      <c r="GD316" s="73">
        <v>6979</v>
      </c>
      <c r="GE316" s="73">
        <v>-1524</v>
      </c>
      <c r="GF316" s="73">
        <v>4684</v>
      </c>
      <c r="GG316" s="73">
        <v>0</v>
      </c>
      <c r="GH316" s="73">
        <v>0</v>
      </c>
      <c r="GI316" s="73">
        <v>0</v>
      </c>
      <c r="GJ316" s="73">
        <v>0</v>
      </c>
      <c r="GK316" s="73">
        <v>1098</v>
      </c>
      <c r="GL316" s="73">
        <v>5782</v>
      </c>
      <c r="GM316" s="73">
        <v>4541</v>
      </c>
      <c r="GN316" s="73">
        <v>2719</v>
      </c>
      <c r="GO316" s="73">
        <v>2977</v>
      </c>
      <c r="GP316" s="73">
        <v>412</v>
      </c>
      <c r="GQ316" s="73">
        <v>1072</v>
      </c>
      <c r="GR316" s="73">
        <v>8109</v>
      </c>
      <c r="GS316" s="73">
        <v>0</v>
      </c>
      <c r="GT316" s="73">
        <v>0</v>
      </c>
      <c r="GU316" s="73">
        <v>102</v>
      </c>
      <c r="GV316" s="73">
        <v>0</v>
      </c>
      <c r="GW316" s="73">
        <v>2858</v>
      </c>
      <c r="GX316" s="73">
        <v>22790</v>
      </c>
      <c r="GY316" s="73">
        <v>238</v>
      </c>
      <c r="GZ316" s="73">
        <v>2853</v>
      </c>
      <c r="HA316" s="73">
        <v>598</v>
      </c>
      <c r="HB316" s="73">
        <v>240</v>
      </c>
      <c r="HC316" s="73">
        <v>3929</v>
      </c>
      <c r="HD316" s="73">
        <v>0</v>
      </c>
      <c r="HE316" s="73">
        <v>0</v>
      </c>
      <c r="HF316" s="73">
        <v>0</v>
      </c>
      <c r="HG316" s="73">
        <v>14779</v>
      </c>
      <c r="HH316" s="73">
        <v>0</v>
      </c>
      <c r="HI316" s="73">
        <v>1167</v>
      </c>
      <c r="HJ316" s="73">
        <v>9</v>
      </c>
      <c r="HK316" s="73">
        <v>14</v>
      </c>
      <c r="HL316" s="73">
        <v>-78</v>
      </c>
      <c r="HM316" s="73">
        <v>15891</v>
      </c>
      <c r="HN316" s="73">
        <v>21174</v>
      </c>
      <c r="HO316" s="73">
        <v>10062</v>
      </c>
      <c r="HP316" s="73">
        <v>1174</v>
      </c>
      <c r="HQ316" s="73">
        <v>112</v>
      </c>
      <c r="HR316" s="73">
        <v>-223</v>
      </c>
      <c r="HS316" s="73">
        <v>-10</v>
      </c>
      <c r="HT316" s="73">
        <v>18085</v>
      </c>
      <c r="HU316" s="73">
        <v>0</v>
      </c>
      <c r="HV316" s="73">
        <v>0</v>
      </c>
      <c r="HW316" s="73">
        <v>4</v>
      </c>
      <c r="HX316" s="73">
        <v>4</v>
      </c>
    </row>
    <row r="317" spans="1:232" x14ac:dyDescent="0.2">
      <c r="A317" s="74" t="s">
        <v>839</v>
      </c>
      <c r="B317" s="74" t="s">
        <v>840</v>
      </c>
      <c r="C317" s="75" t="s">
        <v>200</v>
      </c>
      <c r="D317" s="75">
        <v>12</v>
      </c>
      <c r="E317" s="76">
        <v>39709</v>
      </c>
      <c r="F317" s="76">
        <v>-3708</v>
      </c>
      <c r="G317" s="76">
        <v>-30027</v>
      </c>
      <c r="H317" s="76">
        <v>5974</v>
      </c>
      <c r="I317" s="76">
        <v>665</v>
      </c>
      <c r="J317" s="76">
        <v>0</v>
      </c>
      <c r="K317" s="76">
        <v>-414</v>
      </c>
      <c r="L317" s="76">
        <v>0</v>
      </c>
      <c r="M317" s="76">
        <v>65</v>
      </c>
      <c r="N317" s="76">
        <v>-3727</v>
      </c>
      <c r="O317" s="76">
        <v>78</v>
      </c>
      <c r="P317" s="76">
        <v>0</v>
      </c>
      <c r="Q317" s="76">
        <v>0</v>
      </c>
      <c r="R317" s="76">
        <v>0</v>
      </c>
      <c r="S317" s="76">
        <v>2641</v>
      </c>
      <c r="T317" s="76">
        <v>0</v>
      </c>
      <c r="U317" s="76">
        <v>2641</v>
      </c>
      <c r="V317" s="76">
        <v>0</v>
      </c>
      <c r="W317" s="76">
        <v>-1178</v>
      </c>
      <c r="X317" s="76">
        <v>0</v>
      </c>
      <c r="Y317" s="76">
        <v>0</v>
      </c>
      <c r="Z317" s="76">
        <v>1463</v>
      </c>
      <c r="AA317" s="76">
        <v>35511</v>
      </c>
      <c r="AB317" s="76">
        <v>298</v>
      </c>
      <c r="AC317" s="76">
        <v>35809</v>
      </c>
      <c r="AD317" s="76">
        <v>154</v>
      </c>
      <c r="AE317" s="76">
        <v>0</v>
      </c>
      <c r="AF317" s="76">
        <v>0</v>
      </c>
      <c r="AG317" s="76">
        <v>0</v>
      </c>
      <c r="AH317" s="76">
        <v>35963</v>
      </c>
      <c r="AI317" s="76">
        <v>5478</v>
      </c>
      <c r="AJ317" s="76">
        <v>3574</v>
      </c>
      <c r="AK317" s="76">
        <v>4340</v>
      </c>
      <c r="AL317" s="76">
        <v>1743</v>
      </c>
      <c r="AM317" s="76">
        <v>2307</v>
      </c>
      <c r="AN317" s="76">
        <v>272</v>
      </c>
      <c r="AO317" s="76">
        <v>9317</v>
      </c>
      <c r="AP317" s="76">
        <v>0</v>
      </c>
      <c r="AQ317" s="76">
        <v>2996</v>
      </c>
      <c r="AR317" s="76">
        <v>30027</v>
      </c>
      <c r="AS317" s="76">
        <v>5936</v>
      </c>
      <c r="AT317" s="76">
        <v>146</v>
      </c>
      <c r="AU317" s="76">
        <v>197922</v>
      </c>
      <c r="AV317" s="76">
        <v>0</v>
      </c>
      <c r="AW317" s="76">
        <v>7040</v>
      </c>
      <c r="AX317" s="76">
        <v>0</v>
      </c>
      <c r="AY317" s="76">
        <v>0</v>
      </c>
      <c r="AZ317" s="76">
        <v>1463</v>
      </c>
      <c r="BA317" s="76">
        <v>0</v>
      </c>
      <c r="BB317" s="76">
        <v>0</v>
      </c>
      <c r="BC317" s="76">
        <v>0</v>
      </c>
      <c r="BD317" s="76">
        <v>0</v>
      </c>
      <c r="BE317" s="76">
        <v>206425</v>
      </c>
      <c r="BF317" s="76">
        <v>6512</v>
      </c>
      <c r="BG317" s="76">
        <v>1486</v>
      </c>
      <c r="BH317" s="76">
        <v>27827</v>
      </c>
      <c r="BI317" s="76">
        <v>0</v>
      </c>
      <c r="BJ317" s="76">
        <v>92</v>
      </c>
      <c r="BK317" s="76">
        <v>35917</v>
      </c>
      <c r="BL317" s="76">
        <v>0</v>
      </c>
      <c r="BM317" s="76">
        <v>0</v>
      </c>
      <c r="BN317" s="76">
        <v>165</v>
      </c>
      <c r="BO317" s="76">
        <v>4176</v>
      </c>
      <c r="BP317" s="76">
        <v>4341</v>
      </c>
      <c r="BQ317" s="76">
        <v>31576</v>
      </c>
      <c r="BR317" s="76">
        <v>238001</v>
      </c>
      <c r="BS317" s="76">
        <v>90000</v>
      </c>
      <c r="BT317" s="76">
        <v>0</v>
      </c>
      <c r="BU317" s="76">
        <v>0</v>
      </c>
      <c r="BV317" s="76">
        <v>7859</v>
      </c>
      <c r="BW317" s="76">
        <v>0</v>
      </c>
      <c r="BX317" s="76">
        <v>0</v>
      </c>
      <c r="BY317" s="76">
        <v>2102</v>
      </c>
      <c r="BZ317" s="76">
        <v>99961</v>
      </c>
      <c r="CA317" s="76">
        <v>13510</v>
      </c>
      <c r="CB317" s="76">
        <v>0</v>
      </c>
      <c r="CC317" s="76">
        <v>124530</v>
      </c>
      <c r="CD317" s="76">
        <v>52293</v>
      </c>
      <c r="CE317" s="76">
        <v>72237</v>
      </c>
      <c r="CF317" s="76">
        <v>0</v>
      </c>
      <c r="CG317" s="76">
        <v>0</v>
      </c>
      <c r="CH317" s="76">
        <v>0</v>
      </c>
      <c r="CI317" s="76">
        <v>124530</v>
      </c>
      <c r="CJ317" s="76">
        <v>1182</v>
      </c>
      <c r="CK317" s="76">
        <v>1288</v>
      </c>
      <c r="CL317" s="76">
        <v>0</v>
      </c>
      <c r="CM317" s="76">
        <v>-106</v>
      </c>
      <c r="CN317" s="76">
        <v>0</v>
      </c>
      <c r="CO317" s="76">
        <v>0</v>
      </c>
      <c r="CP317" s="76">
        <v>0</v>
      </c>
      <c r="CQ317" s="76">
        <v>0</v>
      </c>
      <c r="CR317" s="76">
        <v>0</v>
      </c>
      <c r="CS317" s="76">
        <v>0</v>
      </c>
      <c r="CT317" s="76">
        <v>0</v>
      </c>
      <c r="CU317" s="76">
        <v>0</v>
      </c>
      <c r="CV317" s="76">
        <v>0</v>
      </c>
      <c r="CW317" s="76">
        <v>0</v>
      </c>
      <c r="CX317" s="76">
        <v>0</v>
      </c>
      <c r="CY317" s="76">
        <v>0</v>
      </c>
      <c r="CZ317" s="76">
        <v>0</v>
      </c>
      <c r="DA317" s="76">
        <v>0</v>
      </c>
      <c r="DB317" s="76">
        <v>0</v>
      </c>
      <c r="DC317" s="76">
        <v>0</v>
      </c>
      <c r="DD317" s="76">
        <v>1182</v>
      </c>
      <c r="DE317" s="76">
        <v>1288</v>
      </c>
      <c r="DF317" s="76">
        <v>0</v>
      </c>
      <c r="DG317" s="76">
        <v>-106</v>
      </c>
      <c r="DH317" s="76">
        <v>0</v>
      </c>
      <c r="DI317" s="76">
        <v>0</v>
      </c>
      <c r="DJ317" s="76">
        <v>0</v>
      </c>
      <c r="DK317" s="76">
        <v>0</v>
      </c>
      <c r="DL317" s="76">
        <v>0</v>
      </c>
      <c r="DM317" s="76">
        <v>0</v>
      </c>
      <c r="DN317" s="76">
        <v>0</v>
      </c>
      <c r="DO317" s="76">
        <v>0</v>
      </c>
      <c r="DP317" s="76">
        <v>0</v>
      </c>
      <c r="DQ317" s="76">
        <v>0</v>
      </c>
      <c r="DR317" s="76">
        <v>0</v>
      </c>
      <c r="DS317" s="76">
        <v>0</v>
      </c>
      <c r="DT317" s="76">
        <v>56</v>
      </c>
      <c r="DU317" s="76">
        <v>0</v>
      </c>
      <c r="DV317" s="76">
        <v>0</v>
      </c>
      <c r="DW317" s="76">
        <v>56</v>
      </c>
      <c r="DX317" s="76">
        <v>0</v>
      </c>
      <c r="DY317" s="76">
        <v>0</v>
      </c>
      <c r="DZ317" s="76">
        <v>0</v>
      </c>
      <c r="EA317" s="76">
        <v>0</v>
      </c>
      <c r="EB317" s="76">
        <v>2508</v>
      </c>
      <c r="EC317" s="76">
        <v>2420</v>
      </c>
      <c r="ED317" s="76">
        <v>0</v>
      </c>
      <c r="EE317" s="76">
        <v>88</v>
      </c>
      <c r="EF317" s="76">
        <v>2564</v>
      </c>
      <c r="EG317" s="76">
        <v>2420</v>
      </c>
      <c r="EH317" s="76">
        <v>0</v>
      </c>
      <c r="EI317" s="76">
        <v>144</v>
      </c>
      <c r="EJ317" s="76">
        <v>3746</v>
      </c>
      <c r="EK317" s="76">
        <v>3708</v>
      </c>
      <c r="EL317" s="76">
        <v>0</v>
      </c>
      <c r="EM317" s="76">
        <v>38</v>
      </c>
      <c r="EN317" s="76">
        <v>1682</v>
      </c>
      <c r="EO317" s="76">
        <v>1167</v>
      </c>
      <c r="EP317" s="76">
        <v>518</v>
      </c>
      <c r="EQ317" s="76">
        <v>1167</v>
      </c>
      <c r="ER317" s="76">
        <v>214161</v>
      </c>
      <c r="ES317" s="76">
        <v>0</v>
      </c>
      <c r="ET317" s="76">
        <v>214161</v>
      </c>
      <c r="EU317" s="76">
        <v>15493</v>
      </c>
      <c r="EV317" s="76">
        <v>-3970</v>
      </c>
      <c r="EW317" s="76">
        <v>0</v>
      </c>
      <c r="EX317" s="76">
        <v>0</v>
      </c>
      <c r="EY317" s="76">
        <v>0</v>
      </c>
      <c r="EZ317" s="76">
        <v>225684</v>
      </c>
      <c r="FA317" s="76">
        <v>19035</v>
      </c>
      <c r="FB317" s="76">
        <v>9317</v>
      </c>
      <c r="FC317" s="76">
        <v>0</v>
      </c>
      <c r="FD317" s="76">
        <v>0</v>
      </c>
      <c r="FE317" s="76">
        <v>-590</v>
      </c>
      <c r="FF317" s="76">
        <v>0</v>
      </c>
      <c r="FG317" s="76">
        <v>0</v>
      </c>
      <c r="FH317" s="76">
        <v>27762</v>
      </c>
      <c r="FI317" s="76">
        <v>197922</v>
      </c>
      <c r="FJ317" s="76">
        <v>195126</v>
      </c>
      <c r="FK317" s="76">
        <v>269</v>
      </c>
      <c r="FL317" s="76">
        <v>193</v>
      </c>
      <c r="FM317" s="76">
        <v>76</v>
      </c>
      <c r="FN317" s="76">
        <v>1961</v>
      </c>
      <c r="FO317" s="76">
        <v>1372</v>
      </c>
      <c r="FP317" s="76">
        <v>589</v>
      </c>
      <c r="FQ317" s="76">
        <v>0</v>
      </c>
      <c r="FR317" s="76">
        <v>0</v>
      </c>
      <c r="FS317" s="76">
        <v>0</v>
      </c>
      <c r="FT317" s="76">
        <v>0</v>
      </c>
      <c r="FU317" s="76">
        <v>0</v>
      </c>
      <c r="FV317" s="76">
        <v>0</v>
      </c>
      <c r="FW317" s="76">
        <v>0</v>
      </c>
      <c r="FX317" s="76">
        <v>0</v>
      </c>
      <c r="FY317" s="76">
        <v>0</v>
      </c>
      <c r="FZ317" s="76">
        <v>0</v>
      </c>
      <c r="GA317" s="76">
        <v>0</v>
      </c>
      <c r="GB317" s="76">
        <v>0</v>
      </c>
      <c r="GC317" s="76">
        <v>2230</v>
      </c>
      <c r="GD317" s="76">
        <v>1565</v>
      </c>
      <c r="GE317" s="76">
        <v>665</v>
      </c>
      <c r="GF317" s="76">
        <v>0</v>
      </c>
      <c r="GG317" s="76">
        <v>0</v>
      </c>
      <c r="GH317" s="76">
        <v>0</v>
      </c>
      <c r="GI317" s="76">
        <v>0</v>
      </c>
      <c r="GJ317" s="76">
        <v>0</v>
      </c>
      <c r="GK317" s="76">
        <v>92</v>
      </c>
      <c r="GL317" s="76">
        <v>92</v>
      </c>
      <c r="GM317" s="76">
        <v>0</v>
      </c>
      <c r="GN317" s="76">
        <v>903</v>
      </c>
      <c r="GO317" s="76">
        <v>1218</v>
      </c>
      <c r="GP317" s="76">
        <v>0</v>
      </c>
      <c r="GQ317" s="76">
        <v>0</v>
      </c>
      <c r="GR317" s="76">
        <v>2043</v>
      </c>
      <c r="GS317" s="76">
        <v>0</v>
      </c>
      <c r="GT317" s="76">
        <v>0</v>
      </c>
      <c r="GU317" s="76">
        <v>0</v>
      </c>
      <c r="GV317" s="76">
        <v>0</v>
      </c>
      <c r="GW317" s="76">
        <v>12</v>
      </c>
      <c r="GX317" s="76">
        <v>4176</v>
      </c>
      <c r="GY317" s="76">
        <v>0</v>
      </c>
      <c r="GZ317" s="76">
        <v>1882</v>
      </c>
      <c r="HA317" s="76">
        <v>0</v>
      </c>
      <c r="HB317" s="76">
        <v>220</v>
      </c>
      <c r="HC317" s="76">
        <v>2102</v>
      </c>
      <c r="HD317" s="76">
        <v>0</v>
      </c>
      <c r="HE317" s="76">
        <v>0</v>
      </c>
      <c r="HF317" s="76">
        <v>0</v>
      </c>
      <c r="HG317" s="76">
        <v>3727</v>
      </c>
      <c r="HH317" s="76">
        <v>0</v>
      </c>
      <c r="HI317" s="76">
        <v>0</v>
      </c>
      <c r="HJ317" s="76">
        <v>0</v>
      </c>
      <c r="HK317" s="76">
        <v>0</v>
      </c>
      <c r="HL317" s="76">
        <v>0</v>
      </c>
      <c r="HM317" s="76">
        <v>3727</v>
      </c>
      <c r="HN317" s="76">
        <v>7419</v>
      </c>
      <c r="HO317" s="76">
        <v>11387</v>
      </c>
      <c r="HP317" s="76">
        <v>0</v>
      </c>
      <c r="HQ317" s="76">
        <v>108</v>
      </c>
      <c r="HR317" s="76">
        <v>-61</v>
      </c>
      <c r="HS317" s="76">
        <v>0</v>
      </c>
      <c r="HT317" s="76">
        <v>7898</v>
      </c>
      <c r="HU317" s="76">
        <v>0</v>
      </c>
      <c r="HV317" s="76">
        <v>0</v>
      </c>
      <c r="HW317" s="76">
        <v>0</v>
      </c>
      <c r="HX317" s="76">
        <v>7</v>
      </c>
    </row>
    <row r="318" spans="1:232" x14ac:dyDescent="0.2">
      <c r="A318" s="74" t="s">
        <v>841</v>
      </c>
      <c r="B318" s="74" t="s">
        <v>842</v>
      </c>
      <c r="C318" s="75" t="s">
        <v>200</v>
      </c>
      <c r="D318" s="75">
        <v>12</v>
      </c>
      <c r="E318" s="76">
        <v>27693</v>
      </c>
      <c r="F318" s="76">
        <v>0</v>
      </c>
      <c r="G318" s="76">
        <v>-16568</v>
      </c>
      <c r="H318" s="76">
        <v>11125</v>
      </c>
      <c r="I318" s="76">
        <v>11125</v>
      </c>
      <c r="J318" s="76">
        <v>-10000</v>
      </c>
      <c r="K318" s="76">
        <v>0</v>
      </c>
      <c r="L318" s="76">
        <v>150</v>
      </c>
      <c r="M318" s="76">
        <v>42</v>
      </c>
      <c r="N318" s="76">
        <v>-3292</v>
      </c>
      <c r="O318" s="76">
        <v>1329</v>
      </c>
      <c r="P318" s="76">
        <v>-110</v>
      </c>
      <c r="Q318" s="76">
        <v>0</v>
      </c>
      <c r="R318" s="76">
        <v>0</v>
      </c>
      <c r="S318" s="76">
        <v>10369</v>
      </c>
      <c r="T318" s="76">
        <v>-474</v>
      </c>
      <c r="U318" s="76">
        <v>9895</v>
      </c>
      <c r="V318" s="76">
        <v>0</v>
      </c>
      <c r="W318" s="76">
        <v>-1900</v>
      </c>
      <c r="X318" s="76">
        <v>0</v>
      </c>
      <c r="Y318" s="76">
        <v>0</v>
      </c>
      <c r="Z318" s="76">
        <v>7995</v>
      </c>
      <c r="AA318" s="76">
        <v>24477</v>
      </c>
      <c r="AB318" s="76">
        <v>1662</v>
      </c>
      <c r="AC318" s="76">
        <v>26139</v>
      </c>
      <c r="AD318" s="76">
        <v>478</v>
      </c>
      <c r="AE318" s="76">
        <v>0</v>
      </c>
      <c r="AF318" s="76">
        <v>0</v>
      </c>
      <c r="AG318" s="76">
        <v>0</v>
      </c>
      <c r="AH318" s="76">
        <v>26617</v>
      </c>
      <c r="AI318" s="76">
        <v>3874</v>
      </c>
      <c r="AJ318" s="76">
        <v>1976</v>
      </c>
      <c r="AK318" s="76">
        <v>2927</v>
      </c>
      <c r="AL318" s="76">
        <v>934</v>
      </c>
      <c r="AM318" s="76">
        <v>2325</v>
      </c>
      <c r="AN318" s="76">
        <v>102</v>
      </c>
      <c r="AO318" s="76">
        <v>2638</v>
      </c>
      <c r="AP318" s="76">
        <v>0</v>
      </c>
      <c r="AQ318" s="76">
        <v>63</v>
      </c>
      <c r="AR318" s="76">
        <v>14839</v>
      </c>
      <c r="AS318" s="76">
        <v>11778</v>
      </c>
      <c r="AT318" s="76">
        <v>229</v>
      </c>
      <c r="AU318" s="76">
        <v>151644</v>
      </c>
      <c r="AV318" s="76">
        <v>0</v>
      </c>
      <c r="AW318" s="76">
        <v>1413</v>
      </c>
      <c r="AX318" s="76">
        <v>0</v>
      </c>
      <c r="AY318" s="76">
        <v>0</v>
      </c>
      <c r="AZ318" s="76">
        <v>10442</v>
      </c>
      <c r="BA318" s="76">
        <v>1195</v>
      </c>
      <c r="BB318" s="76">
        <v>0</v>
      </c>
      <c r="BC318" s="76">
        <v>0</v>
      </c>
      <c r="BD318" s="76">
        <v>0</v>
      </c>
      <c r="BE318" s="76">
        <v>164694</v>
      </c>
      <c r="BF318" s="76">
        <v>455</v>
      </c>
      <c r="BG318" s="76">
        <v>442</v>
      </c>
      <c r="BH318" s="76">
        <v>16782</v>
      </c>
      <c r="BI318" s="76">
        <v>0</v>
      </c>
      <c r="BJ318" s="76">
        <v>14786</v>
      </c>
      <c r="BK318" s="76">
        <v>32465</v>
      </c>
      <c r="BL318" s="76">
        <v>3459</v>
      </c>
      <c r="BM318" s="76">
        <v>0</v>
      </c>
      <c r="BN318" s="76">
        <v>488</v>
      </c>
      <c r="BO318" s="76">
        <v>4860</v>
      </c>
      <c r="BP318" s="76">
        <v>8807</v>
      </c>
      <c r="BQ318" s="76">
        <v>23658</v>
      </c>
      <c r="BR318" s="76">
        <v>188352</v>
      </c>
      <c r="BS318" s="76">
        <v>100397</v>
      </c>
      <c r="BT318" s="76">
        <v>0</v>
      </c>
      <c r="BU318" s="76">
        <v>0</v>
      </c>
      <c r="BV318" s="76">
        <v>37237</v>
      </c>
      <c r="BW318" s="76">
        <v>0</v>
      </c>
      <c r="BX318" s="76">
        <v>735</v>
      </c>
      <c r="BY318" s="76">
        <v>118</v>
      </c>
      <c r="BZ318" s="76">
        <v>138487</v>
      </c>
      <c r="CA318" s="76">
        <v>7642</v>
      </c>
      <c r="CB318" s="76">
        <v>723</v>
      </c>
      <c r="CC318" s="76">
        <v>41500</v>
      </c>
      <c r="CD318" s="76">
        <v>41500</v>
      </c>
      <c r="CE318" s="76">
        <v>0</v>
      </c>
      <c r="CF318" s="76">
        <v>0</v>
      </c>
      <c r="CG318" s="76">
        <v>0</v>
      </c>
      <c r="CH318" s="76">
        <v>0</v>
      </c>
      <c r="CI318" s="76">
        <v>41500</v>
      </c>
      <c r="CJ318" s="76">
        <v>0</v>
      </c>
      <c r="CK318" s="76">
        <v>0</v>
      </c>
      <c r="CL318" s="76">
        <v>0</v>
      </c>
      <c r="CM318" s="76">
        <v>0</v>
      </c>
      <c r="CN318" s="76">
        <v>0</v>
      </c>
      <c r="CO318" s="76">
        <v>0</v>
      </c>
      <c r="CP318" s="76">
        <v>0</v>
      </c>
      <c r="CQ318" s="76">
        <v>0</v>
      </c>
      <c r="CR318" s="76">
        <v>0</v>
      </c>
      <c r="CS318" s="76">
        <v>0</v>
      </c>
      <c r="CT318" s="76">
        <v>985</v>
      </c>
      <c r="CU318" s="76">
        <v>-985</v>
      </c>
      <c r="CV318" s="76">
        <v>0</v>
      </c>
      <c r="CW318" s="76">
        <v>0</v>
      </c>
      <c r="CX318" s="76">
        <v>0</v>
      </c>
      <c r="CY318" s="76">
        <v>0</v>
      </c>
      <c r="CZ318" s="76">
        <v>0</v>
      </c>
      <c r="DA318" s="76">
        <v>0</v>
      </c>
      <c r="DB318" s="76">
        <v>35</v>
      </c>
      <c r="DC318" s="76">
        <v>-35</v>
      </c>
      <c r="DD318" s="76">
        <v>0</v>
      </c>
      <c r="DE318" s="76">
        <v>0</v>
      </c>
      <c r="DF318" s="76">
        <v>1020</v>
      </c>
      <c r="DG318" s="76">
        <v>-1020</v>
      </c>
      <c r="DH318" s="76">
        <v>0</v>
      </c>
      <c r="DI318" s="76">
        <v>0</v>
      </c>
      <c r="DJ318" s="76">
        <v>0</v>
      </c>
      <c r="DK318" s="76">
        <v>0</v>
      </c>
      <c r="DL318" s="76">
        <v>0</v>
      </c>
      <c r="DM318" s="76">
        <v>0</v>
      </c>
      <c r="DN318" s="76">
        <v>0</v>
      </c>
      <c r="DO318" s="76">
        <v>0</v>
      </c>
      <c r="DP318" s="76">
        <v>0</v>
      </c>
      <c r="DQ318" s="76">
        <v>0</v>
      </c>
      <c r="DR318" s="76">
        <v>0</v>
      </c>
      <c r="DS318" s="76">
        <v>0</v>
      </c>
      <c r="DT318" s="76">
        <v>503</v>
      </c>
      <c r="DU318" s="76">
        <v>0</v>
      </c>
      <c r="DV318" s="76">
        <v>198</v>
      </c>
      <c r="DW318" s="76">
        <v>305</v>
      </c>
      <c r="DX318" s="76">
        <v>484</v>
      </c>
      <c r="DY318" s="76">
        <v>0</v>
      </c>
      <c r="DZ318" s="76">
        <v>482</v>
      </c>
      <c r="EA318" s="76">
        <v>2</v>
      </c>
      <c r="EB318" s="76">
        <v>89</v>
      </c>
      <c r="EC318" s="76">
        <v>0</v>
      </c>
      <c r="ED318" s="76">
        <v>29</v>
      </c>
      <c r="EE318" s="76">
        <v>60</v>
      </c>
      <c r="EF318" s="76">
        <v>1076</v>
      </c>
      <c r="EG318" s="76">
        <v>0</v>
      </c>
      <c r="EH318" s="76">
        <v>709</v>
      </c>
      <c r="EI318" s="76">
        <v>367</v>
      </c>
      <c r="EJ318" s="76">
        <v>1076</v>
      </c>
      <c r="EK318" s="76">
        <v>0</v>
      </c>
      <c r="EL318" s="76">
        <v>1729</v>
      </c>
      <c r="EM318" s="76">
        <v>-653</v>
      </c>
      <c r="EN318" s="76">
        <v>725</v>
      </c>
      <c r="EO318" s="76">
        <v>105</v>
      </c>
      <c r="EP318" s="76">
        <v>284</v>
      </c>
      <c r="EQ318" s="76">
        <v>105</v>
      </c>
      <c r="ER318" s="76">
        <v>187246</v>
      </c>
      <c r="ES318" s="76">
        <v>0</v>
      </c>
      <c r="ET318" s="76">
        <v>187246</v>
      </c>
      <c r="EU318" s="76">
        <v>3516</v>
      </c>
      <c r="EV318" s="76">
        <v>-1170</v>
      </c>
      <c r="EW318" s="76">
        <v>0</v>
      </c>
      <c r="EX318" s="76">
        <v>-5543</v>
      </c>
      <c r="EY318" s="76">
        <v>-9</v>
      </c>
      <c r="EZ318" s="76">
        <v>184040</v>
      </c>
      <c r="FA318" s="76">
        <v>30776</v>
      </c>
      <c r="FB318" s="76">
        <v>2638</v>
      </c>
      <c r="FC318" s="76">
        <v>0</v>
      </c>
      <c r="FD318" s="76">
        <v>0</v>
      </c>
      <c r="FE318" s="76">
        <v>-308</v>
      </c>
      <c r="FF318" s="76">
        <v>-710</v>
      </c>
      <c r="FG318" s="76">
        <v>0</v>
      </c>
      <c r="FH318" s="76">
        <v>32396</v>
      </c>
      <c r="FI318" s="76">
        <v>151644</v>
      </c>
      <c r="FJ318" s="76">
        <v>156470</v>
      </c>
      <c r="FK318" s="76">
        <v>1149</v>
      </c>
      <c r="FL318" s="76">
        <v>551</v>
      </c>
      <c r="FM318" s="76">
        <v>598</v>
      </c>
      <c r="FN318" s="76">
        <v>1521</v>
      </c>
      <c r="FO318" s="76">
        <v>86</v>
      </c>
      <c r="FP318" s="76">
        <v>1435</v>
      </c>
      <c r="FQ318" s="76">
        <v>0</v>
      </c>
      <c r="FR318" s="76">
        <v>0</v>
      </c>
      <c r="FS318" s="76">
        <v>0</v>
      </c>
      <c r="FT318" s="76">
        <v>0</v>
      </c>
      <c r="FU318" s="76">
        <v>167</v>
      </c>
      <c r="FV318" s="76">
        <v>-167</v>
      </c>
      <c r="FW318" s="76">
        <v>11472</v>
      </c>
      <c r="FX318" s="76">
        <v>2386</v>
      </c>
      <c r="FY318" s="76">
        <v>9086</v>
      </c>
      <c r="FZ318" s="76">
        <v>173</v>
      </c>
      <c r="GA318" s="76">
        <v>0</v>
      </c>
      <c r="GB318" s="76">
        <v>173</v>
      </c>
      <c r="GC318" s="76">
        <v>14315</v>
      </c>
      <c r="GD318" s="76">
        <v>3190</v>
      </c>
      <c r="GE318" s="76">
        <v>11125</v>
      </c>
      <c r="GF318" s="76">
        <v>12548</v>
      </c>
      <c r="GG318" s="76">
        <v>10</v>
      </c>
      <c r="GH318" s="76">
        <v>165</v>
      </c>
      <c r="GI318" s="76">
        <v>0</v>
      </c>
      <c r="GJ318" s="76">
        <v>0</v>
      </c>
      <c r="GK318" s="76">
        <v>2063</v>
      </c>
      <c r="GL318" s="76">
        <v>14786</v>
      </c>
      <c r="GM318" s="76">
        <v>798</v>
      </c>
      <c r="GN318" s="76">
        <v>732</v>
      </c>
      <c r="GO318" s="76">
        <v>0</v>
      </c>
      <c r="GP318" s="76">
        <v>0</v>
      </c>
      <c r="GQ318" s="76">
        <v>0</v>
      </c>
      <c r="GR318" s="76">
        <v>1033</v>
      </c>
      <c r="GS318" s="76">
        <v>0</v>
      </c>
      <c r="GT318" s="76">
        <v>0</v>
      </c>
      <c r="GU318" s="76">
        <v>0</v>
      </c>
      <c r="GV318" s="76">
        <v>0</v>
      </c>
      <c r="GW318" s="76">
        <v>2297</v>
      </c>
      <c r="GX318" s="76">
        <v>4860</v>
      </c>
      <c r="GY318" s="76">
        <v>0</v>
      </c>
      <c r="GZ318" s="76">
        <v>0</v>
      </c>
      <c r="HA318" s="76">
        <v>0</v>
      </c>
      <c r="HB318" s="76">
        <v>118</v>
      </c>
      <c r="HC318" s="76">
        <v>118</v>
      </c>
      <c r="HD318" s="76">
        <v>0</v>
      </c>
      <c r="HE318" s="76">
        <v>723</v>
      </c>
      <c r="HF318" s="76">
        <v>723</v>
      </c>
      <c r="HG318" s="76">
        <v>3076</v>
      </c>
      <c r="HH318" s="76">
        <v>9</v>
      </c>
      <c r="HI318" s="76">
        <v>207</v>
      </c>
      <c r="HJ318" s="76">
        <v>0</v>
      </c>
      <c r="HK318" s="76">
        <v>0</v>
      </c>
      <c r="HL318" s="76">
        <v>0</v>
      </c>
      <c r="HM318" s="76">
        <v>3292</v>
      </c>
      <c r="HN318" s="76">
        <v>0</v>
      </c>
      <c r="HO318" s="76">
        <v>2704</v>
      </c>
      <c r="HP318" s="76">
        <v>0</v>
      </c>
      <c r="HQ318" s="76">
        <v>2</v>
      </c>
      <c r="HR318" s="76">
        <v>-47</v>
      </c>
      <c r="HS318" s="76">
        <v>-79</v>
      </c>
      <c r="HT318" s="76">
        <v>4935</v>
      </c>
      <c r="HU318" s="76">
        <v>0</v>
      </c>
      <c r="HV318" s="76">
        <v>0</v>
      </c>
      <c r="HW318" s="76">
        <v>0</v>
      </c>
      <c r="HX318" s="76">
        <v>62</v>
      </c>
    </row>
    <row r="319" spans="1:232" x14ac:dyDescent="0.2">
      <c r="A319" s="74" t="s">
        <v>845</v>
      </c>
      <c r="B319" s="74" t="s">
        <v>844</v>
      </c>
      <c r="C319" s="75" t="s">
        <v>200</v>
      </c>
      <c r="D319" s="75">
        <v>12</v>
      </c>
      <c r="E319" s="76">
        <v>63641</v>
      </c>
      <c r="F319" s="76">
        <v>-439</v>
      </c>
      <c r="G319" s="76">
        <v>-44823</v>
      </c>
      <c r="H319" s="76">
        <v>18379</v>
      </c>
      <c r="I319" s="76">
        <v>1651</v>
      </c>
      <c r="J319" s="76">
        <v>142</v>
      </c>
      <c r="K319" s="76">
        <v>0</v>
      </c>
      <c r="L319" s="76">
        <v>0</v>
      </c>
      <c r="M319" s="76">
        <v>25</v>
      </c>
      <c r="N319" s="76">
        <v>-4375</v>
      </c>
      <c r="O319" s="76">
        <v>546</v>
      </c>
      <c r="P319" s="76">
        <v>0</v>
      </c>
      <c r="Q319" s="76">
        <v>0</v>
      </c>
      <c r="R319" s="76">
        <v>0</v>
      </c>
      <c r="S319" s="76">
        <v>16368</v>
      </c>
      <c r="T319" s="76">
        <v>-1</v>
      </c>
      <c r="U319" s="76">
        <v>16367</v>
      </c>
      <c r="V319" s="76">
        <v>0</v>
      </c>
      <c r="W319" s="76">
        <v>-708</v>
      </c>
      <c r="X319" s="76">
        <v>0</v>
      </c>
      <c r="Y319" s="76">
        <v>0</v>
      </c>
      <c r="Z319" s="76">
        <v>15659</v>
      </c>
      <c r="AA319" s="76">
        <v>56389</v>
      </c>
      <c r="AB319" s="76">
        <v>778</v>
      </c>
      <c r="AC319" s="76">
        <v>57167</v>
      </c>
      <c r="AD319" s="76">
        <v>46</v>
      </c>
      <c r="AE319" s="76">
        <v>0</v>
      </c>
      <c r="AF319" s="76">
        <v>2125</v>
      </c>
      <c r="AG319" s="76">
        <v>991</v>
      </c>
      <c r="AH319" s="76">
        <v>60329</v>
      </c>
      <c r="AI319" s="76">
        <v>9684</v>
      </c>
      <c r="AJ319" s="76">
        <v>7210</v>
      </c>
      <c r="AK319" s="76">
        <v>8870</v>
      </c>
      <c r="AL319" s="76">
        <v>3798</v>
      </c>
      <c r="AM319" s="76">
        <v>5519</v>
      </c>
      <c r="AN319" s="76">
        <v>174</v>
      </c>
      <c r="AO319" s="76">
        <v>7939</v>
      </c>
      <c r="AP319" s="76">
        <v>0</v>
      </c>
      <c r="AQ319" s="76">
        <v>155</v>
      </c>
      <c r="AR319" s="76">
        <v>43349</v>
      </c>
      <c r="AS319" s="76">
        <v>16980</v>
      </c>
      <c r="AT319" s="76">
        <v>1637</v>
      </c>
      <c r="AU319" s="76">
        <v>176677</v>
      </c>
      <c r="AV319" s="76">
        <v>0</v>
      </c>
      <c r="AW319" s="76">
        <v>4892</v>
      </c>
      <c r="AX319" s="76">
        <v>58</v>
      </c>
      <c r="AY319" s="76">
        <v>0</v>
      </c>
      <c r="AZ319" s="76">
        <v>1658</v>
      </c>
      <c r="BA319" s="76">
        <v>90</v>
      </c>
      <c r="BB319" s="76">
        <v>10</v>
      </c>
      <c r="BC319" s="76">
        <v>0</v>
      </c>
      <c r="BD319" s="76">
        <v>0</v>
      </c>
      <c r="BE319" s="76">
        <v>183385</v>
      </c>
      <c r="BF319" s="76">
        <v>3402</v>
      </c>
      <c r="BG319" s="76">
        <v>4590</v>
      </c>
      <c r="BH319" s="76">
        <v>6972</v>
      </c>
      <c r="BI319" s="76">
        <v>0</v>
      </c>
      <c r="BJ319" s="76">
        <v>373</v>
      </c>
      <c r="BK319" s="76">
        <v>15337</v>
      </c>
      <c r="BL319" s="76">
        <v>0</v>
      </c>
      <c r="BM319" s="76">
        <v>0</v>
      </c>
      <c r="BN319" s="76">
        <v>84</v>
      </c>
      <c r="BO319" s="76">
        <v>12611</v>
      </c>
      <c r="BP319" s="76">
        <v>12695</v>
      </c>
      <c r="BQ319" s="76">
        <v>2642</v>
      </c>
      <c r="BR319" s="76">
        <v>186027</v>
      </c>
      <c r="BS319" s="76">
        <v>72764</v>
      </c>
      <c r="BT319" s="76">
        <v>0</v>
      </c>
      <c r="BU319" s="76">
        <v>0</v>
      </c>
      <c r="BV319" s="76">
        <v>6139</v>
      </c>
      <c r="BW319" s="76">
        <v>0</v>
      </c>
      <c r="BX319" s="76">
        <v>0</v>
      </c>
      <c r="BY319" s="76">
        <v>1107</v>
      </c>
      <c r="BZ319" s="76">
        <v>80010</v>
      </c>
      <c r="CA319" s="76">
        <v>18041</v>
      </c>
      <c r="CB319" s="76">
        <v>324</v>
      </c>
      <c r="CC319" s="76">
        <v>87652</v>
      </c>
      <c r="CD319" s="76">
        <v>87652</v>
      </c>
      <c r="CE319" s="76">
        <v>0</v>
      </c>
      <c r="CF319" s="76">
        <v>0</v>
      </c>
      <c r="CG319" s="76">
        <v>0</v>
      </c>
      <c r="CH319" s="76">
        <v>0</v>
      </c>
      <c r="CI319" s="76">
        <v>87652</v>
      </c>
      <c r="CJ319" s="76">
        <v>0</v>
      </c>
      <c r="CK319" s="76">
        <v>0</v>
      </c>
      <c r="CL319" s="76">
        <v>0</v>
      </c>
      <c r="CM319" s="76">
        <v>0</v>
      </c>
      <c r="CN319" s="76">
        <v>0</v>
      </c>
      <c r="CO319" s="76">
        <v>0</v>
      </c>
      <c r="CP319" s="76">
        <v>0</v>
      </c>
      <c r="CQ319" s="76">
        <v>0</v>
      </c>
      <c r="CR319" s="76">
        <v>0</v>
      </c>
      <c r="CS319" s="76">
        <v>0</v>
      </c>
      <c r="CT319" s="76">
        <v>195</v>
      </c>
      <c r="CU319" s="76">
        <v>-195</v>
      </c>
      <c r="CV319" s="76">
        <v>0</v>
      </c>
      <c r="CW319" s="76">
        <v>0</v>
      </c>
      <c r="CX319" s="76">
        <v>0</v>
      </c>
      <c r="CY319" s="76">
        <v>0</v>
      </c>
      <c r="CZ319" s="76">
        <v>521</v>
      </c>
      <c r="DA319" s="76">
        <v>126</v>
      </c>
      <c r="DB319" s="76">
        <v>0</v>
      </c>
      <c r="DC319" s="76">
        <v>395</v>
      </c>
      <c r="DD319" s="76">
        <v>521</v>
      </c>
      <c r="DE319" s="76">
        <v>126</v>
      </c>
      <c r="DF319" s="76">
        <v>195</v>
      </c>
      <c r="DG319" s="76">
        <v>200</v>
      </c>
      <c r="DH319" s="76">
        <v>0</v>
      </c>
      <c r="DI319" s="76">
        <v>0</v>
      </c>
      <c r="DJ319" s="76">
        <v>0</v>
      </c>
      <c r="DK319" s="76">
        <v>0</v>
      </c>
      <c r="DL319" s="76">
        <v>0</v>
      </c>
      <c r="DM319" s="76">
        <v>0</v>
      </c>
      <c r="DN319" s="76">
        <v>0</v>
      </c>
      <c r="DO319" s="76">
        <v>0</v>
      </c>
      <c r="DP319" s="76">
        <v>0</v>
      </c>
      <c r="DQ319" s="76">
        <v>0</v>
      </c>
      <c r="DR319" s="76">
        <v>0</v>
      </c>
      <c r="DS319" s="76">
        <v>0</v>
      </c>
      <c r="DT319" s="76">
        <v>0</v>
      </c>
      <c r="DU319" s="76">
        <v>0</v>
      </c>
      <c r="DV319" s="76">
        <v>0</v>
      </c>
      <c r="DW319" s="76">
        <v>0</v>
      </c>
      <c r="DX319" s="76">
        <v>0</v>
      </c>
      <c r="DY319" s="76">
        <v>0</v>
      </c>
      <c r="DZ319" s="76">
        <v>0</v>
      </c>
      <c r="EA319" s="76">
        <v>0</v>
      </c>
      <c r="EB319" s="76">
        <v>2791</v>
      </c>
      <c r="EC319" s="76">
        <v>313</v>
      </c>
      <c r="ED319" s="76">
        <v>1279</v>
      </c>
      <c r="EE319" s="76">
        <v>1199</v>
      </c>
      <c r="EF319" s="76">
        <v>2791</v>
      </c>
      <c r="EG319" s="76">
        <v>313</v>
      </c>
      <c r="EH319" s="76">
        <v>1279</v>
      </c>
      <c r="EI319" s="76">
        <v>1199</v>
      </c>
      <c r="EJ319" s="76">
        <v>3312</v>
      </c>
      <c r="EK319" s="76">
        <v>439</v>
      </c>
      <c r="EL319" s="76">
        <v>1474</v>
      </c>
      <c r="EM319" s="76">
        <v>1399</v>
      </c>
      <c r="EN319" s="76">
        <v>2259</v>
      </c>
      <c r="EO319" s="76">
        <v>509</v>
      </c>
      <c r="EP319" s="76">
        <v>234</v>
      </c>
      <c r="EQ319" s="76">
        <v>461</v>
      </c>
      <c r="ER319" s="76">
        <v>219973</v>
      </c>
      <c r="ES319" s="76">
        <v>0</v>
      </c>
      <c r="ET319" s="76">
        <v>219973</v>
      </c>
      <c r="EU319" s="76">
        <v>11553</v>
      </c>
      <c r="EV319" s="76">
        <v>-811</v>
      </c>
      <c r="EW319" s="76">
        <v>0</v>
      </c>
      <c r="EX319" s="76">
        <v>0</v>
      </c>
      <c r="EY319" s="76">
        <v>-365</v>
      </c>
      <c r="EZ319" s="76">
        <v>230350</v>
      </c>
      <c r="FA319" s="76">
        <v>46342</v>
      </c>
      <c r="FB319" s="76">
        <v>7756</v>
      </c>
      <c r="FC319" s="76">
        <v>0</v>
      </c>
      <c r="FD319" s="76">
        <v>0</v>
      </c>
      <c r="FE319" s="76">
        <v>-244</v>
      </c>
      <c r="FF319" s="76">
        <v>0</v>
      </c>
      <c r="FG319" s="76">
        <v>-181</v>
      </c>
      <c r="FH319" s="76">
        <v>53673</v>
      </c>
      <c r="FI319" s="76">
        <v>176677</v>
      </c>
      <c r="FJ319" s="76">
        <v>173631</v>
      </c>
      <c r="FK319" s="76">
        <v>42</v>
      </c>
      <c r="FL319" s="76">
        <v>24</v>
      </c>
      <c r="FM319" s="76">
        <v>18</v>
      </c>
      <c r="FN319" s="76">
        <v>1643</v>
      </c>
      <c r="FO319" s="76">
        <v>460</v>
      </c>
      <c r="FP319" s="76">
        <v>1183</v>
      </c>
      <c r="FQ319" s="76">
        <v>122</v>
      </c>
      <c r="FR319" s="76">
        <v>17</v>
      </c>
      <c r="FS319" s="76">
        <v>105</v>
      </c>
      <c r="FT319" s="76">
        <v>437</v>
      </c>
      <c r="FU319" s="76">
        <v>92</v>
      </c>
      <c r="FV319" s="76">
        <v>345</v>
      </c>
      <c r="FW319" s="76">
        <v>0</v>
      </c>
      <c r="FX319" s="76">
        <v>0</v>
      </c>
      <c r="FY319" s="76">
        <v>0</v>
      </c>
      <c r="FZ319" s="76">
        <v>0</v>
      </c>
      <c r="GA319" s="76">
        <v>0</v>
      </c>
      <c r="GB319" s="76">
        <v>0</v>
      </c>
      <c r="GC319" s="76">
        <v>2244</v>
      </c>
      <c r="GD319" s="76">
        <v>593</v>
      </c>
      <c r="GE319" s="76">
        <v>1651</v>
      </c>
      <c r="GF319" s="76">
        <v>312</v>
      </c>
      <c r="GG319" s="76">
        <v>0</v>
      </c>
      <c r="GH319" s="76">
        <v>0</v>
      </c>
      <c r="GI319" s="76">
        <v>0</v>
      </c>
      <c r="GJ319" s="76">
        <v>0</v>
      </c>
      <c r="GK319" s="76">
        <v>61</v>
      </c>
      <c r="GL319" s="76">
        <v>373</v>
      </c>
      <c r="GM319" s="76">
        <v>682</v>
      </c>
      <c r="GN319" s="76">
        <v>1045</v>
      </c>
      <c r="GO319" s="76">
        <v>675</v>
      </c>
      <c r="GP319" s="76">
        <v>0</v>
      </c>
      <c r="GQ319" s="76">
        <v>0</v>
      </c>
      <c r="GR319" s="76">
        <v>8769</v>
      </c>
      <c r="GS319" s="76">
        <v>0</v>
      </c>
      <c r="GT319" s="76">
        <v>0</v>
      </c>
      <c r="GU319" s="76">
        <v>0</v>
      </c>
      <c r="GV319" s="76">
        <v>0</v>
      </c>
      <c r="GW319" s="76">
        <v>1440</v>
      </c>
      <c r="GX319" s="76">
        <v>12611</v>
      </c>
      <c r="GY319" s="76">
        <v>0</v>
      </c>
      <c r="GZ319" s="76">
        <v>0</v>
      </c>
      <c r="HA319" s="76">
        <v>0</v>
      </c>
      <c r="HB319" s="76">
        <v>1107</v>
      </c>
      <c r="HC319" s="76">
        <v>1107</v>
      </c>
      <c r="HD319" s="76">
        <v>0</v>
      </c>
      <c r="HE319" s="76">
        <v>324</v>
      </c>
      <c r="HF319" s="76">
        <v>324</v>
      </c>
      <c r="HG319" s="76">
        <v>3809</v>
      </c>
      <c r="HH319" s="76">
        <v>0</v>
      </c>
      <c r="HI319" s="76">
        <v>566</v>
      </c>
      <c r="HJ319" s="76">
        <v>0</v>
      </c>
      <c r="HK319" s="76">
        <v>0</v>
      </c>
      <c r="HL319" s="76">
        <v>0</v>
      </c>
      <c r="HM319" s="76">
        <v>4375</v>
      </c>
      <c r="HN319" s="76">
        <v>1914</v>
      </c>
      <c r="HO319" s="76">
        <v>8501</v>
      </c>
      <c r="HP319" s="76">
        <v>0</v>
      </c>
      <c r="HQ319" s="76">
        <v>49</v>
      </c>
      <c r="HR319" s="76">
        <v>-68</v>
      </c>
      <c r="HS319" s="76">
        <v>-5</v>
      </c>
      <c r="HT319" s="76">
        <v>12894</v>
      </c>
      <c r="HU319" s="76">
        <v>3</v>
      </c>
      <c r="HV319" s="76">
        <v>0</v>
      </c>
      <c r="HW319" s="76">
        <v>5</v>
      </c>
      <c r="HX319" s="76">
        <v>8</v>
      </c>
    </row>
    <row r="320" spans="1:232" x14ac:dyDescent="0.2">
      <c r="A320" s="71" t="s">
        <v>846</v>
      </c>
      <c r="B320" s="71" t="s">
        <v>847</v>
      </c>
      <c r="C320" s="72" t="s">
        <v>200</v>
      </c>
      <c r="D320" s="72">
        <v>12</v>
      </c>
      <c r="E320" s="73">
        <v>28158</v>
      </c>
      <c r="F320" s="73">
        <v>-5437</v>
      </c>
      <c r="G320" s="73">
        <v>-10847</v>
      </c>
      <c r="H320" s="73">
        <v>11874</v>
      </c>
      <c r="I320" s="73">
        <v>78</v>
      </c>
      <c r="J320" s="73">
        <v>0</v>
      </c>
      <c r="K320" s="73">
        <v>0</v>
      </c>
      <c r="L320" s="73">
        <v>0</v>
      </c>
      <c r="M320" s="73">
        <v>20</v>
      </c>
      <c r="N320" s="73">
        <v>-4465</v>
      </c>
      <c r="O320" s="73">
        <v>0</v>
      </c>
      <c r="P320" s="73">
        <v>0</v>
      </c>
      <c r="Q320" s="73">
        <v>0</v>
      </c>
      <c r="R320" s="73">
        <v>0</v>
      </c>
      <c r="S320" s="73">
        <v>7507</v>
      </c>
      <c r="T320" s="73">
        <v>-233</v>
      </c>
      <c r="U320" s="73">
        <v>7274</v>
      </c>
      <c r="V320" s="73">
        <v>0</v>
      </c>
      <c r="W320" s="73">
        <v>-999</v>
      </c>
      <c r="X320" s="73">
        <v>0</v>
      </c>
      <c r="Y320" s="73">
        <v>0</v>
      </c>
      <c r="Z320" s="73">
        <v>6275</v>
      </c>
      <c r="AA320" s="73">
        <v>18492</v>
      </c>
      <c r="AB320" s="73">
        <v>1180</v>
      </c>
      <c r="AC320" s="73">
        <v>19672</v>
      </c>
      <c r="AD320" s="73">
        <v>421</v>
      </c>
      <c r="AE320" s="73">
        <v>0</v>
      </c>
      <c r="AF320" s="73">
        <v>0</v>
      </c>
      <c r="AG320" s="73">
        <v>0</v>
      </c>
      <c r="AH320" s="73">
        <v>20093</v>
      </c>
      <c r="AI320" s="73">
        <v>3187</v>
      </c>
      <c r="AJ320" s="73">
        <v>910</v>
      </c>
      <c r="AK320" s="73">
        <v>1485</v>
      </c>
      <c r="AL320" s="73">
        <v>989</v>
      </c>
      <c r="AM320" s="73">
        <v>688</v>
      </c>
      <c r="AN320" s="73">
        <v>81</v>
      </c>
      <c r="AO320" s="73">
        <v>2890</v>
      </c>
      <c r="AP320" s="73">
        <v>-347</v>
      </c>
      <c r="AQ320" s="73">
        <v>248</v>
      </c>
      <c r="AR320" s="73">
        <v>10131</v>
      </c>
      <c r="AS320" s="73">
        <v>9962</v>
      </c>
      <c r="AT320" s="73">
        <v>70</v>
      </c>
      <c r="AU320" s="73">
        <v>179713</v>
      </c>
      <c r="AV320" s="73">
        <v>0</v>
      </c>
      <c r="AW320" s="73">
        <v>2081</v>
      </c>
      <c r="AX320" s="73">
        <v>0</v>
      </c>
      <c r="AY320" s="73">
        <v>0</v>
      </c>
      <c r="AZ320" s="73">
        <v>0</v>
      </c>
      <c r="BA320" s="73">
        <v>0</v>
      </c>
      <c r="BB320" s="73">
        <v>0</v>
      </c>
      <c r="BC320" s="73">
        <v>0</v>
      </c>
      <c r="BD320" s="73">
        <v>520</v>
      </c>
      <c r="BE320" s="73">
        <v>182314</v>
      </c>
      <c r="BF320" s="73">
        <v>861</v>
      </c>
      <c r="BG320" s="73">
        <v>1483</v>
      </c>
      <c r="BH320" s="73">
        <v>6547</v>
      </c>
      <c r="BI320" s="73">
        <v>0</v>
      </c>
      <c r="BJ320" s="73">
        <v>0</v>
      </c>
      <c r="BK320" s="73">
        <v>8891</v>
      </c>
      <c r="BL320" s="73">
        <v>3000</v>
      </c>
      <c r="BM320" s="73">
        <v>0</v>
      </c>
      <c r="BN320" s="73">
        <v>421</v>
      </c>
      <c r="BO320" s="73">
        <v>4157</v>
      </c>
      <c r="BP320" s="73">
        <v>7578</v>
      </c>
      <c r="BQ320" s="73">
        <v>1313</v>
      </c>
      <c r="BR320" s="73">
        <v>183627</v>
      </c>
      <c r="BS320" s="73">
        <v>111618</v>
      </c>
      <c r="BT320" s="73">
        <v>0</v>
      </c>
      <c r="BU320" s="73">
        <v>0</v>
      </c>
      <c r="BV320" s="73">
        <v>38668</v>
      </c>
      <c r="BW320" s="73">
        <v>0</v>
      </c>
      <c r="BX320" s="73">
        <v>0</v>
      </c>
      <c r="BY320" s="73">
        <v>7</v>
      </c>
      <c r="BZ320" s="73">
        <v>150293</v>
      </c>
      <c r="CA320" s="73">
        <v>3513</v>
      </c>
      <c r="CB320" s="73">
        <v>0</v>
      </c>
      <c r="CC320" s="73">
        <v>29821</v>
      </c>
      <c r="CD320" s="73">
        <v>29821</v>
      </c>
      <c r="CE320" s="73">
        <v>0</v>
      </c>
      <c r="CF320" s="73">
        <v>0</v>
      </c>
      <c r="CG320" s="73">
        <v>0</v>
      </c>
      <c r="CH320" s="73">
        <v>0</v>
      </c>
      <c r="CI320" s="73">
        <v>29821</v>
      </c>
      <c r="CJ320" s="73">
        <v>2711</v>
      </c>
      <c r="CK320" s="73">
        <v>1820</v>
      </c>
      <c r="CL320" s="73">
        <v>0</v>
      </c>
      <c r="CM320" s="73">
        <v>891</v>
      </c>
      <c r="CN320" s="73">
        <v>101</v>
      </c>
      <c r="CO320" s="73">
        <v>0</v>
      </c>
      <c r="CP320" s="73">
        <v>127</v>
      </c>
      <c r="CQ320" s="73">
        <v>-26</v>
      </c>
      <c r="CR320" s="73">
        <v>0</v>
      </c>
      <c r="CS320" s="73">
        <v>0</v>
      </c>
      <c r="CT320" s="73">
        <v>132</v>
      </c>
      <c r="CU320" s="73">
        <v>-132</v>
      </c>
      <c r="CV320" s="73">
        <v>0</v>
      </c>
      <c r="CW320" s="73">
        <v>0</v>
      </c>
      <c r="CX320" s="73">
        <v>0</v>
      </c>
      <c r="CY320" s="73">
        <v>0</v>
      </c>
      <c r="CZ320" s="73">
        <v>312</v>
      </c>
      <c r="DA320" s="73">
        <v>0</v>
      </c>
      <c r="DB320" s="73">
        <v>118</v>
      </c>
      <c r="DC320" s="73">
        <v>194</v>
      </c>
      <c r="DD320" s="73">
        <v>3124</v>
      </c>
      <c r="DE320" s="73">
        <v>1820</v>
      </c>
      <c r="DF320" s="73">
        <v>377</v>
      </c>
      <c r="DG320" s="73">
        <v>927</v>
      </c>
      <c r="DH320" s="73">
        <v>4662</v>
      </c>
      <c r="DI320" s="73">
        <v>3617</v>
      </c>
      <c r="DJ320" s="73">
        <v>0</v>
      </c>
      <c r="DK320" s="73">
        <v>1045</v>
      </c>
      <c r="DL320" s="73">
        <v>0</v>
      </c>
      <c r="DM320" s="73">
        <v>0</v>
      </c>
      <c r="DN320" s="73">
        <v>0</v>
      </c>
      <c r="DO320" s="73">
        <v>0</v>
      </c>
      <c r="DP320" s="73">
        <v>0</v>
      </c>
      <c r="DQ320" s="73">
        <v>0</v>
      </c>
      <c r="DR320" s="73">
        <v>0</v>
      </c>
      <c r="DS320" s="73">
        <v>0</v>
      </c>
      <c r="DT320" s="73">
        <v>0</v>
      </c>
      <c r="DU320" s="73">
        <v>0</v>
      </c>
      <c r="DV320" s="73">
        <v>0</v>
      </c>
      <c r="DW320" s="73">
        <v>0</v>
      </c>
      <c r="DX320" s="73">
        <v>0</v>
      </c>
      <c r="DY320" s="73">
        <v>0</v>
      </c>
      <c r="DZ320" s="73">
        <v>0</v>
      </c>
      <c r="EA320" s="73">
        <v>0</v>
      </c>
      <c r="EB320" s="73">
        <v>279</v>
      </c>
      <c r="EC320" s="73">
        <v>0</v>
      </c>
      <c r="ED320" s="73">
        <v>339</v>
      </c>
      <c r="EE320" s="73">
        <v>-60</v>
      </c>
      <c r="EF320" s="73">
        <v>4941</v>
      </c>
      <c r="EG320" s="73">
        <v>3617</v>
      </c>
      <c r="EH320" s="73">
        <v>339</v>
      </c>
      <c r="EI320" s="73">
        <v>985</v>
      </c>
      <c r="EJ320" s="73">
        <v>8065</v>
      </c>
      <c r="EK320" s="73">
        <v>5437</v>
      </c>
      <c r="EL320" s="73">
        <v>716</v>
      </c>
      <c r="EM320" s="73">
        <v>1912</v>
      </c>
      <c r="EN320" s="73">
        <v>402</v>
      </c>
      <c r="EO320" s="73">
        <v>186</v>
      </c>
      <c r="EP320" s="73">
        <v>201</v>
      </c>
      <c r="EQ320" s="73">
        <v>186</v>
      </c>
      <c r="ER320" s="73">
        <v>191497</v>
      </c>
      <c r="ES320" s="73">
        <v>0</v>
      </c>
      <c r="ET320" s="73">
        <v>191497</v>
      </c>
      <c r="EU320" s="73">
        <v>10370</v>
      </c>
      <c r="EV320" s="73">
        <v>-308</v>
      </c>
      <c r="EW320" s="73">
        <v>0</v>
      </c>
      <c r="EX320" s="73">
        <v>0</v>
      </c>
      <c r="EY320" s="73">
        <v>0</v>
      </c>
      <c r="EZ320" s="73">
        <v>201559</v>
      </c>
      <c r="FA320" s="73">
        <v>19515</v>
      </c>
      <c r="FB320" s="73">
        <v>2778</v>
      </c>
      <c r="FC320" s="73">
        <v>-347</v>
      </c>
      <c r="FD320" s="73">
        <v>0</v>
      </c>
      <c r="FE320" s="73">
        <v>-100</v>
      </c>
      <c r="FF320" s="73">
        <v>0</v>
      </c>
      <c r="FG320" s="73">
        <v>0</v>
      </c>
      <c r="FH320" s="73">
        <v>21846</v>
      </c>
      <c r="FI320" s="73">
        <v>179713</v>
      </c>
      <c r="FJ320" s="73">
        <v>171982</v>
      </c>
      <c r="FK320" s="73">
        <v>118</v>
      </c>
      <c r="FL320" s="73">
        <v>63</v>
      </c>
      <c r="FM320" s="73">
        <v>55</v>
      </c>
      <c r="FN320" s="73">
        <v>269</v>
      </c>
      <c r="FO320" s="73">
        <v>246</v>
      </c>
      <c r="FP320" s="73">
        <v>23</v>
      </c>
      <c r="FQ320" s="73">
        <v>0</v>
      </c>
      <c r="FR320" s="73">
        <v>0</v>
      </c>
      <c r="FS320" s="73">
        <v>0</v>
      </c>
      <c r="FT320" s="73">
        <v>0</v>
      </c>
      <c r="FU320" s="73">
        <v>0</v>
      </c>
      <c r="FV320" s="73">
        <v>0</v>
      </c>
      <c r="FW320" s="73">
        <v>0</v>
      </c>
      <c r="FX320" s="73">
        <v>0</v>
      </c>
      <c r="FY320" s="73">
        <v>0</v>
      </c>
      <c r="FZ320" s="73">
        <v>0</v>
      </c>
      <c r="GA320" s="73">
        <v>0</v>
      </c>
      <c r="GB320" s="73">
        <v>0</v>
      </c>
      <c r="GC320" s="73">
        <v>387</v>
      </c>
      <c r="GD320" s="73">
        <v>309</v>
      </c>
      <c r="GE320" s="73">
        <v>78</v>
      </c>
      <c r="GF320" s="73">
        <v>0</v>
      </c>
      <c r="GG320" s="73">
        <v>0</v>
      </c>
      <c r="GH320" s="73">
        <v>0</v>
      </c>
      <c r="GI320" s="73">
        <v>0</v>
      </c>
      <c r="GJ320" s="73">
        <v>0</v>
      </c>
      <c r="GK320" s="73">
        <v>0</v>
      </c>
      <c r="GL320" s="73">
        <v>0</v>
      </c>
      <c r="GM320" s="73">
        <v>706</v>
      </c>
      <c r="GN320" s="73">
        <v>301</v>
      </c>
      <c r="GO320" s="73">
        <v>0</v>
      </c>
      <c r="GP320" s="73">
        <v>28</v>
      </c>
      <c r="GQ320" s="73">
        <v>492</v>
      </c>
      <c r="GR320" s="73">
        <v>1600</v>
      </c>
      <c r="GS320" s="73">
        <v>0</v>
      </c>
      <c r="GT320" s="73">
        <v>0</v>
      </c>
      <c r="GU320" s="73">
        <v>0</v>
      </c>
      <c r="GV320" s="73">
        <v>0</v>
      </c>
      <c r="GW320" s="73">
        <v>1030</v>
      </c>
      <c r="GX320" s="73">
        <v>4157</v>
      </c>
      <c r="GY320" s="73">
        <v>7</v>
      </c>
      <c r="GZ320" s="73">
        <v>0</v>
      </c>
      <c r="HA320" s="73">
        <v>0</v>
      </c>
      <c r="HB320" s="73">
        <v>0</v>
      </c>
      <c r="HC320" s="73">
        <v>7</v>
      </c>
      <c r="HD320" s="73">
        <v>0</v>
      </c>
      <c r="HE320" s="73">
        <v>0</v>
      </c>
      <c r="HF320" s="73">
        <v>0</v>
      </c>
      <c r="HG320" s="73">
        <v>4580</v>
      </c>
      <c r="HH320" s="73">
        <v>40</v>
      </c>
      <c r="HI320" s="73">
        <v>85</v>
      </c>
      <c r="HJ320" s="73">
        <v>1</v>
      </c>
      <c r="HK320" s="73">
        <v>0</v>
      </c>
      <c r="HL320" s="73">
        <v>-241</v>
      </c>
      <c r="HM320" s="73">
        <v>4465</v>
      </c>
      <c r="HN320" s="73">
        <v>2120</v>
      </c>
      <c r="HO320" s="73">
        <v>3162</v>
      </c>
      <c r="HP320" s="73">
        <v>-347</v>
      </c>
      <c r="HQ320" s="73">
        <v>96</v>
      </c>
      <c r="HR320" s="73">
        <v>-3</v>
      </c>
      <c r="HS320" s="73">
        <v>4</v>
      </c>
      <c r="HT320" s="73">
        <v>3642</v>
      </c>
      <c r="HU320" s="73">
        <v>0</v>
      </c>
      <c r="HV320" s="73">
        <v>0</v>
      </c>
      <c r="HW320" s="73">
        <v>0</v>
      </c>
      <c r="HX320" s="73">
        <v>0</v>
      </c>
    </row>
    <row r="321" spans="1:232" x14ac:dyDescent="0.2">
      <c r="A321" s="71" t="s">
        <v>848</v>
      </c>
      <c r="B321" s="71" t="s">
        <v>849</v>
      </c>
      <c r="C321" s="72" t="s">
        <v>200</v>
      </c>
      <c r="D321" s="72">
        <v>12</v>
      </c>
      <c r="E321" s="73">
        <v>44134</v>
      </c>
      <c r="F321" s="73">
        <v>-1540</v>
      </c>
      <c r="G321" s="73">
        <v>-33109</v>
      </c>
      <c r="H321" s="73">
        <v>9485</v>
      </c>
      <c r="I321" s="73">
        <v>252</v>
      </c>
      <c r="J321" s="73">
        <v>0</v>
      </c>
      <c r="K321" s="73">
        <v>0</v>
      </c>
      <c r="L321" s="73">
        <v>0</v>
      </c>
      <c r="M321" s="73">
        <v>109</v>
      </c>
      <c r="N321" s="73">
        <v>-7227</v>
      </c>
      <c r="O321" s="73">
        <v>25</v>
      </c>
      <c r="P321" s="73">
        <v>0</v>
      </c>
      <c r="Q321" s="73">
        <v>0</v>
      </c>
      <c r="R321" s="73">
        <v>0</v>
      </c>
      <c r="S321" s="73">
        <v>2644</v>
      </c>
      <c r="T321" s="73">
        <v>-2</v>
      </c>
      <c r="U321" s="73">
        <v>2642</v>
      </c>
      <c r="V321" s="73">
        <v>0</v>
      </c>
      <c r="W321" s="73">
        <v>-3585</v>
      </c>
      <c r="X321" s="73">
        <v>0</v>
      </c>
      <c r="Y321" s="73">
        <v>0</v>
      </c>
      <c r="Z321" s="73">
        <v>-943</v>
      </c>
      <c r="AA321" s="73">
        <v>26150</v>
      </c>
      <c r="AB321" s="73">
        <v>2161</v>
      </c>
      <c r="AC321" s="73">
        <v>28311</v>
      </c>
      <c r="AD321" s="73">
        <v>293</v>
      </c>
      <c r="AE321" s="73">
        <v>0</v>
      </c>
      <c r="AF321" s="73">
        <v>0</v>
      </c>
      <c r="AG321" s="73">
        <v>1589</v>
      </c>
      <c r="AH321" s="73">
        <v>30193</v>
      </c>
      <c r="AI321" s="73">
        <v>5552</v>
      </c>
      <c r="AJ321" s="73">
        <v>2323</v>
      </c>
      <c r="AK321" s="73">
        <v>3459</v>
      </c>
      <c r="AL321" s="73">
        <v>1695</v>
      </c>
      <c r="AM321" s="73">
        <v>685</v>
      </c>
      <c r="AN321" s="73">
        <v>303</v>
      </c>
      <c r="AO321" s="73">
        <v>3140</v>
      </c>
      <c r="AP321" s="73">
        <v>0</v>
      </c>
      <c r="AQ321" s="73">
        <v>3764</v>
      </c>
      <c r="AR321" s="73">
        <v>20921</v>
      </c>
      <c r="AS321" s="73">
        <v>9272</v>
      </c>
      <c r="AT321" s="73">
        <v>324</v>
      </c>
      <c r="AU321" s="73">
        <v>195801</v>
      </c>
      <c r="AV321" s="73">
        <v>0</v>
      </c>
      <c r="AW321" s="73">
        <v>6924</v>
      </c>
      <c r="AX321" s="73">
        <v>0</v>
      </c>
      <c r="AY321" s="73">
        <v>0</v>
      </c>
      <c r="AZ321" s="73">
        <v>920</v>
      </c>
      <c r="BA321" s="73">
        <v>0</v>
      </c>
      <c r="BB321" s="73">
        <v>0</v>
      </c>
      <c r="BC321" s="73">
        <v>0</v>
      </c>
      <c r="BD321" s="73">
        <v>0</v>
      </c>
      <c r="BE321" s="73">
        <v>203645</v>
      </c>
      <c r="BF321" s="73">
        <v>1580</v>
      </c>
      <c r="BG321" s="73">
        <v>526</v>
      </c>
      <c r="BH321" s="73">
        <v>2382</v>
      </c>
      <c r="BI321" s="73">
        <v>0</v>
      </c>
      <c r="BJ321" s="73">
        <v>3643</v>
      </c>
      <c r="BK321" s="73">
        <v>8131</v>
      </c>
      <c r="BL321" s="73">
        <v>0</v>
      </c>
      <c r="BM321" s="73">
        <v>0</v>
      </c>
      <c r="BN321" s="73">
        <v>275</v>
      </c>
      <c r="BO321" s="73">
        <v>5209</v>
      </c>
      <c r="BP321" s="73">
        <v>5484</v>
      </c>
      <c r="BQ321" s="73">
        <v>2647</v>
      </c>
      <c r="BR321" s="73">
        <v>206292</v>
      </c>
      <c r="BS321" s="73">
        <v>146012</v>
      </c>
      <c r="BT321" s="73">
        <v>476</v>
      </c>
      <c r="BU321" s="73">
        <v>0</v>
      </c>
      <c r="BV321" s="73">
        <v>26226</v>
      </c>
      <c r="BW321" s="73">
        <v>0</v>
      </c>
      <c r="BX321" s="73">
        <v>0</v>
      </c>
      <c r="BY321" s="73">
        <v>948</v>
      </c>
      <c r="BZ321" s="73">
        <v>173662</v>
      </c>
      <c r="CA321" s="73">
        <v>27682</v>
      </c>
      <c r="CB321" s="73">
        <v>0</v>
      </c>
      <c r="CC321" s="73">
        <v>4948</v>
      </c>
      <c r="CD321" s="73">
        <v>4948</v>
      </c>
      <c r="CE321" s="73">
        <v>0</v>
      </c>
      <c r="CF321" s="73">
        <v>0</v>
      </c>
      <c r="CG321" s="73">
        <v>0</v>
      </c>
      <c r="CH321" s="73">
        <v>0</v>
      </c>
      <c r="CI321" s="73">
        <v>4948</v>
      </c>
      <c r="CJ321" s="73">
        <v>2485</v>
      </c>
      <c r="CK321" s="73">
        <v>1540</v>
      </c>
      <c r="CL321" s="73">
        <v>375</v>
      </c>
      <c r="CM321" s="73">
        <v>570</v>
      </c>
      <c r="CN321" s="73">
        <v>66</v>
      </c>
      <c r="CO321" s="73">
        <v>0</v>
      </c>
      <c r="CP321" s="73">
        <v>365</v>
      </c>
      <c r="CQ321" s="73">
        <v>-299</v>
      </c>
      <c r="CR321" s="73">
        <v>0</v>
      </c>
      <c r="CS321" s="73">
        <v>0</v>
      </c>
      <c r="CT321" s="73">
        <v>0</v>
      </c>
      <c r="CU321" s="73">
        <v>0</v>
      </c>
      <c r="CV321" s="73">
        <v>0</v>
      </c>
      <c r="CW321" s="73">
        <v>0</v>
      </c>
      <c r="CX321" s="73">
        <v>0</v>
      </c>
      <c r="CY321" s="73">
        <v>0</v>
      </c>
      <c r="CZ321" s="73">
        <v>196</v>
      </c>
      <c r="DA321" s="73">
        <v>0</v>
      </c>
      <c r="DB321" s="73">
        <v>262</v>
      </c>
      <c r="DC321" s="73">
        <v>-66</v>
      </c>
      <c r="DD321" s="73">
        <v>2747</v>
      </c>
      <c r="DE321" s="73">
        <v>1540</v>
      </c>
      <c r="DF321" s="73">
        <v>1002</v>
      </c>
      <c r="DG321" s="73">
        <v>205</v>
      </c>
      <c r="DH321" s="73">
        <v>0</v>
      </c>
      <c r="DI321" s="73">
        <v>0</v>
      </c>
      <c r="DJ321" s="73">
        <v>0</v>
      </c>
      <c r="DK321" s="73">
        <v>0</v>
      </c>
      <c r="DL321" s="73">
        <v>0</v>
      </c>
      <c r="DM321" s="73">
        <v>0</v>
      </c>
      <c r="DN321" s="73">
        <v>0</v>
      </c>
      <c r="DO321" s="73">
        <v>0</v>
      </c>
      <c r="DP321" s="73">
        <v>0</v>
      </c>
      <c r="DQ321" s="73">
        <v>0</v>
      </c>
      <c r="DR321" s="73">
        <v>0</v>
      </c>
      <c r="DS321" s="73">
        <v>0</v>
      </c>
      <c r="DT321" s="73">
        <v>0</v>
      </c>
      <c r="DU321" s="73">
        <v>0</v>
      </c>
      <c r="DV321" s="73">
        <v>0</v>
      </c>
      <c r="DW321" s="73">
        <v>0</v>
      </c>
      <c r="DX321" s="73">
        <v>0</v>
      </c>
      <c r="DY321" s="73">
        <v>0</v>
      </c>
      <c r="DZ321" s="73">
        <v>0</v>
      </c>
      <c r="EA321" s="73">
        <v>0</v>
      </c>
      <c r="EB321" s="73">
        <v>11194</v>
      </c>
      <c r="EC321" s="73">
        <v>0</v>
      </c>
      <c r="ED321" s="73">
        <v>11186</v>
      </c>
      <c r="EE321" s="73">
        <v>8</v>
      </c>
      <c r="EF321" s="73">
        <v>11194</v>
      </c>
      <c r="EG321" s="73">
        <v>0</v>
      </c>
      <c r="EH321" s="73">
        <v>11186</v>
      </c>
      <c r="EI321" s="73">
        <v>8</v>
      </c>
      <c r="EJ321" s="73">
        <v>13941</v>
      </c>
      <c r="EK321" s="73">
        <v>1540</v>
      </c>
      <c r="EL321" s="73">
        <v>12188</v>
      </c>
      <c r="EM321" s="73">
        <v>213</v>
      </c>
      <c r="EN321" s="73">
        <v>296</v>
      </c>
      <c r="EO321" s="73">
        <v>182</v>
      </c>
      <c r="EP321" s="73">
        <v>34</v>
      </c>
      <c r="EQ321" s="73">
        <v>98</v>
      </c>
      <c r="ER321" s="73">
        <v>207363</v>
      </c>
      <c r="ES321" s="73">
        <v>0</v>
      </c>
      <c r="ET321" s="73">
        <v>207363</v>
      </c>
      <c r="EU321" s="73">
        <v>15250</v>
      </c>
      <c r="EV321" s="73">
        <v>-3411</v>
      </c>
      <c r="EW321" s="73">
        <v>0</v>
      </c>
      <c r="EX321" s="73">
        <v>0</v>
      </c>
      <c r="EY321" s="73">
        <v>-264</v>
      </c>
      <c r="EZ321" s="73">
        <v>218938</v>
      </c>
      <c r="FA321" s="73">
        <v>20585</v>
      </c>
      <c r="FB321" s="73">
        <v>3140</v>
      </c>
      <c r="FC321" s="73">
        <v>0</v>
      </c>
      <c r="FD321" s="73">
        <v>0</v>
      </c>
      <c r="FE321" s="73">
        <v>-588</v>
      </c>
      <c r="FF321" s="73">
        <v>0</v>
      </c>
      <c r="FG321" s="73">
        <v>0</v>
      </c>
      <c r="FH321" s="73">
        <v>23137</v>
      </c>
      <c r="FI321" s="73">
        <v>195801</v>
      </c>
      <c r="FJ321" s="73">
        <v>186778</v>
      </c>
      <c r="FK321" s="73">
        <v>611</v>
      </c>
      <c r="FL321" s="73">
        <v>461</v>
      </c>
      <c r="FM321" s="73">
        <v>150</v>
      </c>
      <c r="FN321" s="73">
        <v>815</v>
      </c>
      <c r="FO321" s="73">
        <v>659</v>
      </c>
      <c r="FP321" s="73">
        <v>156</v>
      </c>
      <c r="FQ321" s="73">
        <v>242</v>
      </c>
      <c r="FR321" s="73">
        <v>287</v>
      </c>
      <c r="FS321" s="73">
        <v>-45</v>
      </c>
      <c r="FT321" s="73">
        <v>126</v>
      </c>
      <c r="FU321" s="73">
        <v>15</v>
      </c>
      <c r="FV321" s="73">
        <v>111</v>
      </c>
      <c r="FW321" s="73">
        <v>0</v>
      </c>
      <c r="FX321" s="73">
        <v>0</v>
      </c>
      <c r="FY321" s="73">
        <v>0</v>
      </c>
      <c r="FZ321" s="73">
        <v>594</v>
      </c>
      <c r="GA321" s="73">
        <v>714</v>
      </c>
      <c r="GB321" s="73">
        <v>-120</v>
      </c>
      <c r="GC321" s="73">
        <v>2388</v>
      </c>
      <c r="GD321" s="73">
        <v>2136</v>
      </c>
      <c r="GE321" s="73">
        <v>252</v>
      </c>
      <c r="GF321" s="73">
        <v>3084</v>
      </c>
      <c r="GG321" s="73">
        <v>46</v>
      </c>
      <c r="GH321" s="73">
        <v>0</v>
      </c>
      <c r="GI321" s="73">
        <v>0</v>
      </c>
      <c r="GJ321" s="73">
        <v>0</v>
      </c>
      <c r="GK321" s="73">
        <v>513</v>
      </c>
      <c r="GL321" s="73">
        <v>3643</v>
      </c>
      <c r="GM321" s="73">
        <v>84</v>
      </c>
      <c r="GN321" s="73">
        <v>373</v>
      </c>
      <c r="GO321" s="73">
        <v>2801</v>
      </c>
      <c r="GP321" s="73">
        <v>0</v>
      </c>
      <c r="GQ321" s="73">
        <v>64</v>
      </c>
      <c r="GR321" s="73">
        <v>886</v>
      </c>
      <c r="GS321" s="73">
        <v>0</v>
      </c>
      <c r="GT321" s="73">
        <v>0</v>
      </c>
      <c r="GU321" s="73">
        <v>0</v>
      </c>
      <c r="GV321" s="73">
        <v>0</v>
      </c>
      <c r="GW321" s="73">
        <v>1001</v>
      </c>
      <c r="GX321" s="73">
        <v>5209</v>
      </c>
      <c r="GY321" s="73">
        <v>257</v>
      </c>
      <c r="GZ321" s="73">
        <v>321</v>
      </c>
      <c r="HA321" s="73">
        <v>370</v>
      </c>
      <c r="HB321" s="73">
        <v>0</v>
      </c>
      <c r="HC321" s="73">
        <v>948</v>
      </c>
      <c r="HD321" s="73">
        <v>0</v>
      </c>
      <c r="HE321" s="73">
        <v>0</v>
      </c>
      <c r="HF321" s="73">
        <v>0</v>
      </c>
      <c r="HG321" s="73">
        <v>6718</v>
      </c>
      <c r="HH321" s="73">
        <v>0</v>
      </c>
      <c r="HI321" s="73">
        <v>802</v>
      </c>
      <c r="HJ321" s="73">
        <v>0</v>
      </c>
      <c r="HK321" s="73">
        <v>44</v>
      </c>
      <c r="HL321" s="73">
        <v>-337</v>
      </c>
      <c r="HM321" s="73">
        <v>7227</v>
      </c>
      <c r="HN321" s="73">
        <v>5373</v>
      </c>
      <c r="HO321" s="73">
        <v>3744</v>
      </c>
      <c r="HP321" s="73">
        <v>0</v>
      </c>
      <c r="HQ321" s="73">
        <v>122</v>
      </c>
      <c r="HR321" s="73">
        <v>-55</v>
      </c>
      <c r="HS321" s="73">
        <v>-2</v>
      </c>
      <c r="HT321" s="73">
        <v>5937</v>
      </c>
      <c r="HU321" s="73">
        <v>0</v>
      </c>
      <c r="HV321" s="73">
        <v>0</v>
      </c>
      <c r="HW321" s="73">
        <v>-22</v>
      </c>
      <c r="HX321" s="73">
        <v>82</v>
      </c>
    </row>
    <row r="322" spans="1:232" x14ac:dyDescent="0.2">
      <c r="A322" s="71" t="s">
        <v>854</v>
      </c>
      <c r="B322" s="71" t="s">
        <v>853</v>
      </c>
      <c r="C322" s="72" t="s">
        <v>200</v>
      </c>
      <c r="D322" s="72">
        <v>12</v>
      </c>
      <c r="E322" s="73">
        <v>58173</v>
      </c>
      <c r="F322" s="73">
        <v>-4260</v>
      </c>
      <c r="G322" s="73">
        <v>-33945</v>
      </c>
      <c r="H322" s="73">
        <v>19968</v>
      </c>
      <c r="I322" s="73">
        <v>2620</v>
      </c>
      <c r="J322" s="73">
        <v>34</v>
      </c>
      <c r="K322" s="73">
        <v>-1091</v>
      </c>
      <c r="L322" s="73">
        <v>0</v>
      </c>
      <c r="M322" s="73">
        <v>93</v>
      </c>
      <c r="N322" s="73">
        <v>-7300</v>
      </c>
      <c r="O322" s="73">
        <v>660</v>
      </c>
      <c r="P322" s="73">
        <v>0</v>
      </c>
      <c r="Q322" s="73">
        <v>0</v>
      </c>
      <c r="R322" s="73">
        <v>0</v>
      </c>
      <c r="S322" s="73">
        <v>14984</v>
      </c>
      <c r="T322" s="73">
        <v>-35</v>
      </c>
      <c r="U322" s="73">
        <v>14949</v>
      </c>
      <c r="V322" s="73">
        <v>0</v>
      </c>
      <c r="W322" s="73">
        <v>-10646</v>
      </c>
      <c r="X322" s="73">
        <v>-431</v>
      </c>
      <c r="Y322" s="73">
        <v>1227</v>
      </c>
      <c r="Z322" s="73">
        <v>5099</v>
      </c>
      <c r="AA322" s="73">
        <v>46277</v>
      </c>
      <c r="AB322" s="73">
        <v>2137</v>
      </c>
      <c r="AC322" s="73">
        <v>48414</v>
      </c>
      <c r="AD322" s="73">
        <v>557</v>
      </c>
      <c r="AE322" s="73">
        <v>0</v>
      </c>
      <c r="AF322" s="73">
        <v>0</v>
      </c>
      <c r="AG322" s="73">
        <v>690</v>
      </c>
      <c r="AH322" s="73">
        <v>49661</v>
      </c>
      <c r="AI322" s="73">
        <v>8692</v>
      </c>
      <c r="AJ322" s="73">
        <v>2137</v>
      </c>
      <c r="AK322" s="73">
        <v>8870</v>
      </c>
      <c r="AL322" s="73">
        <v>0</v>
      </c>
      <c r="AM322" s="73">
        <v>3214</v>
      </c>
      <c r="AN322" s="73">
        <v>80</v>
      </c>
      <c r="AO322" s="73">
        <v>6390</v>
      </c>
      <c r="AP322" s="73">
        <v>0</v>
      </c>
      <c r="AQ322" s="73">
        <v>0</v>
      </c>
      <c r="AR322" s="73">
        <v>29383</v>
      </c>
      <c r="AS322" s="73">
        <v>20278</v>
      </c>
      <c r="AT322" s="73">
        <v>276</v>
      </c>
      <c r="AU322" s="73">
        <v>478939</v>
      </c>
      <c r="AV322" s="73">
        <v>0</v>
      </c>
      <c r="AW322" s="73">
        <v>3693</v>
      </c>
      <c r="AX322" s="73">
        <v>489</v>
      </c>
      <c r="AY322" s="73">
        <v>0</v>
      </c>
      <c r="AZ322" s="73">
        <v>9998</v>
      </c>
      <c r="BA322" s="73">
        <v>0</v>
      </c>
      <c r="BB322" s="73">
        <v>0</v>
      </c>
      <c r="BC322" s="73">
        <v>3000</v>
      </c>
      <c r="BD322" s="73">
        <v>0</v>
      </c>
      <c r="BE322" s="73">
        <v>496119</v>
      </c>
      <c r="BF322" s="73">
        <v>2855</v>
      </c>
      <c r="BG322" s="73">
        <v>5347</v>
      </c>
      <c r="BH322" s="73">
        <v>12467</v>
      </c>
      <c r="BI322" s="73">
        <v>75</v>
      </c>
      <c r="BJ322" s="73">
        <v>79</v>
      </c>
      <c r="BK322" s="73">
        <v>20823</v>
      </c>
      <c r="BL322" s="73">
        <v>4499</v>
      </c>
      <c r="BM322" s="73">
        <v>0</v>
      </c>
      <c r="BN322" s="73">
        <v>1</v>
      </c>
      <c r="BO322" s="73">
        <v>13740</v>
      </c>
      <c r="BP322" s="73">
        <v>18240</v>
      </c>
      <c r="BQ322" s="73">
        <v>2583</v>
      </c>
      <c r="BR322" s="73">
        <v>498702</v>
      </c>
      <c r="BS322" s="73">
        <v>184766</v>
      </c>
      <c r="BT322" s="73">
        <v>0</v>
      </c>
      <c r="BU322" s="73">
        <v>0</v>
      </c>
      <c r="BV322" s="73">
        <v>2</v>
      </c>
      <c r="BW322" s="73">
        <v>0</v>
      </c>
      <c r="BX322" s="73">
        <v>8785</v>
      </c>
      <c r="BY322" s="73">
        <v>65002</v>
      </c>
      <c r="BZ322" s="73">
        <v>258555</v>
      </c>
      <c r="CA322" s="73">
        <v>38897</v>
      </c>
      <c r="CB322" s="73">
        <v>133</v>
      </c>
      <c r="CC322" s="73">
        <v>201117</v>
      </c>
      <c r="CD322" s="73">
        <v>65989</v>
      </c>
      <c r="CE322" s="73">
        <v>143913</v>
      </c>
      <c r="CF322" s="73">
        <v>0</v>
      </c>
      <c r="CG322" s="73">
        <v>-8785</v>
      </c>
      <c r="CH322" s="73">
        <v>0</v>
      </c>
      <c r="CI322" s="73">
        <v>201117</v>
      </c>
      <c r="CJ322" s="73">
        <v>5867</v>
      </c>
      <c r="CK322" s="73">
        <v>4260</v>
      </c>
      <c r="CL322" s="73">
        <v>0</v>
      </c>
      <c r="CM322" s="73">
        <v>1607</v>
      </c>
      <c r="CN322" s="73">
        <v>446</v>
      </c>
      <c r="CO322" s="73">
        <v>0</v>
      </c>
      <c r="CP322" s="73">
        <v>726</v>
      </c>
      <c r="CQ322" s="73">
        <v>-280</v>
      </c>
      <c r="CR322" s="73">
        <v>0</v>
      </c>
      <c r="CS322" s="73">
        <v>0</v>
      </c>
      <c r="CT322" s="73">
        <v>0</v>
      </c>
      <c r="CU322" s="73">
        <v>0</v>
      </c>
      <c r="CV322" s="73">
        <v>0</v>
      </c>
      <c r="CW322" s="73">
        <v>0</v>
      </c>
      <c r="CX322" s="73">
        <v>0</v>
      </c>
      <c r="CY322" s="73">
        <v>0</v>
      </c>
      <c r="CZ322" s="73">
        <v>638</v>
      </c>
      <c r="DA322" s="73">
        <v>0</v>
      </c>
      <c r="DB322" s="73">
        <v>0</v>
      </c>
      <c r="DC322" s="73">
        <v>638</v>
      </c>
      <c r="DD322" s="73">
        <v>6951</v>
      </c>
      <c r="DE322" s="73">
        <v>4260</v>
      </c>
      <c r="DF322" s="73">
        <v>726</v>
      </c>
      <c r="DG322" s="73">
        <v>1965</v>
      </c>
      <c r="DH322" s="73">
        <v>0</v>
      </c>
      <c r="DI322" s="73">
        <v>0</v>
      </c>
      <c r="DJ322" s="73">
        <v>0</v>
      </c>
      <c r="DK322" s="73">
        <v>0</v>
      </c>
      <c r="DL322" s="73">
        <v>0</v>
      </c>
      <c r="DM322" s="73">
        <v>0</v>
      </c>
      <c r="DN322" s="73">
        <v>0</v>
      </c>
      <c r="DO322" s="73">
        <v>0</v>
      </c>
      <c r="DP322" s="73">
        <v>0</v>
      </c>
      <c r="DQ322" s="73">
        <v>0</v>
      </c>
      <c r="DR322" s="73">
        <v>0</v>
      </c>
      <c r="DS322" s="73">
        <v>0</v>
      </c>
      <c r="DT322" s="73">
        <v>23</v>
      </c>
      <c r="DU322" s="73">
        <v>0</v>
      </c>
      <c r="DV322" s="73">
        <v>3</v>
      </c>
      <c r="DW322" s="73">
        <v>20</v>
      </c>
      <c r="DX322" s="73">
        <v>65</v>
      </c>
      <c r="DY322" s="73">
        <v>0</v>
      </c>
      <c r="DZ322" s="73">
        <v>65</v>
      </c>
      <c r="EA322" s="73">
        <v>0</v>
      </c>
      <c r="EB322" s="73">
        <v>1473</v>
      </c>
      <c r="EC322" s="73">
        <v>0</v>
      </c>
      <c r="ED322" s="73">
        <v>3768</v>
      </c>
      <c r="EE322" s="73">
        <v>-2295</v>
      </c>
      <c r="EF322" s="73">
        <v>1561</v>
      </c>
      <c r="EG322" s="73">
        <v>0</v>
      </c>
      <c r="EH322" s="73">
        <v>3836</v>
      </c>
      <c r="EI322" s="73">
        <v>-2275</v>
      </c>
      <c r="EJ322" s="73">
        <v>8512</v>
      </c>
      <c r="EK322" s="73">
        <v>4260</v>
      </c>
      <c r="EL322" s="73">
        <v>4562</v>
      </c>
      <c r="EM322" s="73">
        <v>-310</v>
      </c>
      <c r="EN322" s="73">
        <v>836</v>
      </c>
      <c r="EO322" s="73">
        <v>467</v>
      </c>
      <c r="EP322" s="73">
        <v>441</v>
      </c>
      <c r="EQ322" s="73">
        <v>467</v>
      </c>
      <c r="ER322" s="73">
        <v>486973</v>
      </c>
      <c r="ES322" s="73">
        <v>0</v>
      </c>
      <c r="ET322" s="73">
        <v>486973</v>
      </c>
      <c r="EU322" s="73">
        <v>25508</v>
      </c>
      <c r="EV322" s="73">
        <v>-2454</v>
      </c>
      <c r="EW322" s="73">
        <v>0</v>
      </c>
      <c r="EX322" s="73">
        <v>0</v>
      </c>
      <c r="EY322" s="73">
        <v>0</v>
      </c>
      <c r="EZ322" s="73">
        <v>510027</v>
      </c>
      <c r="FA322" s="73">
        <v>25202</v>
      </c>
      <c r="FB322" s="73">
        <v>6239</v>
      </c>
      <c r="FC322" s="73">
        <v>0</v>
      </c>
      <c r="FD322" s="73">
        <v>0</v>
      </c>
      <c r="FE322" s="73">
        <v>-353</v>
      </c>
      <c r="FF322" s="73">
        <v>0</v>
      </c>
      <c r="FG322" s="73">
        <v>0</v>
      </c>
      <c r="FH322" s="73">
        <v>31088</v>
      </c>
      <c r="FI322" s="73">
        <v>478939</v>
      </c>
      <c r="FJ322" s="73">
        <v>461771</v>
      </c>
      <c r="FK322" s="73">
        <v>838</v>
      </c>
      <c r="FL322" s="73">
        <v>591</v>
      </c>
      <c r="FM322" s="73">
        <v>247</v>
      </c>
      <c r="FN322" s="73">
        <v>1595</v>
      </c>
      <c r="FO322" s="73">
        <v>1327</v>
      </c>
      <c r="FP322" s="73">
        <v>268</v>
      </c>
      <c r="FQ322" s="73">
        <v>385</v>
      </c>
      <c r="FR322" s="73">
        <v>412</v>
      </c>
      <c r="FS322" s="73">
        <v>-27</v>
      </c>
      <c r="FT322" s="73">
        <v>0</v>
      </c>
      <c r="FU322" s="73">
        <v>0</v>
      </c>
      <c r="FV322" s="73">
        <v>0</v>
      </c>
      <c r="FW322" s="73">
        <v>0</v>
      </c>
      <c r="FX322" s="73">
        <v>0</v>
      </c>
      <c r="FY322" s="73">
        <v>0</v>
      </c>
      <c r="FZ322" s="73">
        <v>2646</v>
      </c>
      <c r="GA322" s="73">
        <v>514</v>
      </c>
      <c r="GB322" s="73">
        <v>2132</v>
      </c>
      <c r="GC322" s="73">
        <v>5464</v>
      </c>
      <c r="GD322" s="73">
        <v>2844</v>
      </c>
      <c r="GE322" s="73">
        <v>2620</v>
      </c>
      <c r="GF322" s="73">
        <v>0</v>
      </c>
      <c r="GG322" s="73">
        <v>0</v>
      </c>
      <c r="GH322" s="73">
        <v>0</v>
      </c>
      <c r="GI322" s="73">
        <v>0</v>
      </c>
      <c r="GJ322" s="73">
        <v>0</v>
      </c>
      <c r="GK322" s="73">
        <v>79</v>
      </c>
      <c r="GL322" s="73">
        <v>79</v>
      </c>
      <c r="GM322" s="73">
        <v>131</v>
      </c>
      <c r="GN322" s="73">
        <v>1677</v>
      </c>
      <c r="GO322" s="73">
        <v>1155</v>
      </c>
      <c r="GP322" s="73">
        <v>427</v>
      </c>
      <c r="GQ322" s="73">
        <v>652</v>
      </c>
      <c r="GR322" s="73">
        <v>1454</v>
      </c>
      <c r="GS322" s="73">
        <v>0</v>
      </c>
      <c r="GT322" s="73">
        <v>0</v>
      </c>
      <c r="GU322" s="73">
        <v>0</v>
      </c>
      <c r="GV322" s="73">
        <v>0</v>
      </c>
      <c r="GW322" s="73">
        <v>8244</v>
      </c>
      <c r="GX322" s="73">
        <v>13740</v>
      </c>
      <c r="GY322" s="73">
        <v>0</v>
      </c>
      <c r="GZ322" s="73">
        <v>0</v>
      </c>
      <c r="HA322" s="73">
        <v>0</v>
      </c>
      <c r="HB322" s="73">
        <v>65002</v>
      </c>
      <c r="HC322" s="73">
        <v>65002</v>
      </c>
      <c r="HD322" s="73">
        <v>0</v>
      </c>
      <c r="HE322" s="73">
        <v>133</v>
      </c>
      <c r="HF322" s="73">
        <v>133</v>
      </c>
      <c r="HG322" s="73">
        <v>6474</v>
      </c>
      <c r="HH322" s="73">
        <v>20</v>
      </c>
      <c r="HI322" s="73">
        <v>997</v>
      </c>
      <c r="HJ322" s="73">
        <v>0</v>
      </c>
      <c r="HK322" s="73">
        <v>0</v>
      </c>
      <c r="HL322" s="73">
        <v>-191</v>
      </c>
      <c r="HM322" s="73">
        <v>7300</v>
      </c>
      <c r="HN322" s="73">
        <v>8197</v>
      </c>
      <c r="HO322" s="73">
        <v>6498</v>
      </c>
      <c r="HP322" s="73">
        <v>0</v>
      </c>
      <c r="HQ322" s="73">
        <v>144</v>
      </c>
      <c r="HR322" s="73">
        <v>-44</v>
      </c>
      <c r="HS322" s="73">
        <v>1</v>
      </c>
      <c r="HT322" s="73">
        <v>9939</v>
      </c>
      <c r="HU322" s="73">
        <v>6</v>
      </c>
      <c r="HV322" s="73">
        <v>0</v>
      </c>
      <c r="HW322" s="73">
        <v>0</v>
      </c>
      <c r="HX322" s="73">
        <v>8</v>
      </c>
    </row>
    <row r="323" spans="1:232" x14ac:dyDescent="0.2">
      <c r="A323" s="71" t="s">
        <v>855</v>
      </c>
      <c r="B323" s="71" t="s">
        <v>856</v>
      </c>
      <c r="C323" s="72" t="s">
        <v>200</v>
      </c>
      <c r="D323" s="72">
        <v>12</v>
      </c>
      <c r="E323" s="73">
        <v>23241</v>
      </c>
      <c r="F323" s="73">
        <v>-1953</v>
      </c>
      <c r="G323" s="73">
        <v>-17536</v>
      </c>
      <c r="H323" s="73">
        <v>3752</v>
      </c>
      <c r="I323" s="73">
        <v>861</v>
      </c>
      <c r="J323" s="73">
        <v>0</v>
      </c>
      <c r="K323" s="73">
        <v>0</v>
      </c>
      <c r="L323" s="73">
        <v>0</v>
      </c>
      <c r="M323" s="73">
        <v>50</v>
      </c>
      <c r="N323" s="73">
        <v>-2045</v>
      </c>
      <c r="O323" s="73">
        <v>0</v>
      </c>
      <c r="P323" s="73">
        <v>0</v>
      </c>
      <c r="Q323" s="73">
        <v>0</v>
      </c>
      <c r="R323" s="73">
        <v>0</v>
      </c>
      <c r="S323" s="73">
        <v>2618</v>
      </c>
      <c r="T323" s="73">
        <v>-32</v>
      </c>
      <c r="U323" s="73">
        <v>2586</v>
      </c>
      <c r="V323" s="73">
        <v>0</v>
      </c>
      <c r="W323" s="73">
        <v>-333</v>
      </c>
      <c r="X323" s="73">
        <v>0</v>
      </c>
      <c r="Y323" s="73">
        <v>0</v>
      </c>
      <c r="Z323" s="73">
        <v>2253</v>
      </c>
      <c r="AA323" s="73">
        <v>19061</v>
      </c>
      <c r="AB323" s="73">
        <v>185</v>
      </c>
      <c r="AC323" s="73">
        <v>19246</v>
      </c>
      <c r="AD323" s="73">
        <v>61</v>
      </c>
      <c r="AE323" s="73">
        <v>0</v>
      </c>
      <c r="AF323" s="73">
        <v>0</v>
      </c>
      <c r="AG323" s="73">
        <v>0</v>
      </c>
      <c r="AH323" s="73">
        <v>19307</v>
      </c>
      <c r="AI323" s="73">
        <v>3870</v>
      </c>
      <c r="AJ323" s="73">
        <v>259</v>
      </c>
      <c r="AK323" s="73">
        <v>2773</v>
      </c>
      <c r="AL323" s="73">
        <v>1295</v>
      </c>
      <c r="AM323" s="73">
        <v>3264</v>
      </c>
      <c r="AN323" s="73">
        <v>204</v>
      </c>
      <c r="AO323" s="73">
        <v>3346</v>
      </c>
      <c r="AP323" s="73">
        <v>73</v>
      </c>
      <c r="AQ323" s="73">
        <v>641</v>
      </c>
      <c r="AR323" s="73">
        <v>15725</v>
      </c>
      <c r="AS323" s="73">
        <v>3582</v>
      </c>
      <c r="AT323" s="73">
        <v>279</v>
      </c>
      <c r="AU323" s="73">
        <v>75077</v>
      </c>
      <c r="AV323" s="73">
        <v>0</v>
      </c>
      <c r="AW323" s="73">
        <v>2498</v>
      </c>
      <c r="AX323" s="73">
        <v>258</v>
      </c>
      <c r="AY323" s="73">
        <v>0</v>
      </c>
      <c r="AZ323" s="73">
        <v>0</v>
      </c>
      <c r="BA323" s="73">
        <v>0</v>
      </c>
      <c r="BB323" s="73">
        <v>0</v>
      </c>
      <c r="BC323" s="73">
        <v>0</v>
      </c>
      <c r="BD323" s="73">
        <v>0</v>
      </c>
      <c r="BE323" s="73">
        <v>77833</v>
      </c>
      <c r="BF323" s="73">
        <v>178</v>
      </c>
      <c r="BG323" s="73">
        <v>1949</v>
      </c>
      <c r="BH323" s="73">
        <v>6792</v>
      </c>
      <c r="BI323" s="73">
        <v>0</v>
      </c>
      <c r="BJ323" s="73">
        <v>0</v>
      </c>
      <c r="BK323" s="73">
        <v>8919</v>
      </c>
      <c r="BL323" s="73">
        <v>0</v>
      </c>
      <c r="BM323" s="73">
        <v>0</v>
      </c>
      <c r="BN323" s="73">
        <v>61</v>
      </c>
      <c r="BO323" s="73">
        <v>2888</v>
      </c>
      <c r="BP323" s="73">
        <v>2949</v>
      </c>
      <c r="BQ323" s="73">
        <v>5970</v>
      </c>
      <c r="BR323" s="73">
        <v>83803</v>
      </c>
      <c r="BS323" s="73">
        <v>45681</v>
      </c>
      <c r="BT323" s="73">
        <v>0</v>
      </c>
      <c r="BU323" s="73">
        <v>0</v>
      </c>
      <c r="BV323" s="73">
        <v>5836</v>
      </c>
      <c r="BW323" s="73">
        <v>0</v>
      </c>
      <c r="BX323" s="73">
        <v>0</v>
      </c>
      <c r="BY323" s="73">
        <v>0</v>
      </c>
      <c r="BZ323" s="73">
        <v>51517</v>
      </c>
      <c r="CA323" s="73">
        <v>-72</v>
      </c>
      <c r="CB323" s="73">
        <v>87</v>
      </c>
      <c r="CC323" s="73">
        <v>32271</v>
      </c>
      <c r="CD323" s="73">
        <v>32271</v>
      </c>
      <c r="CE323" s="73">
        <v>0</v>
      </c>
      <c r="CF323" s="73">
        <v>0</v>
      </c>
      <c r="CG323" s="73">
        <v>0</v>
      </c>
      <c r="CH323" s="73">
        <v>0</v>
      </c>
      <c r="CI323" s="73">
        <v>32271</v>
      </c>
      <c r="CJ323" s="73">
        <v>1156</v>
      </c>
      <c r="CK323" s="73">
        <v>657</v>
      </c>
      <c r="CL323" s="73">
        <v>0</v>
      </c>
      <c r="CM323" s="73">
        <v>499</v>
      </c>
      <c r="CN323" s="73">
        <v>485</v>
      </c>
      <c r="CO323" s="73">
        <v>0</v>
      </c>
      <c r="CP323" s="73">
        <v>990</v>
      </c>
      <c r="CQ323" s="73">
        <v>-505</v>
      </c>
      <c r="CR323" s="73">
        <v>0</v>
      </c>
      <c r="CS323" s="73">
        <v>0</v>
      </c>
      <c r="CT323" s="73">
        <v>0</v>
      </c>
      <c r="CU323" s="73">
        <v>0</v>
      </c>
      <c r="CV323" s="73">
        <v>0</v>
      </c>
      <c r="CW323" s="73">
        <v>0</v>
      </c>
      <c r="CX323" s="73">
        <v>0</v>
      </c>
      <c r="CY323" s="73">
        <v>0</v>
      </c>
      <c r="CZ323" s="73">
        <v>117</v>
      </c>
      <c r="DA323" s="73">
        <v>0</v>
      </c>
      <c r="DB323" s="73">
        <v>83</v>
      </c>
      <c r="DC323" s="73">
        <v>34</v>
      </c>
      <c r="DD323" s="73">
        <v>1758</v>
      </c>
      <c r="DE323" s="73">
        <v>657</v>
      </c>
      <c r="DF323" s="73">
        <v>1073</v>
      </c>
      <c r="DG323" s="73">
        <v>28</v>
      </c>
      <c r="DH323" s="73">
        <v>1455</v>
      </c>
      <c r="DI323" s="73">
        <v>1296</v>
      </c>
      <c r="DJ323" s="73">
        <v>0</v>
      </c>
      <c r="DK323" s="73">
        <v>159</v>
      </c>
      <c r="DL323" s="73">
        <v>0</v>
      </c>
      <c r="DM323" s="73">
        <v>0</v>
      </c>
      <c r="DN323" s="73">
        <v>0</v>
      </c>
      <c r="DO323" s="73">
        <v>0</v>
      </c>
      <c r="DP323" s="73">
        <v>0</v>
      </c>
      <c r="DQ323" s="73">
        <v>0</v>
      </c>
      <c r="DR323" s="73">
        <v>0</v>
      </c>
      <c r="DS323" s="73">
        <v>0</v>
      </c>
      <c r="DT323" s="73">
        <v>0</v>
      </c>
      <c r="DU323" s="73">
        <v>0</v>
      </c>
      <c r="DV323" s="73">
        <v>0</v>
      </c>
      <c r="DW323" s="73">
        <v>0</v>
      </c>
      <c r="DX323" s="73">
        <v>490</v>
      </c>
      <c r="DY323" s="73">
        <v>0</v>
      </c>
      <c r="DZ323" s="73">
        <v>440</v>
      </c>
      <c r="EA323" s="73">
        <v>50</v>
      </c>
      <c r="EB323" s="73">
        <v>231</v>
      </c>
      <c r="EC323" s="73">
        <v>0</v>
      </c>
      <c r="ED323" s="73">
        <v>298</v>
      </c>
      <c r="EE323" s="73">
        <v>-67</v>
      </c>
      <c r="EF323" s="73">
        <v>2176</v>
      </c>
      <c r="EG323" s="73">
        <v>1296</v>
      </c>
      <c r="EH323" s="73">
        <v>738</v>
      </c>
      <c r="EI323" s="73">
        <v>142</v>
      </c>
      <c r="EJ323" s="73">
        <v>3934</v>
      </c>
      <c r="EK323" s="73">
        <v>1953</v>
      </c>
      <c r="EL323" s="73">
        <v>1811</v>
      </c>
      <c r="EM323" s="73">
        <v>170</v>
      </c>
      <c r="EN323" s="73">
        <v>986</v>
      </c>
      <c r="EO323" s="73">
        <v>368</v>
      </c>
      <c r="EP323" s="73">
        <v>79</v>
      </c>
      <c r="EQ323" s="73">
        <v>350</v>
      </c>
      <c r="ER323" s="73">
        <v>92924</v>
      </c>
      <c r="ES323" s="73">
        <v>0</v>
      </c>
      <c r="ET323" s="73">
        <v>92924</v>
      </c>
      <c r="EU323" s="73">
        <v>9255</v>
      </c>
      <c r="EV323" s="73">
        <v>-1480</v>
      </c>
      <c r="EW323" s="73">
        <v>0</v>
      </c>
      <c r="EX323" s="73">
        <v>0</v>
      </c>
      <c r="EY323" s="73">
        <v>0</v>
      </c>
      <c r="EZ323" s="73">
        <v>100699</v>
      </c>
      <c r="FA323" s="73">
        <v>23487</v>
      </c>
      <c r="FB323" s="73">
        <v>3376</v>
      </c>
      <c r="FC323" s="73">
        <v>73</v>
      </c>
      <c r="FD323" s="73">
        <v>0</v>
      </c>
      <c r="FE323" s="73">
        <v>-1314</v>
      </c>
      <c r="FF323" s="73">
        <v>0</v>
      </c>
      <c r="FG323" s="73">
        <v>0</v>
      </c>
      <c r="FH323" s="73">
        <v>25622</v>
      </c>
      <c r="FI323" s="73">
        <v>75077</v>
      </c>
      <c r="FJ323" s="73">
        <v>69437</v>
      </c>
      <c r="FK323" s="73">
        <v>0</v>
      </c>
      <c r="FL323" s="73">
        <v>0</v>
      </c>
      <c r="FM323" s="73">
        <v>0</v>
      </c>
      <c r="FN323" s="73">
        <v>1034</v>
      </c>
      <c r="FO323" s="73">
        <v>173</v>
      </c>
      <c r="FP323" s="73">
        <v>861</v>
      </c>
      <c r="FQ323" s="73">
        <v>0</v>
      </c>
      <c r="FR323" s="73">
        <v>0</v>
      </c>
      <c r="FS323" s="73">
        <v>0</v>
      </c>
      <c r="FT323" s="73">
        <v>0</v>
      </c>
      <c r="FU323" s="73">
        <v>0</v>
      </c>
      <c r="FV323" s="73">
        <v>0</v>
      </c>
      <c r="FW323" s="73">
        <v>0</v>
      </c>
      <c r="FX323" s="73">
        <v>0</v>
      </c>
      <c r="FY323" s="73">
        <v>0</v>
      </c>
      <c r="FZ323" s="73">
        <v>0</v>
      </c>
      <c r="GA323" s="73">
        <v>0</v>
      </c>
      <c r="GB323" s="73">
        <v>0</v>
      </c>
      <c r="GC323" s="73">
        <v>1034</v>
      </c>
      <c r="GD323" s="73">
        <v>173</v>
      </c>
      <c r="GE323" s="73">
        <v>861</v>
      </c>
      <c r="GF323" s="73">
        <v>0</v>
      </c>
      <c r="GG323" s="73">
        <v>0</v>
      </c>
      <c r="GH323" s="73">
        <v>0</v>
      </c>
      <c r="GI323" s="73">
        <v>0</v>
      </c>
      <c r="GJ323" s="73">
        <v>0</v>
      </c>
      <c r="GK323" s="73">
        <v>0</v>
      </c>
      <c r="GL323" s="73">
        <v>0</v>
      </c>
      <c r="GM323" s="73">
        <v>1647</v>
      </c>
      <c r="GN323" s="73">
        <v>143</v>
      </c>
      <c r="GO323" s="73">
        <v>0</v>
      </c>
      <c r="GP323" s="73">
        <v>0</v>
      </c>
      <c r="GQ323" s="73">
        <v>0</v>
      </c>
      <c r="GR323" s="73">
        <v>918</v>
      </c>
      <c r="GS323" s="73">
        <v>0</v>
      </c>
      <c r="GT323" s="73">
        <v>0</v>
      </c>
      <c r="GU323" s="73">
        <v>0</v>
      </c>
      <c r="GV323" s="73">
        <v>0</v>
      </c>
      <c r="GW323" s="73">
        <v>180</v>
      </c>
      <c r="GX323" s="73">
        <v>2888</v>
      </c>
      <c r="GY323" s="73">
        <v>0</v>
      </c>
      <c r="GZ323" s="73">
        <v>0</v>
      </c>
      <c r="HA323" s="73">
        <v>0</v>
      </c>
      <c r="HB323" s="73">
        <v>0</v>
      </c>
      <c r="HC323" s="73">
        <v>0</v>
      </c>
      <c r="HD323" s="73">
        <v>0</v>
      </c>
      <c r="HE323" s="73">
        <v>87</v>
      </c>
      <c r="HF323" s="73">
        <v>87</v>
      </c>
      <c r="HG323" s="73">
        <v>1914</v>
      </c>
      <c r="HH323" s="73">
        <v>41</v>
      </c>
      <c r="HI323" s="73">
        <v>0</v>
      </c>
      <c r="HJ323" s="73">
        <v>0</v>
      </c>
      <c r="HK323" s="73">
        <v>224</v>
      </c>
      <c r="HL323" s="73">
        <v>-134</v>
      </c>
      <c r="HM323" s="73">
        <v>2045</v>
      </c>
      <c r="HN323" s="73">
        <v>3658</v>
      </c>
      <c r="HO323" s="73">
        <v>3592</v>
      </c>
      <c r="HP323" s="73">
        <v>73</v>
      </c>
      <c r="HQ323" s="73">
        <v>60</v>
      </c>
      <c r="HR323" s="73">
        <v>-40</v>
      </c>
      <c r="HS323" s="73">
        <v>0</v>
      </c>
      <c r="HT323" s="73">
        <v>4394</v>
      </c>
      <c r="HU323" s="73">
        <v>0</v>
      </c>
      <c r="HV323" s="73">
        <v>0</v>
      </c>
      <c r="HW323" s="73">
        <v>0</v>
      </c>
      <c r="HX323" s="73">
        <v>0</v>
      </c>
    </row>
    <row r="324" spans="1:232" x14ac:dyDescent="0.2">
      <c r="A324" s="74" t="s">
        <v>859</v>
      </c>
      <c r="B324" s="74" t="s">
        <v>858</v>
      </c>
      <c r="C324" s="75" t="s">
        <v>200</v>
      </c>
      <c r="D324" s="75">
        <v>12</v>
      </c>
      <c r="E324" s="76">
        <v>97494</v>
      </c>
      <c r="F324" s="76">
        <v>-3780</v>
      </c>
      <c r="G324" s="76">
        <v>-59556</v>
      </c>
      <c r="H324" s="76">
        <v>34158</v>
      </c>
      <c r="I324" s="76">
        <v>3821</v>
      </c>
      <c r="J324" s="76">
        <v>2512</v>
      </c>
      <c r="K324" s="76">
        <v>0</v>
      </c>
      <c r="L324" s="76">
        <v>0</v>
      </c>
      <c r="M324" s="76">
        <v>515</v>
      </c>
      <c r="N324" s="76">
        <v>-15985</v>
      </c>
      <c r="O324" s="76">
        <v>120</v>
      </c>
      <c r="P324" s="76">
        <v>0</v>
      </c>
      <c r="Q324" s="76">
        <v>0</v>
      </c>
      <c r="R324" s="76">
        <v>13</v>
      </c>
      <c r="S324" s="76">
        <v>25154</v>
      </c>
      <c r="T324" s="76">
        <v>0</v>
      </c>
      <c r="U324" s="76">
        <v>25154</v>
      </c>
      <c r="V324" s="76">
        <v>0</v>
      </c>
      <c r="W324" s="76">
        <v>-5736</v>
      </c>
      <c r="X324" s="76">
        <v>0</v>
      </c>
      <c r="Y324" s="76">
        <v>0</v>
      </c>
      <c r="Z324" s="76">
        <v>19418</v>
      </c>
      <c r="AA324" s="76">
        <v>72569</v>
      </c>
      <c r="AB324" s="76">
        <v>5789</v>
      </c>
      <c r="AC324" s="76">
        <v>78358</v>
      </c>
      <c r="AD324" s="76">
        <v>4835</v>
      </c>
      <c r="AE324" s="76">
        <v>2082</v>
      </c>
      <c r="AF324" s="76">
        <v>0</v>
      </c>
      <c r="AG324" s="76">
        <v>0</v>
      </c>
      <c r="AH324" s="76">
        <v>85275</v>
      </c>
      <c r="AI324" s="76">
        <v>13675</v>
      </c>
      <c r="AJ324" s="76">
        <v>6716</v>
      </c>
      <c r="AK324" s="76">
        <v>11441</v>
      </c>
      <c r="AL324" s="76">
        <v>4847</v>
      </c>
      <c r="AM324" s="76">
        <v>5316</v>
      </c>
      <c r="AN324" s="76">
        <v>664</v>
      </c>
      <c r="AO324" s="76">
        <v>15229</v>
      </c>
      <c r="AP324" s="76">
        <v>670</v>
      </c>
      <c r="AQ324" s="76">
        <v>692</v>
      </c>
      <c r="AR324" s="76">
        <v>59250</v>
      </c>
      <c r="AS324" s="76">
        <v>26025</v>
      </c>
      <c r="AT324" s="76">
        <v>785</v>
      </c>
      <c r="AU324" s="76">
        <v>798558</v>
      </c>
      <c r="AV324" s="76">
        <v>0</v>
      </c>
      <c r="AW324" s="76">
        <v>6927</v>
      </c>
      <c r="AX324" s="76">
        <v>0</v>
      </c>
      <c r="AY324" s="76">
        <v>0</v>
      </c>
      <c r="AZ324" s="76">
        <v>3686</v>
      </c>
      <c r="BA324" s="76">
        <v>1067</v>
      </c>
      <c r="BB324" s="76">
        <v>13900</v>
      </c>
      <c r="BC324" s="76">
        <v>0</v>
      </c>
      <c r="BD324" s="76">
        <v>0</v>
      </c>
      <c r="BE324" s="76">
        <v>824138</v>
      </c>
      <c r="BF324" s="76">
        <v>1847</v>
      </c>
      <c r="BG324" s="76">
        <v>6246</v>
      </c>
      <c r="BH324" s="76">
        <v>9191</v>
      </c>
      <c r="BI324" s="76">
        <v>0</v>
      </c>
      <c r="BJ324" s="76">
        <v>44</v>
      </c>
      <c r="BK324" s="76">
        <v>17328</v>
      </c>
      <c r="BL324" s="76">
        <v>798</v>
      </c>
      <c r="BM324" s="76">
        <v>0</v>
      </c>
      <c r="BN324" s="76">
        <v>4387</v>
      </c>
      <c r="BO324" s="76">
        <v>20714</v>
      </c>
      <c r="BP324" s="76">
        <v>25899</v>
      </c>
      <c r="BQ324" s="76">
        <v>-8571</v>
      </c>
      <c r="BR324" s="76">
        <v>815567</v>
      </c>
      <c r="BS324" s="76">
        <v>207838</v>
      </c>
      <c r="BT324" s="76">
        <v>140000</v>
      </c>
      <c r="BU324" s="76">
        <v>0</v>
      </c>
      <c r="BV324" s="76">
        <v>273472</v>
      </c>
      <c r="BW324" s="76">
        <v>0</v>
      </c>
      <c r="BX324" s="76">
        <v>0</v>
      </c>
      <c r="BY324" s="76">
        <v>10699</v>
      </c>
      <c r="BZ324" s="76">
        <v>632009</v>
      </c>
      <c r="CA324" s="76">
        <v>0</v>
      </c>
      <c r="CB324" s="76">
        <v>0</v>
      </c>
      <c r="CC324" s="76">
        <v>183558</v>
      </c>
      <c r="CD324" s="76">
        <v>154999</v>
      </c>
      <c r="CE324" s="76">
        <v>28546</v>
      </c>
      <c r="CF324" s="76">
        <v>13</v>
      </c>
      <c r="CG324" s="76">
        <v>0</v>
      </c>
      <c r="CH324" s="76">
        <v>0</v>
      </c>
      <c r="CI324" s="76">
        <v>183558</v>
      </c>
      <c r="CJ324" s="76">
        <v>2398</v>
      </c>
      <c r="CK324" s="76">
        <v>1156</v>
      </c>
      <c r="CL324" s="76">
        <v>0</v>
      </c>
      <c r="CM324" s="76">
        <v>1242</v>
      </c>
      <c r="CN324" s="76">
        <v>1033</v>
      </c>
      <c r="CO324" s="76">
        <v>0</v>
      </c>
      <c r="CP324" s="76">
        <v>1340</v>
      </c>
      <c r="CQ324" s="76">
        <v>-307</v>
      </c>
      <c r="CR324" s="76">
        <v>0</v>
      </c>
      <c r="CS324" s="76">
        <v>0</v>
      </c>
      <c r="CT324" s="76">
        <v>0</v>
      </c>
      <c r="CU324" s="76">
        <v>0</v>
      </c>
      <c r="CV324" s="76">
        <v>0</v>
      </c>
      <c r="CW324" s="76">
        <v>0</v>
      </c>
      <c r="CX324" s="76">
        <v>0</v>
      </c>
      <c r="CY324" s="76">
        <v>0</v>
      </c>
      <c r="CZ324" s="76">
        <v>5980</v>
      </c>
      <c r="DA324" s="76">
        <v>0</v>
      </c>
      <c r="DB324" s="76">
        <v>-1034</v>
      </c>
      <c r="DC324" s="76">
        <v>7014</v>
      </c>
      <c r="DD324" s="76">
        <v>9411</v>
      </c>
      <c r="DE324" s="76">
        <v>1156</v>
      </c>
      <c r="DF324" s="76">
        <v>306</v>
      </c>
      <c r="DG324" s="76">
        <v>7949</v>
      </c>
      <c r="DH324" s="76">
        <v>2808</v>
      </c>
      <c r="DI324" s="76">
        <v>2624</v>
      </c>
      <c r="DJ324" s="76">
        <v>0</v>
      </c>
      <c r="DK324" s="76">
        <v>184</v>
      </c>
      <c r="DL324" s="76">
        <v>0</v>
      </c>
      <c r="DM324" s="76">
        <v>0</v>
      </c>
      <c r="DN324" s="76">
        <v>0</v>
      </c>
      <c r="DO324" s="76">
        <v>0</v>
      </c>
      <c r="DP324" s="76">
        <v>0</v>
      </c>
      <c r="DQ324" s="76">
        <v>0</v>
      </c>
      <c r="DR324" s="76">
        <v>0</v>
      </c>
      <c r="DS324" s="76">
        <v>0</v>
      </c>
      <c r="DT324" s="76">
        <v>0</v>
      </c>
      <c r="DU324" s="76">
        <v>0</v>
      </c>
      <c r="DV324" s="76">
        <v>0</v>
      </c>
      <c r="DW324" s="76">
        <v>0</v>
      </c>
      <c r="DX324" s="76">
        <v>0</v>
      </c>
      <c r="DY324" s="76">
        <v>0</v>
      </c>
      <c r="DZ324" s="76">
        <v>0</v>
      </c>
      <c r="EA324" s="76">
        <v>0</v>
      </c>
      <c r="EB324" s="76">
        <v>0</v>
      </c>
      <c r="EC324" s="76">
        <v>0</v>
      </c>
      <c r="ED324" s="76">
        <v>0</v>
      </c>
      <c r="EE324" s="76">
        <v>0</v>
      </c>
      <c r="EF324" s="76">
        <v>2808</v>
      </c>
      <c r="EG324" s="76">
        <v>2624</v>
      </c>
      <c r="EH324" s="76">
        <v>0</v>
      </c>
      <c r="EI324" s="76">
        <v>184</v>
      </c>
      <c r="EJ324" s="76">
        <v>12219</v>
      </c>
      <c r="EK324" s="76">
        <v>3780</v>
      </c>
      <c r="EL324" s="76">
        <v>306</v>
      </c>
      <c r="EM324" s="76">
        <v>8133</v>
      </c>
      <c r="EN324" s="76">
        <v>2105</v>
      </c>
      <c r="EO324" s="76">
        <v>729</v>
      </c>
      <c r="EP324" s="76">
        <v>416</v>
      </c>
      <c r="EQ324" s="76">
        <v>513</v>
      </c>
      <c r="ER324" s="76">
        <v>897134</v>
      </c>
      <c r="ES324" s="76">
        <v>0</v>
      </c>
      <c r="ET324" s="76">
        <v>897134</v>
      </c>
      <c r="EU324" s="76">
        <v>45223</v>
      </c>
      <c r="EV324" s="76">
        <v>-11048</v>
      </c>
      <c r="EW324" s="76">
        <v>0</v>
      </c>
      <c r="EX324" s="76">
        <v>0</v>
      </c>
      <c r="EY324" s="76">
        <v>0</v>
      </c>
      <c r="EZ324" s="76">
        <v>931309</v>
      </c>
      <c r="FA324" s="76">
        <v>120890</v>
      </c>
      <c r="FB324" s="76">
        <v>15240</v>
      </c>
      <c r="FC324" s="76">
        <v>670</v>
      </c>
      <c r="FD324" s="76">
        <v>0</v>
      </c>
      <c r="FE324" s="76">
        <v>-4049</v>
      </c>
      <c r="FF324" s="76">
        <v>0</v>
      </c>
      <c r="FG324" s="76">
        <v>0</v>
      </c>
      <c r="FH324" s="76">
        <v>132751</v>
      </c>
      <c r="FI324" s="76">
        <v>798558</v>
      </c>
      <c r="FJ324" s="76">
        <v>776244</v>
      </c>
      <c r="FK324" s="76">
        <v>522</v>
      </c>
      <c r="FL324" s="76">
        <v>341</v>
      </c>
      <c r="FM324" s="76">
        <v>181</v>
      </c>
      <c r="FN324" s="76">
        <v>443</v>
      </c>
      <c r="FO324" s="76">
        <v>244</v>
      </c>
      <c r="FP324" s="76">
        <v>199</v>
      </c>
      <c r="FQ324" s="76">
        <v>550</v>
      </c>
      <c r="FR324" s="76">
        <v>456</v>
      </c>
      <c r="FS324" s="76">
        <v>94</v>
      </c>
      <c r="FT324" s="76">
        <v>10127</v>
      </c>
      <c r="FU324" s="76">
        <v>6780</v>
      </c>
      <c r="FV324" s="76">
        <v>3347</v>
      </c>
      <c r="FW324" s="76">
        <v>0</v>
      </c>
      <c r="FX324" s="76">
        <v>0</v>
      </c>
      <c r="FY324" s="76">
        <v>0</v>
      </c>
      <c r="FZ324" s="76">
        <v>0</v>
      </c>
      <c r="GA324" s="76">
        <v>0</v>
      </c>
      <c r="GB324" s="76">
        <v>0</v>
      </c>
      <c r="GC324" s="76">
        <v>11642</v>
      </c>
      <c r="GD324" s="76">
        <v>7821</v>
      </c>
      <c r="GE324" s="76">
        <v>3821</v>
      </c>
      <c r="GF324" s="76">
        <v>0</v>
      </c>
      <c r="GG324" s="76">
        <v>44</v>
      </c>
      <c r="GH324" s="76">
        <v>0</v>
      </c>
      <c r="GI324" s="76">
        <v>0</v>
      </c>
      <c r="GJ324" s="76">
        <v>0</v>
      </c>
      <c r="GK324" s="76">
        <v>0</v>
      </c>
      <c r="GL324" s="76">
        <v>44</v>
      </c>
      <c r="GM324" s="76">
        <v>3846</v>
      </c>
      <c r="GN324" s="76">
        <v>2201</v>
      </c>
      <c r="GO324" s="76">
        <v>7268</v>
      </c>
      <c r="GP324" s="76">
        <v>0</v>
      </c>
      <c r="GQ324" s="76">
        <v>0</v>
      </c>
      <c r="GR324" s="76">
        <v>4270</v>
      </c>
      <c r="GS324" s="76">
        <v>0</v>
      </c>
      <c r="GT324" s="76">
        <v>0</v>
      </c>
      <c r="GU324" s="76">
        <v>983</v>
      </c>
      <c r="GV324" s="76">
        <v>0</v>
      </c>
      <c r="GW324" s="76">
        <v>2146</v>
      </c>
      <c r="GX324" s="76">
        <v>20714</v>
      </c>
      <c r="GY324" s="76">
        <v>7682</v>
      </c>
      <c r="GZ324" s="76">
        <v>945</v>
      </c>
      <c r="HA324" s="76">
        <v>6577</v>
      </c>
      <c r="HB324" s="76">
        <v>-4505</v>
      </c>
      <c r="HC324" s="76">
        <v>10699</v>
      </c>
      <c r="HD324" s="76">
        <v>0</v>
      </c>
      <c r="HE324" s="76">
        <v>0</v>
      </c>
      <c r="HF324" s="76">
        <v>0</v>
      </c>
      <c r="HG324" s="76">
        <v>16565</v>
      </c>
      <c r="HH324" s="76">
        <v>46</v>
      </c>
      <c r="HI324" s="76">
        <v>176</v>
      </c>
      <c r="HJ324" s="76">
        <v>0</v>
      </c>
      <c r="HK324" s="76">
        <v>2</v>
      </c>
      <c r="HL324" s="76">
        <v>-804</v>
      </c>
      <c r="HM324" s="76">
        <v>15985</v>
      </c>
      <c r="HN324" s="76">
        <v>14207</v>
      </c>
      <c r="HO324" s="76">
        <v>15240</v>
      </c>
      <c r="HP324" s="76">
        <v>670</v>
      </c>
      <c r="HQ324" s="76">
        <v>502</v>
      </c>
      <c r="HR324" s="76">
        <v>-210</v>
      </c>
      <c r="HS324" s="76">
        <v>-322</v>
      </c>
      <c r="HT324" s="76">
        <v>16427</v>
      </c>
      <c r="HU324" s="76">
        <v>0</v>
      </c>
      <c r="HV324" s="76">
        <v>0</v>
      </c>
      <c r="HW324" s="76">
        <v>0</v>
      </c>
      <c r="HX324" s="76">
        <v>99</v>
      </c>
    </row>
    <row r="325" spans="1:232" x14ac:dyDescent="0.2"/>
  </sheetData>
  <conditionalFormatting sqref="C6:C324">
    <cfRule type="expression" dxfId="561" priority="2">
      <formula xml:space="preserve"> ( MONTH( C6 ) &lt;&gt; 3 )</formula>
    </cfRule>
  </conditionalFormatting>
  <conditionalFormatting sqref="D6:D324">
    <cfRule type="cellIs" dxfId="560" priority="1" operator="notEqual">
      <formula>12</formula>
    </cfRule>
  </conditionalFormatting>
  <hyperlinks>
    <hyperlink ref="N1" location="GA2017_Entity!HM3" display="[Breakdown]"/>
    <hyperlink ref="BJ1" location="GA2017_Entity!GL3" display="[Breakdown]"/>
    <hyperlink ref="BO1" location="GA2017_Entity!GX3" display="[Breakdown]"/>
    <hyperlink ref="BY1" location="GA2017_Entity!HC3" display="[Breakdown]"/>
    <hyperlink ref="CB1" location="GA2017_Entity!HF3" display="[Breakdown]"/>
    <hyperlink ref="HS5" location="Introduction!C34" display="Social housing units transferred and other movements (~)"/>
    <hyperlink ref="EW5" location="Introduction!C33" display="Transfer treated as acquisition (#)"/>
  </hyperlinks>
  <printOptions horizontalCentered="1" verticalCentered="1"/>
  <pageMargins left="0.31496062992125984" right="0.31496062992125984" top="0.35433070866141736" bottom="0.35433070866141736" header="0.11811023622047245" footer="0.11811023622047245"/>
  <pageSetup scale="66" pageOrder="overThenDown" orientation="landscape" r:id="rId1"/>
  <headerFooter>
    <oddFooter>&amp;C&amp;P / &amp;N</oddFooter>
    <evenFooter>&amp;C&amp;P / &amp;N</evenFooter>
    <firstFooter>&amp;C&amp;P / &amp;N</first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C39"/>
  <sheetViews>
    <sheetView showGridLines="0" zoomScale="85" zoomScaleNormal="85" workbookViewId="0"/>
  </sheetViews>
  <sheetFormatPr defaultColWidth="0" defaultRowHeight="14.25" zeroHeight="1" x14ac:dyDescent="0.2"/>
  <cols>
    <col min="1" max="1" width="4.125" customWidth="1"/>
    <col min="2" max="2" width="119.75" style="129" customWidth="1"/>
    <col min="3" max="3" width="3.5" customWidth="1"/>
    <col min="4" max="16384" width="9" hidden="1"/>
  </cols>
  <sheetData>
    <row r="1" spans="2:2" x14ac:dyDescent="0.2">
      <c r="B1"/>
    </row>
    <row r="2" spans="2:2" ht="15" thickBot="1" x14ac:dyDescent="0.25">
      <c r="B2"/>
    </row>
    <row r="3" spans="2:2" ht="24" thickBot="1" x14ac:dyDescent="0.25">
      <c r="B3" s="119" t="s">
        <v>1282</v>
      </c>
    </row>
    <row r="4" spans="2:2" ht="36" x14ac:dyDescent="0.2">
      <c r="B4" s="120" t="s">
        <v>1283</v>
      </c>
    </row>
    <row r="5" spans="2:2" ht="5.25" customHeight="1" x14ac:dyDescent="0.2">
      <c r="B5" s="125"/>
    </row>
    <row r="6" spans="2:2" x14ac:dyDescent="0.2">
      <c r="B6" s="121" t="s">
        <v>1284</v>
      </c>
    </row>
    <row r="7" spans="2:2" ht="6.75" customHeight="1" x14ac:dyDescent="0.2">
      <c r="B7" s="122"/>
    </row>
    <row r="8" spans="2:2" ht="69" customHeight="1" x14ac:dyDescent="0.2">
      <c r="B8" s="121" t="s">
        <v>1297</v>
      </c>
    </row>
    <row r="9" spans="2:2" ht="5.25" customHeight="1" x14ac:dyDescent="0.2">
      <c r="B9" s="121"/>
    </row>
    <row r="10" spans="2:2" x14ac:dyDescent="0.2">
      <c r="B10" s="122" t="s">
        <v>1285</v>
      </c>
    </row>
    <row r="11" spans="2:2" ht="3.75" customHeight="1" x14ac:dyDescent="0.2">
      <c r="B11" s="122"/>
    </row>
    <row r="12" spans="2:2" x14ac:dyDescent="0.2">
      <c r="B12" s="122" t="s">
        <v>1286</v>
      </c>
    </row>
    <row r="13" spans="2:2" ht="3" customHeight="1" x14ac:dyDescent="0.2">
      <c r="B13" s="122"/>
    </row>
    <row r="14" spans="2:2" x14ac:dyDescent="0.2">
      <c r="B14" s="122" t="s">
        <v>1287</v>
      </c>
    </row>
    <row r="15" spans="2:2" ht="5.25" customHeight="1" x14ac:dyDescent="0.2">
      <c r="B15" s="122"/>
    </row>
    <row r="16" spans="2:2" x14ac:dyDescent="0.2">
      <c r="B16" s="226" t="s">
        <v>1288</v>
      </c>
    </row>
    <row r="17" spans="2:2" x14ac:dyDescent="0.2">
      <c r="B17" s="226"/>
    </row>
    <row r="18" spans="2:2" ht="50.25" customHeight="1" x14ac:dyDescent="0.2">
      <c r="B18" s="121" t="s">
        <v>1298</v>
      </c>
    </row>
    <row r="19" spans="2:2" ht="15" thickBot="1" x14ac:dyDescent="0.25">
      <c r="B19" s="123"/>
    </row>
    <row r="20" spans="2:2" ht="18" x14ac:dyDescent="0.2">
      <c r="B20" s="126" t="s">
        <v>1289</v>
      </c>
    </row>
    <row r="21" spans="2:2" ht="7.5" customHeight="1" x14ac:dyDescent="0.2">
      <c r="B21" s="125"/>
    </row>
    <row r="22" spans="2:2" x14ac:dyDescent="0.2">
      <c r="B22" s="122" t="s">
        <v>1290</v>
      </c>
    </row>
    <row r="23" spans="2:2" ht="9" customHeight="1" x14ac:dyDescent="0.2">
      <c r="B23" s="122"/>
    </row>
    <row r="24" spans="2:2" ht="15.75" x14ac:dyDescent="0.2">
      <c r="B24" s="127" t="s">
        <v>1291</v>
      </c>
    </row>
    <row r="25" spans="2:2" ht="28.5" x14ac:dyDescent="0.2">
      <c r="B25" s="121" t="s">
        <v>1299</v>
      </c>
    </row>
    <row r="26" spans="2:2" ht="6.75" customHeight="1" x14ac:dyDescent="0.2">
      <c r="B26" s="121"/>
    </row>
    <row r="27" spans="2:2" x14ac:dyDescent="0.2">
      <c r="B27" s="226" t="s">
        <v>1300</v>
      </c>
    </row>
    <row r="28" spans="2:2" x14ac:dyDescent="0.2">
      <c r="B28" s="226"/>
    </row>
    <row r="29" spans="2:2" ht="15.75" x14ac:dyDescent="0.2">
      <c r="B29" s="127" t="s">
        <v>1257</v>
      </c>
    </row>
    <row r="30" spans="2:2" ht="34.5" customHeight="1" x14ac:dyDescent="0.2">
      <c r="B30" s="118" t="s">
        <v>1292</v>
      </c>
    </row>
    <row r="31" spans="2:2" ht="37.5" customHeight="1" x14ac:dyDescent="0.2">
      <c r="B31" s="118" t="s">
        <v>1293</v>
      </c>
    </row>
    <row r="32" spans="2:2" ht="33.75" customHeight="1" x14ac:dyDescent="0.2">
      <c r="B32" s="121" t="s">
        <v>1294</v>
      </c>
    </row>
    <row r="33" spans="2:2" ht="36" customHeight="1" x14ac:dyDescent="0.2">
      <c r="B33" s="121" t="s">
        <v>1295</v>
      </c>
    </row>
    <row r="34" spans="2:2" ht="6.75" customHeight="1" x14ac:dyDescent="0.2">
      <c r="B34" s="121"/>
    </row>
    <row r="35" spans="2:2" ht="15.75" x14ac:dyDescent="0.2">
      <c r="B35" s="124" t="s">
        <v>1296</v>
      </c>
    </row>
    <row r="36" spans="2:2" ht="33" customHeight="1" x14ac:dyDescent="0.2">
      <c r="B36" s="121" t="s">
        <v>1301</v>
      </c>
    </row>
    <row r="37" spans="2:2" ht="42.75" x14ac:dyDescent="0.2">
      <c r="B37" s="121" t="s">
        <v>1302</v>
      </c>
    </row>
    <row r="38" spans="2:2" ht="9.75" customHeight="1" thickBot="1" x14ac:dyDescent="0.25">
      <c r="B38" s="128"/>
    </row>
    <row r="39" spans="2:2" x14ac:dyDescent="0.2"/>
  </sheetData>
  <mergeCells count="2">
    <mergeCell ref="B16:B17"/>
    <mergeCell ref="B27:B28"/>
  </mergeCells>
  <pageMargins left="0.70866141732283472" right="0.70866141732283472" top="0.74803149606299213" bottom="0.74803149606299213" header="0.31496062992125984" footer="0.31496062992125984"/>
  <pageSetup paperSize="9" scale="64" orientation="portrait" r:id="rId1"/>
  <headerFooter>
    <oddFooter>&amp;C&amp;P / &amp;N</oddFooter>
    <evenFooter>&amp;C&amp;P / &amp;N</evenFooter>
    <firstFooter>&amp;C&amp;P /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I18"/>
  <sheetViews>
    <sheetView showGridLines="0" zoomScale="80" zoomScaleNormal="80" workbookViewId="0"/>
  </sheetViews>
  <sheetFormatPr defaultColWidth="0" defaultRowHeight="14.25" zeroHeight="1" x14ac:dyDescent="0.2"/>
  <cols>
    <col min="1" max="1" width="4.125" customWidth="1"/>
    <col min="2" max="2" width="27.5" customWidth="1"/>
    <col min="3" max="8" width="16.125" customWidth="1"/>
    <col min="9" max="9" width="4.75" customWidth="1"/>
    <col min="10" max="16384" width="9" hidden="1"/>
  </cols>
  <sheetData>
    <row r="1" spans="2:8" x14ac:dyDescent="0.2"/>
    <row r="2" spans="2:8" ht="23.25" x14ac:dyDescent="0.35">
      <c r="B2" s="147" t="s">
        <v>1311</v>
      </c>
    </row>
    <row r="3" spans="2:8" x14ac:dyDescent="0.2"/>
    <row r="4" spans="2:8" s="138" customFormat="1" ht="28.5" x14ac:dyDescent="0.2">
      <c r="B4" s="140" t="s">
        <v>1309</v>
      </c>
      <c r="C4" s="146" t="s">
        <v>1306</v>
      </c>
      <c r="D4" s="146" t="s">
        <v>1210</v>
      </c>
      <c r="E4" s="146" t="s">
        <v>1211</v>
      </c>
      <c r="F4" s="146" t="s">
        <v>1212</v>
      </c>
      <c r="G4" s="146" t="s">
        <v>1213</v>
      </c>
      <c r="H4" s="146" t="s">
        <v>1307</v>
      </c>
    </row>
    <row r="5" spans="2:8" s="143" customFormat="1" ht="18.600000000000001" customHeight="1" x14ac:dyDescent="0.2">
      <c r="B5" s="144" t="s">
        <v>1304</v>
      </c>
      <c r="C5" s="142">
        <v>2.9317939367393344</v>
      </c>
      <c r="D5" s="142">
        <v>0.74447461141491922</v>
      </c>
      <c r="E5" s="142">
        <v>0.23937162116198657</v>
      </c>
      <c r="F5" s="142">
        <v>0.78227155986096863</v>
      </c>
      <c r="G5" s="142">
        <v>0.49054306935035819</v>
      </c>
      <c r="H5" s="142">
        <v>0.10191525287612908</v>
      </c>
    </row>
    <row r="6" spans="2:8" s="143" customFormat="1" ht="18.600000000000001" customHeight="1" x14ac:dyDescent="0.2">
      <c r="B6" s="214" t="s">
        <v>1303</v>
      </c>
      <c r="C6" s="215">
        <v>3.2983292439996115</v>
      </c>
      <c r="D6" s="215">
        <v>0.94120507720744384</v>
      </c>
      <c r="E6" s="215">
        <v>0.37185870648232222</v>
      </c>
      <c r="F6" s="215">
        <v>0.92526793743130886</v>
      </c>
      <c r="G6" s="215">
        <v>0.682869752423376</v>
      </c>
      <c r="H6" s="215">
        <v>0.24110145611737654</v>
      </c>
    </row>
    <row r="7" spans="2:8" s="143" customFormat="1" ht="18.600000000000001" customHeight="1" x14ac:dyDescent="0.2">
      <c r="B7" s="144" t="s">
        <v>1305</v>
      </c>
      <c r="C7" s="142">
        <v>4.3288347455697771</v>
      </c>
      <c r="D7" s="142">
        <v>1.1471403438550112</v>
      </c>
      <c r="E7" s="142">
        <v>0.60475856671964001</v>
      </c>
      <c r="F7" s="142">
        <v>1.114618409121122</v>
      </c>
      <c r="G7" s="142">
        <v>0.96376937253217332</v>
      </c>
      <c r="H7" s="142">
        <v>0.51373126966667293</v>
      </c>
    </row>
    <row r="8" spans="2:8" s="143" customFormat="1" ht="18.600000000000001" customHeight="1" x14ac:dyDescent="0.2">
      <c r="B8" s="214" t="s">
        <v>1308</v>
      </c>
      <c r="C8" s="215">
        <v>3.6976472330752626</v>
      </c>
      <c r="D8" s="215">
        <v>0.94262122621711486</v>
      </c>
      <c r="E8" s="215">
        <v>0.55113245626201612</v>
      </c>
      <c r="F8" s="215">
        <v>0.99083866187535463</v>
      </c>
      <c r="G8" s="215">
        <v>0.7465472967027077</v>
      </c>
      <c r="H8" s="215">
        <v>0.46650759201806918</v>
      </c>
    </row>
    <row r="9" spans="2:8" x14ac:dyDescent="0.2">
      <c r="B9" s="9"/>
      <c r="C9" s="141"/>
      <c r="D9" s="141"/>
      <c r="E9" s="141"/>
      <c r="F9" s="141"/>
      <c r="G9" s="141"/>
      <c r="H9" s="141"/>
    </row>
    <row r="10" spans="2:8" x14ac:dyDescent="0.2">
      <c r="C10" s="130"/>
      <c r="D10" s="130"/>
      <c r="E10" s="130"/>
      <c r="F10" s="130"/>
      <c r="G10" s="130"/>
      <c r="H10" s="130"/>
    </row>
    <row r="11" spans="2:8" s="138" customFormat="1" ht="28.5" x14ac:dyDescent="0.2">
      <c r="B11" s="139" t="s">
        <v>1310</v>
      </c>
      <c r="C11" s="145" t="s">
        <v>1306</v>
      </c>
      <c r="D11" s="145" t="s">
        <v>1210</v>
      </c>
      <c r="E11" s="145" t="s">
        <v>1211</v>
      </c>
      <c r="F11" s="145" t="s">
        <v>1212</v>
      </c>
      <c r="G11" s="145" t="s">
        <v>1213</v>
      </c>
      <c r="H11" s="145" t="s">
        <v>1307</v>
      </c>
    </row>
    <row r="12" spans="2:8" s="143" customFormat="1" ht="18.600000000000001" customHeight="1" x14ac:dyDescent="0.2">
      <c r="B12" s="144" t="s">
        <v>1304</v>
      </c>
      <c r="C12" s="142">
        <v>2.8512974261699529</v>
      </c>
      <c r="D12" s="142">
        <v>0.68737760334926112</v>
      </c>
      <c r="E12" s="142">
        <v>0.23612661834002108</v>
      </c>
      <c r="F12" s="142">
        <v>0.77320030344706392</v>
      </c>
      <c r="G12" s="142">
        <v>0.45577955175495177</v>
      </c>
      <c r="H12" s="142">
        <v>7.744148007223825E-2</v>
      </c>
    </row>
    <row r="13" spans="2:8" s="143" customFormat="1" ht="18.600000000000001" customHeight="1" x14ac:dyDescent="0.2">
      <c r="B13" s="214" t="s">
        <v>1303</v>
      </c>
      <c r="C13" s="215">
        <v>3.3159416202495944</v>
      </c>
      <c r="D13" s="215">
        <v>0.93203883495145634</v>
      </c>
      <c r="E13" s="215">
        <v>0.37125243110344575</v>
      </c>
      <c r="F13" s="215">
        <v>0.9232869232869233</v>
      </c>
      <c r="G13" s="215">
        <v>0.67411402157164868</v>
      </c>
      <c r="H13" s="215">
        <v>0.19846947263350523</v>
      </c>
    </row>
    <row r="14" spans="2:8" s="143" customFormat="1" ht="18.600000000000001" customHeight="1" x14ac:dyDescent="0.2">
      <c r="B14" s="144" t="s">
        <v>1305</v>
      </c>
      <c r="C14" s="142">
        <v>4.1153233445215607</v>
      </c>
      <c r="D14" s="142">
        <v>1.1457094237862679</v>
      </c>
      <c r="E14" s="142">
        <v>0.60383119780582928</v>
      </c>
      <c r="F14" s="142">
        <v>1.1565581801709368</v>
      </c>
      <c r="G14" s="142">
        <v>0.96223764544175938</v>
      </c>
      <c r="H14" s="142">
        <v>0.46411904177908592</v>
      </c>
    </row>
    <row r="15" spans="2:8" s="143" customFormat="1" ht="18.600000000000001" customHeight="1" x14ac:dyDescent="0.2">
      <c r="B15" s="214" t="s">
        <v>1308</v>
      </c>
      <c r="C15" s="215">
        <v>3.6853297512144856</v>
      </c>
      <c r="D15" s="215">
        <v>0.95459664360370966</v>
      </c>
      <c r="E15" s="215">
        <v>0.54388046518474897</v>
      </c>
      <c r="F15" s="215">
        <v>0.99790446047401737</v>
      </c>
      <c r="G15" s="215">
        <v>0.75092632121301339</v>
      </c>
      <c r="H15" s="215">
        <v>0.43802186073899602</v>
      </c>
    </row>
    <row r="16" spans="2:8" x14ac:dyDescent="0.2"/>
    <row r="17" x14ac:dyDescent="0.2"/>
    <row r="18" x14ac:dyDescent="0.2"/>
  </sheetData>
  <pageMargins left="0.70866141732283472" right="0.70866141732283472" top="0.74803149606299213" bottom="0.74803149606299213" header="0.31496062992125984" footer="0.31496062992125984"/>
  <pageSetup paperSize="9" scale="94" orientation="landscape" r:id="rId1"/>
  <headerFooter>
    <oddFooter>&amp;C&amp;P / &amp;N</oddFooter>
    <evenFooter>&amp;C&amp;P / &amp;N</evenFooter>
    <firstFooter>&amp;C&amp;P /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autoPageBreaks="0"/>
  </sheetPr>
  <dimension ref="A1:AD246"/>
  <sheetViews>
    <sheetView showGridLines="0" zoomScale="80" zoomScaleNormal="80" workbookViewId="0">
      <pane xSplit="2" ySplit="3" topLeftCell="C4" activePane="bottomRight" state="frozen"/>
      <selection pane="topRight" activeCell="C1" sqref="C1"/>
      <selection pane="bottomLeft" activeCell="A4" sqref="A4"/>
      <selection pane="bottomRight"/>
    </sheetView>
  </sheetViews>
  <sheetFormatPr defaultColWidth="0" defaultRowHeight="14.25" zeroHeight="1" outlineLevelCol="1" x14ac:dyDescent="0.2"/>
  <cols>
    <col min="1" max="1" width="9.5" style="137" customWidth="1"/>
    <col min="2" max="2" width="35.625" customWidth="1"/>
    <col min="3" max="3" width="10.625" customWidth="1"/>
    <col min="4" max="6" width="11.625" customWidth="1"/>
    <col min="7" max="7" width="13.625" customWidth="1"/>
    <col min="8" max="8" width="13.625" hidden="1" customWidth="1" outlineLevel="1"/>
    <col min="9" max="9" width="13.625" customWidth="1" collapsed="1"/>
    <col min="10" max="10" width="13.625" hidden="1" customWidth="1" outlineLevel="1"/>
    <col min="11" max="11" width="13.625" customWidth="1" collapsed="1"/>
    <col min="12" max="13" width="13.625" hidden="1" customWidth="1" outlineLevel="1"/>
    <col min="14" max="14" width="13.625" customWidth="1" collapsed="1"/>
    <col min="15" max="16" width="13.625" hidden="1" customWidth="1" outlineLevel="1"/>
    <col min="17" max="17" width="13.625" customWidth="1" collapsed="1"/>
    <col min="18" max="22" width="13.75" hidden="1" customWidth="1" outlineLevel="1"/>
    <col min="23" max="23" width="11.625" customWidth="1" collapsed="1"/>
    <col min="24" max="24" width="11.625" customWidth="1"/>
    <col min="25" max="25" width="9" customWidth="1"/>
    <col min="26" max="26" width="11.375" style="113" bestFit="1" customWidth="1"/>
    <col min="27" max="27" width="9.625" bestFit="1" customWidth="1"/>
    <col min="28" max="28" width="18.625" bestFit="1" customWidth="1"/>
    <col min="29" max="29" width="12.25" customWidth="1"/>
    <col min="30" max="30" width="3.25" customWidth="1"/>
    <col min="31" max="16384" width="9" hidden="1"/>
  </cols>
  <sheetData>
    <row r="1" spans="1:29" s="92" customFormat="1" ht="56.1" customHeight="1" x14ac:dyDescent="0.2">
      <c r="A1" s="167" t="s">
        <v>1100</v>
      </c>
      <c r="B1" s="91"/>
      <c r="C1" s="91"/>
      <c r="F1" s="92" t="s">
        <v>1199</v>
      </c>
      <c r="G1" s="229" t="s">
        <v>1200</v>
      </c>
      <c r="H1" s="230"/>
      <c r="I1" s="230"/>
      <c r="J1" s="230"/>
      <c r="K1" s="230"/>
      <c r="L1" s="230"/>
      <c r="M1" s="230"/>
      <c r="N1" s="230"/>
      <c r="O1" s="230"/>
      <c r="P1" s="230"/>
      <c r="Q1" s="230"/>
      <c r="R1" s="230"/>
      <c r="S1" s="230"/>
      <c r="T1" s="230"/>
      <c r="U1" s="230"/>
      <c r="V1" s="231"/>
      <c r="W1" s="93" t="s">
        <v>1199</v>
      </c>
      <c r="Z1" s="110"/>
    </row>
    <row r="2" spans="1:29" s="94" customFormat="1" ht="48" customHeight="1" x14ac:dyDescent="0.2">
      <c r="A2" s="211" t="s">
        <v>1201</v>
      </c>
      <c r="C2" s="95"/>
      <c r="D2" s="152" t="s">
        <v>1202</v>
      </c>
      <c r="E2" s="227" t="s">
        <v>1203</v>
      </c>
      <c r="F2" s="228"/>
      <c r="G2" s="233" t="s">
        <v>1204</v>
      </c>
      <c r="H2" s="234"/>
      <c r="I2" s="234"/>
      <c r="J2" s="234"/>
      <c r="K2" s="234"/>
      <c r="L2" s="234"/>
      <c r="M2" s="234"/>
      <c r="N2" s="234"/>
      <c r="O2" s="234"/>
      <c r="P2" s="234"/>
      <c r="Q2" s="234"/>
      <c r="R2" s="234"/>
      <c r="S2" s="234"/>
      <c r="T2" s="234"/>
      <c r="U2" s="234"/>
      <c r="V2" s="235"/>
      <c r="W2" s="227" t="s">
        <v>1205</v>
      </c>
      <c r="X2" s="228"/>
      <c r="Y2" s="227" t="s">
        <v>1206</v>
      </c>
      <c r="Z2" s="232"/>
      <c r="AA2" s="228"/>
      <c r="AB2" s="227" t="s">
        <v>1207</v>
      </c>
      <c r="AC2" s="228"/>
    </row>
    <row r="3" spans="1:29" s="96" customFormat="1" ht="75" customHeight="1" x14ac:dyDescent="0.2">
      <c r="A3" s="148" t="s">
        <v>1095</v>
      </c>
      <c r="B3" s="149" t="s">
        <v>1096</v>
      </c>
      <c r="C3" s="150" t="s">
        <v>1097</v>
      </c>
      <c r="D3" s="151" t="s">
        <v>991</v>
      </c>
      <c r="E3" s="151" t="s">
        <v>1208</v>
      </c>
      <c r="F3" s="151" t="s">
        <v>1209</v>
      </c>
      <c r="G3" s="151" t="s">
        <v>1210</v>
      </c>
      <c r="H3" s="205" t="s">
        <v>897</v>
      </c>
      <c r="I3" s="151" t="s">
        <v>1211</v>
      </c>
      <c r="J3" s="206" t="s">
        <v>898</v>
      </c>
      <c r="K3" s="151" t="s">
        <v>1212</v>
      </c>
      <c r="L3" s="206" t="s">
        <v>899</v>
      </c>
      <c r="M3" s="206" t="s">
        <v>900</v>
      </c>
      <c r="N3" s="151" t="s">
        <v>1213</v>
      </c>
      <c r="O3" s="206" t="s">
        <v>901</v>
      </c>
      <c r="P3" s="206" t="s">
        <v>1051</v>
      </c>
      <c r="Q3" s="151" t="s">
        <v>1307</v>
      </c>
      <c r="R3" s="206" t="s">
        <v>905</v>
      </c>
      <c r="S3" s="206" t="s">
        <v>952</v>
      </c>
      <c r="T3" s="206" t="s">
        <v>956</v>
      </c>
      <c r="U3" s="206" t="s">
        <v>1075</v>
      </c>
      <c r="V3" s="206" t="s">
        <v>1079</v>
      </c>
      <c r="W3" s="151" t="s">
        <v>1214</v>
      </c>
      <c r="X3" s="151" t="s">
        <v>1215</v>
      </c>
      <c r="Y3" s="151" t="s">
        <v>1216</v>
      </c>
      <c r="Z3" s="151" t="s">
        <v>1217</v>
      </c>
      <c r="AA3" s="151" t="s">
        <v>1218</v>
      </c>
      <c r="AB3" s="151" t="s">
        <v>1219</v>
      </c>
      <c r="AC3" s="151" t="s">
        <v>1220</v>
      </c>
    </row>
    <row r="4" spans="1:29" x14ac:dyDescent="0.2">
      <c r="A4" s="153" t="s">
        <v>207</v>
      </c>
      <c r="B4" s="153" t="s">
        <v>208</v>
      </c>
      <c r="C4" s="154" t="s">
        <v>200</v>
      </c>
      <c r="D4" s="155">
        <v>34259</v>
      </c>
      <c r="E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128410</v>
      </c>
      <c r="F4" s="157">
        <f>IF(Cons_Unit_Costs[[#This Row],[Closing social housing units managed]]&gt;0,Cons_Unit_Costs[[#This Row],[Headline Social Housing Cost]]/Cons_Unit_Costs[[#This Row],[Closing social housing units managed]],"")</f>
        <v>3.7482121486324762</v>
      </c>
      <c r="G4" s="157">
        <f>IF(Cons_Unit_Costs[[#This Row],[Closing social housing units managed]]&gt;0,Cons_Unit_Costs[[#This Row],[Management]]/Cons_Unit_Costs[[#This Row],[Closing social housing units managed]],"")</f>
        <v>1.0828979246329431</v>
      </c>
      <c r="H4" s="156">
        <v>37099</v>
      </c>
      <c r="I4" s="157">
        <f>IF(Cons_Unit_Costs[[#This Row],[Closing social housing units managed]]&gt;0,Cons_Unit_Costs[[#This Row],[Service charge costs]]/Cons_Unit_Costs[[#This Row],[Closing social housing units managed]],"")</f>
        <v>0.74792025453165589</v>
      </c>
      <c r="J4" s="156">
        <v>25623</v>
      </c>
      <c r="K4" s="157">
        <f>IF(Cons_Unit_Costs[[#This Row],[Closing social housing units managed]]&gt;0,(Cons_Unit_Costs[[#This Row],[Routine maintenance]]+Cons_Unit_Costs[[#This Row],[Planned maintenance]])/Cons_Unit_Costs[[#This Row],[Closing social housing units managed]],"")</f>
        <v>1.1145976239820192</v>
      </c>
      <c r="L4" s="156">
        <v>17370</v>
      </c>
      <c r="M4" s="156">
        <v>20815</v>
      </c>
      <c r="N4" s="157">
        <f>IF(Cons_Unit_Costs[[#This Row],[Closing social housing units managed]]&gt;0,(Cons_Unit_Costs[[#This Row],[Major repairs expenditure]]+Cons_Unit_Costs[[#This Row],[Capitalised major repairs expenditure for period]])/Cons_Unit_Costs[[#This Row],[Closing social housing units managed]],"")</f>
        <v>0.27213287019469334</v>
      </c>
      <c r="O4" s="156">
        <v>0</v>
      </c>
      <c r="P4" s="156">
        <v>9323</v>
      </c>
      <c r="Q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0.53066347529116431</v>
      </c>
      <c r="R4" s="156">
        <v>7087</v>
      </c>
      <c r="S4" s="156">
        <v>2448</v>
      </c>
      <c r="T4" s="156">
        <v>8645</v>
      </c>
      <c r="U4" s="156">
        <v>0</v>
      </c>
      <c r="V4" s="156">
        <v>0</v>
      </c>
      <c r="W4" s="158">
        <v>4.8619183133592529E-2</v>
      </c>
      <c r="X4" s="158">
        <v>4.5973786524510001E-2</v>
      </c>
      <c r="Y4" s="156" t="s">
        <v>1256</v>
      </c>
      <c r="Z4" s="159"/>
      <c r="AA4" s="156" t="s">
        <v>1279</v>
      </c>
      <c r="AB4" s="156" t="s">
        <v>1259</v>
      </c>
      <c r="AC4" s="157">
        <v>1.1269025757812825</v>
      </c>
    </row>
    <row r="5" spans="1:29" x14ac:dyDescent="0.2">
      <c r="A5" s="153" t="s">
        <v>4</v>
      </c>
      <c r="B5" s="153" t="s">
        <v>3</v>
      </c>
      <c r="C5" s="154" t="s">
        <v>200</v>
      </c>
      <c r="D5" s="155">
        <v>19685</v>
      </c>
      <c r="E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61377</v>
      </c>
      <c r="F5" s="157">
        <f>IF(Cons_Unit_Costs[[#This Row],[Closing social housing units managed]]&gt;0,Cons_Unit_Costs[[#This Row],[Headline Social Housing Cost]]/Cons_Unit_Costs[[#This Row],[Closing social housing units managed]],"")</f>
        <v>3.1179578359156719</v>
      </c>
      <c r="G5" s="157">
        <f>IF(Cons_Unit_Costs[[#This Row],[Closing social housing units managed]]&gt;0,Cons_Unit_Costs[[#This Row],[Management]]/Cons_Unit_Costs[[#This Row],[Closing social housing units managed]],"")</f>
        <v>0.74833629667259338</v>
      </c>
      <c r="H5" s="156">
        <v>14731</v>
      </c>
      <c r="I5" s="157">
        <f>IF(Cons_Unit_Costs[[#This Row],[Closing social housing units managed]]&gt;0,Cons_Unit_Costs[[#This Row],[Service charge costs]]/Cons_Unit_Costs[[#This Row],[Closing social housing units managed]],"")</f>
        <v>0.38968757937515874</v>
      </c>
      <c r="J5" s="156">
        <v>7671</v>
      </c>
      <c r="K5" s="157">
        <f>IF(Cons_Unit_Costs[[#This Row],[Closing social housing units managed]]&gt;0,(Cons_Unit_Costs[[#This Row],[Routine maintenance]]+Cons_Unit_Costs[[#This Row],[Planned maintenance]])/Cons_Unit_Costs[[#This Row],[Closing social housing units managed]],"")</f>
        <v>1.2034036068072136</v>
      </c>
      <c r="L5" s="156">
        <v>16544</v>
      </c>
      <c r="M5" s="156">
        <v>7145</v>
      </c>
      <c r="N5" s="157">
        <f>IF(Cons_Unit_Costs[[#This Row],[Closing social housing units managed]]&gt;0,(Cons_Unit_Costs[[#This Row],[Major repairs expenditure]]+Cons_Unit_Costs[[#This Row],[Capitalised major repairs expenditure for period]])/Cons_Unit_Costs[[#This Row],[Closing social housing units managed]],"")</f>
        <v>0.56535433070866137</v>
      </c>
      <c r="O5" s="156">
        <v>0</v>
      </c>
      <c r="P5" s="156">
        <v>11129</v>
      </c>
      <c r="Q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0.21117602235204472</v>
      </c>
      <c r="R5" s="156">
        <v>1665</v>
      </c>
      <c r="S5" s="156">
        <v>234</v>
      </c>
      <c r="T5" s="156">
        <v>2258</v>
      </c>
      <c r="U5" s="156">
        <v>0</v>
      </c>
      <c r="V5" s="156">
        <v>0</v>
      </c>
      <c r="W5" s="158">
        <v>2.1869318789434284E-2</v>
      </c>
      <c r="X5" s="158">
        <v>0.10640573200727195</v>
      </c>
      <c r="Y5" s="156" t="s">
        <v>1256</v>
      </c>
      <c r="Z5" s="159"/>
      <c r="AA5" s="156" t="s">
        <v>1279</v>
      </c>
      <c r="AB5" s="156" t="s">
        <v>1258</v>
      </c>
      <c r="AC5" s="157">
        <v>0.95504689070477622</v>
      </c>
    </row>
    <row r="6" spans="1:29" x14ac:dyDescent="0.2">
      <c r="A6" s="153" t="s">
        <v>213</v>
      </c>
      <c r="B6" s="153" t="s">
        <v>214</v>
      </c>
      <c r="C6" s="154" t="s">
        <v>200</v>
      </c>
      <c r="D6" s="155">
        <v>12280</v>
      </c>
      <c r="E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46282</v>
      </c>
      <c r="F6" s="157">
        <f>IF(Cons_Unit_Costs[[#This Row],[Closing social housing units managed]]&gt;0,Cons_Unit_Costs[[#This Row],[Headline Social Housing Cost]]/Cons_Unit_Costs[[#This Row],[Closing social housing units managed]],"")</f>
        <v>3.7688925081433227</v>
      </c>
      <c r="G6" s="157">
        <f>IF(Cons_Unit_Costs[[#This Row],[Closing social housing units managed]]&gt;0,Cons_Unit_Costs[[#This Row],[Management]]/Cons_Unit_Costs[[#This Row],[Closing social housing units managed]],"")</f>
        <v>0.72809446254071664</v>
      </c>
      <c r="H6" s="156">
        <v>8941</v>
      </c>
      <c r="I6" s="157">
        <f>IF(Cons_Unit_Costs[[#This Row],[Closing social housing units managed]]&gt;0,Cons_Unit_Costs[[#This Row],[Service charge costs]]/Cons_Unit_Costs[[#This Row],[Closing social housing units managed]],"")</f>
        <v>1.6035016286644952</v>
      </c>
      <c r="J6" s="156">
        <v>19691</v>
      </c>
      <c r="K6" s="157">
        <f>IF(Cons_Unit_Costs[[#This Row],[Closing social housing units managed]]&gt;0,(Cons_Unit_Costs[[#This Row],[Routine maintenance]]+Cons_Unit_Costs[[#This Row],[Planned maintenance]])/Cons_Unit_Costs[[#This Row],[Closing social housing units managed]],"")</f>
        <v>0.88908794788273615</v>
      </c>
      <c r="L6" s="156">
        <v>8051</v>
      </c>
      <c r="M6" s="156">
        <v>2867</v>
      </c>
      <c r="N6" s="157">
        <f>IF(Cons_Unit_Costs[[#This Row],[Closing social housing units managed]]&gt;0,(Cons_Unit_Costs[[#This Row],[Major repairs expenditure]]+Cons_Unit_Costs[[#This Row],[Capitalised major repairs expenditure for period]])/Cons_Unit_Costs[[#This Row],[Closing social housing units managed]],"")</f>
        <v>0.38916938110749183</v>
      </c>
      <c r="O6" s="156">
        <v>0</v>
      </c>
      <c r="P6" s="156">
        <v>4779</v>
      </c>
      <c r="Q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0.15903908794788274</v>
      </c>
      <c r="R6" s="156">
        <v>0</v>
      </c>
      <c r="S6" s="156">
        <v>1345</v>
      </c>
      <c r="T6" s="156">
        <v>608</v>
      </c>
      <c r="U6" s="156">
        <v>0</v>
      </c>
      <c r="V6" s="156">
        <v>0</v>
      </c>
      <c r="W6" s="158">
        <v>5.3080287641782194E-2</v>
      </c>
      <c r="X6" s="158">
        <v>0.11883757135443695</v>
      </c>
      <c r="Y6" s="156" t="s">
        <v>1256</v>
      </c>
      <c r="Z6" s="159"/>
      <c r="AA6" s="156" t="s">
        <v>1279</v>
      </c>
      <c r="AB6" s="156" t="s">
        <v>1260</v>
      </c>
      <c r="AC6" s="157">
        <v>0.91573656503743528</v>
      </c>
    </row>
    <row r="7" spans="1:29" x14ac:dyDescent="0.2">
      <c r="A7" s="153" t="s">
        <v>216</v>
      </c>
      <c r="B7" s="153" t="s">
        <v>217</v>
      </c>
      <c r="C7" s="154" t="s">
        <v>200</v>
      </c>
      <c r="D7" s="155">
        <v>5688</v>
      </c>
      <c r="E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16028</v>
      </c>
      <c r="F7" s="157">
        <f>IF(Cons_Unit_Costs[[#This Row],[Closing social housing units managed]]&gt;0,Cons_Unit_Costs[[#This Row],[Headline Social Housing Cost]]/Cons_Unit_Costs[[#This Row],[Closing social housing units managed]],"")</f>
        <v>2.8178621659634318</v>
      </c>
      <c r="G7" s="157">
        <f>IF(Cons_Unit_Costs[[#This Row],[Closing social housing units managed]]&gt;0,Cons_Unit_Costs[[#This Row],[Management]]/Cons_Unit_Costs[[#This Row],[Closing social housing units managed]],"")</f>
        <v>0.42264416315049225</v>
      </c>
      <c r="H7" s="156">
        <v>2404</v>
      </c>
      <c r="I7" s="157">
        <f>IF(Cons_Unit_Costs[[#This Row],[Closing social housing units managed]]&gt;0,Cons_Unit_Costs[[#This Row],[Service charge costs]]/Cons_Unit_Costs[[#This Row],[Closing social housing units managed]],"")</f>
        <v>0.12324191279887482</v>
      </c>
      <c r="J7" s="156">
        <v>701</v>
      </c>
      <c r="K7" s="157">
        <f>IF(Cons_Unit_Costs[[#This Row],[Closing social housing units managed]]&gt;0,(Cons_Unit_Costs[[#This Row],[Routine maintenance]]+Cons_Unit_Costs[[#This Row],[Planned maintenance]])/Cons_Unit_Costs[[#This Row],[Closing social housing units managed]],"")</f>
        <v>0.85232067510548526</v>
      </c>
      <c r="L7" s="156">
        <v>3939</v>
      </c>
      <c r="M7" s="156">
        <v>909</v>
      </c>
      <c r="N7" s="157">
        <f>IF(Cons_Unit_Costs[[#This Row],[Closing social housing units managed]]&gt;0,(Cons_Unit_Costs[[#This Row],[Major repairs expenditure]]+Cons_Unit_Costs[[#This Row],[Capitalised major repairs expenditure for period]])/Cons_Unit_Costs[[#This Row],[Closing social housing units managed]],"")</f>
        <v>0.91156821378340369</v>
      </c>
      <c r="O7" s="156">
        <v>1251</v>
      </c>
      <c r="P7" s="156">
        <v>3934</v>
      </c>
      <c r="Q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0.5080872011251758</v>
      </c>
      <c r="R7" s="156">
        <v>2888</v>
      </c>
      <c r="S7" s="156">
        <v>0</v>
      </c>
      <c r="T7" s="156">
        <v>2</v>
      </c>
      <c r="U7" s="156">
        <v>0</v>
      </c>
      <c r="V7" s="156">
        <v>0</v>
      </c>
      <c r="W7" s="158">
        <v>2.4552788495264821E-3</v>
      </c>
      <c r="X7" s="158">
        <v>4.1213609259908801E-2</v>
      </c>
      <c r="Y7" s="156" t="s">
        <v>1257</v>
      </c>
      <c r="Z7" s="159">
        <v>36451</v>
      </c>
      <c r="AA7" s="156" t="s">
        <v>1268</v>
      </c>
      <c r="AB7" s="156" t="s">
        <v>1261</v>
      </c>
      <c r="AC7" s="157">
        <v>0.92753344968169527</v>
      </c>
    </row>
    <row r="8" spans="1:29" x14ac:dyDescent="0.2">
      <c r="A8" s="153" t="s">
        <v>219</v>
      </c>
      <c r="B8" s="153" t="s">
        <v>220</v>
      </c>
      <c r="C8" s="154" t="s">
        <v>200</v>
      </c>
      <c r="D8" s="155">
        <v>13325</v>
      </c>
      <c r="E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32566</v>
      </c>
      <c r="F8" s="157">
        <f>IF(Cons_Unit_Costs[[#This Row],[Closing social housing units managed]]&gt;0,Cons_Unit_Costs[[#This Row],[Headline Social Housing Cost]]/Cons_Unit_Costs[[#This Row],[Closing social housing units managed]],"")</f>
        <v>2.4439774859287056</v>
      </c>
      <c r="G8" s="157">
        <f>IF(Cons_Unit_Costs[[#This Row],[Closing social housing units managed]]&gt;0,Cons_Unit_Costs[[#This Row],[Management]]/Cons_Unit_Costs[[#This Row],[Closing social housing units managed]],"")</f>
        <v>0.50333958724202632</v>
      </c>
      <c r="H8" s="156">
        <v>6707</v>
      </c>
      <c r="I8" s="157">
        <f>IF(Cons_Unit_Costs[[#This Row],[Closing social housing units managed]]&gt;0,Cons_Unit_Costs[[#This Row],[Service charge costs]]/Cons_Unit_Costs[[#This Row],[Closing social housing units managed]],"")</f>
        <v>0.44315196998123829</v>
      </c>
      <c r="J8" s="156">
        <v>5905</v>
      </c>
      <c r="K8" s="157">
        <f>IF(Cons_Unit_Costs[[#This Row],[Closing social housing units managed]]&gt;0,(Cons_Unit_Costs[[#This Row],[Routine maintenance]]+Cons_Unit_Costs[[#This Row],[Planned maintenance]])/Cons_Unit_Costs[[#This Row],[Closing social housing units managed]],"")</f>
        <v>0.92472795497185745</v>
      </c>
      <c r="L8" s="156">
        <v>6536</v>
      </c>
      <c r="M8" s="156">
        <v>5786</v>
      </c>
      <c r="N8" s="157">
        <f>IF(Cons_Unit_Costs[[#This Row],[Closing social housing units managed]]&gt;0,(Cons_Unit_Costs[[#This Row],[Major repairs expenditure]]+Cons_Unit_Costs[[#This Row],[Capitalised major repairs expenditure for period]])/Cons_Unit_Costs[[#This Row],[Closing social housing units managed]],"")</f>
        <v>0.24420262664165104</v>
      </c>
      <c r="O8" s="156">
        <v>601</v>
      </c>
      <c r="P8" s="156">
        <v>2653</v>
      </c>
      <c r="Q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0.32855534709193246</v>
      </c>
      <c r="R8" s="156">
        <v>576</v>
      </c>
      <c r="S8" s="156">
        <v>0</v>
      </c>
      <c r="T8" s="156">
        <v>3802</v>
      </c>
      <c r="U8" s="156">
        <v>0</v>
      </c>
      <c r="V8" s="156">
        <v>0</v>
      </c>
      <c r="W8" s="158">
        <v>2.8419977008557924E-2</v>
      </c>
      <c r="X8" s="158">
        <v>0.12741090816196193</v>
      </c>
      <c r="Y8" s="156" t="s">
        <v>1258</v>
      </c>
      <c r="Z8" s="159">
        <v>39167</v>
      </c>
      <c r="AA8" s="156" t="s">
        <v>1280</v>
      </c>
      <c r="AB8" s="156" t="s">
        <v>1262</v>
      </c>
      <c r="AC8" s="157">
        <v>0.91567123973646525</v>
      </c>
    </row>
    <row r="9" spans="1:29" x14ac:dyDescent="0.2">
      <c r="A9" s="153" t="s">
        <v>221</v>
      </c>
      <c r="B9" s="153" t="s">
        <v>7</v>
      </c>
      <c r="C9" s="154" t="s">
        <v>200</v>
      </c>
      <c r="D9" s="155">
        <v>2287</v>
      </c>
      <c r="E9"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14387</v>
      </c>
      <c r="F9" s="157">
        <f>IF(Cons_Unit_Costs[[#This Row],[Closing social housing units managed]]&gt;0,Cons_Unit_Costs[[#This Row],[Headline Social Housing Cost]]/Cons_Unit_Costs[[#This Row],[Closing social housing units managed]],"")</f>
        <v>6.2907739396589415</v>
      </c>
      <c r="G9" s="157">
        <f>IF(Cons_Unit_Costs[[#This Row],[Closing social housing units managed]]&gt;0,Cons_Unit_Costs[[#This Row],[Management]]/Cons_Unit_Costs[[#This Row],[Closing social housing units managed]],"")</f>
        <v>1.2837778749453432</v>
      </c>
      <c r="H9" s="156">
        <v>2936</v>
      </c>
      <c r="I9" s="157">
        <f>IF(Cons_Unit_Costs[[#This Row],[Closing social housing units managed]]&gt;0,Cons_Unit_Costs[[#This Row],[Service charge costs]]/Cons_Unit_Costs[[#This Row],[Closing social housing units managed]],"")</f>
        <v>1.8019239177962396</v>
      </c>
      <c r="J9" s="156">
        <v>4121</v>
      </c>
      <c r="K9" s="157">
        <f>IF(Cons_Unit_Costs[[#This Row],[Closing social housing units managed]]&gt;0,(Cons_Unit_Costs[[#This Row],[Routine maintenance]]+Cons_Unit_Costs[[#This Row],[Planned maintenance]])/Cons_Unit_Costs[[#This Row],[Closing social housing units managed]],"")</f>
        <v>1.7131613467424573</v>
      </c>
      <c r="L9" s="156">
        <v>2113</v>
      </c>
      <c r="M9" s="156">
        <v>1805</v>
      </c>
      <c r="N9" s="157">
        <f>IF(Cons_Unit_Costs[[#This Row],[Closing social housing units managed]]&gt;0,(Cons_Unit_Costs[[#This Row],[Major repairs expenditure]]+Cons_Unit_Costs[[#This Row],[Capitalised major repairs expenditure for period]])/Cons_Unit_Costs[[#This Row],[Closing social housing units managed]],"")</f>
        <v>0.66375163970266726</v>
      </c>
      <c r="O9" s="156">
        <v>800</v>
      </c>
      <c r="P9" s="156">
        <v>718</v>
      </c>
      <c r="Q9"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0.82815916047223437</v>
      </c>
      <c r="R9" s="156">
        <v>1675</v>
      </c>
      <c r="S9" s="156">
        <v>0</v>
      </c>
      <c r="T9" s="156">
        <v>0</v>
      </c>
      <c r="U9" s="156">
        <v>219</v>
      </c>
      <c r="V9" s="156">
        <v>0</v>
      </c>
      <c r="W9" s="158">
        <v>0.67329299913569574</v>
      </c>
      <c r="X9" s="158">
        <v>4.7104580812445979E-2</v>
      </c>
      <c r="Y9" s="156" t="s">
        <v>1256</v>
      </c>
      <c r="Z9" s="159"/>
      <c r="AA9" s="156" t="s">
        <v>1279</v>
      </c>
      <c r="AB9" s="156" t="s">
        <v>1258</v>
      </c>
      <c r="AC9" s="157">
        <v>0.97120697974436754</v>
      </c>
    </row>
    <row r="10" spans="1:29" x14ac:dyDescent="0.2">
      <c r="A10" s="153" t="s">
        <v>224</v>
      </c>
      <c r="B10" s="153" t="s">
        <v>225</v>
      </c>
      <c r="C10" s="154" t="s">
        <v>200</v>
      </c>
      <c r="D10" s="155">
        <v>10125</v>
      </c>
      <c r="E10"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35207</v>
      </c>
      <c r="F10" s="157">
        <f>IF(Cons_Unit_Costs[[#This Row],[Closing social housing units managed]]&gt;0,Cons_Unit_Costs[[#This Row],[Headline Social Housing Cost]]/Cons_Unit_Costs[[#This Row],[Closing social housing units managed]],"")</f>
        <v>3.4772345679012346</v>
      </c>
      <c r="G10" s="157">
        <f>IF(Cons_Unit_Costs[[#This Row],[Closing social housing units managed]]&gt;0,Cons_Unit_Costs[[#This Row],[Management]]/Cons_Unit_Costs[[#This Row],[Closing social housing units managed]],"")</f>
        <v>1.1199012345679011</v>
      </c>
      <c r="H10" s="156">
        <v>11339</v>
      </c>
      <c r="I10" s="157">
        <f>IF(Cons_Unit_Costs[[#This Row],[Closing social housing units managed]]&gt;0,Cons_Unit_Costs[[#This Row],[Service charge costs]]/Cons_Unit_Costs[[#This Row],[Closing social housing units managed]],"")</f>
        <v>0.4705185185185185</v>
      </c>
      <c r="J10" s="156">
        <v>4764</v>
      </c>
      <c r="K10" s="157">
        <f>IF(Cons_Unit_Costs[[#This Row],[Closing social housing units managed]]&gt;0,(Cons_Unit_Costs[[#This Row],[Routine maintenance]]+Cons_Unit_Costs[[#This Row],[Planned maintenance]])/Cons_Unit_Costs[[#This Row],[Closing social housing units managed]],"")</f>
        <v>0.7857777777777778</v>
      </c>
      <c r="L10" s="156">
        <v>5190</v>
      </c>
      <c r="M10" s="156">
        <v>2766</v>
      </c>
      <c r="N10" s="157">
        <f>IF(Cons_Unit_Costs[[#This Row],[Closing social housing units managed]]&gt;0,(Cons_Unit_Costs[[#This Row],[Major repairs expenditure]]+Cons_Unit_Costs[[#This Row],[Capitalised major repairs expenditure for period]])/Cons_Unit_Costs[[#This Row],[Closing social housing units managed]],"")</f>
        <v>0.71911111111111115</v>
      </c>
      <c r="O10" s="156">
        <v>1161</v>
      </c>
      <c r="P10" s="156">
        <v>6120</v>
      </c>
      <c r="Q10"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0.38192592592592595</v>
      </c>
      <c r="R10" s="156">
        <v>1712</v>
      </c>
      <c r="S10" s="156">
        <v>1656</v>
      </c>
      <c r="T10" s="156">
        <v>499</v>
      </c>
      <c r="U10" s="156">
        <v>0</v>
      </c>
      <c r="V10" s="156">
        <v>0</v>
      </c>
      <c r="W10" s="158">
        <v>8.6425002657595409E-2</v>
      </c>
      <c r="X10" s="158">
        <v>5.2514085255660675E-2</v>
      </c>
      <c r="Y10" s="156" t="s">
        <v>1256</v>
      </c>
      <c r="Z10" s="159"/>
      <c r="AA10" s="156" t="s">
        <v>1279</v>
      </c>
      <c r="AB10" s="156" t="s">
        <v>1263</v>
      </c>
      <c r="AC10" s="157">
        <v>1.0031588968597271</v>
      </c>
    </row>
    <row r="11" spans="1:29" x14ac:dyDescent="0.2">
      <c r="A11" s="153" t="s">
        <v>227</v>
      </c>
      <c r="B11" s="153" t="s">
        <v>228</v>
      </c>
      <c r="C11" s="154" t="s">
        <v>200</v>
      </c>
      <c r="D11" s="155">
        <v>26990</v>
      </c>
      <c r="E11"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100229</v>
      </c>
      <c r="F11" s="157">
        <f>IF(Cons_Unit_Costs[[#This Row],[Closing social housing units managed]]&gt;0,Cons_Unit_Costs[[#This Row],[Headline Social Housing Cost]]/Cons_Unit_Costs[[#This Row],[Closing social housing units managed]],"")</f>
        <v>3.7135605779918488</v>
      </c>
      <c r="G11" s="157">
        <f>IF(Cons_Unit_Costs[[#This Row],[Closing social housing units managed]]&gt;0,Cons_Unit_Costs[[#This Row],[Management]]/Cons_Unit_Costs[[#This Row],[Closing social housing units managed]],"")</f>
        <v>0.95972582437939979</v>
      </c>
      <c r="H11" s="156">
        <v>25903</v>
      </c>
      <c r="I11" s="157">
        <f>IF(Cons_Unit_Costs[[#This Row],[Closing social housing units managed]]&gt;0,Cons_Unit_Costs[[#This Row],[Service charge costs]]/Cons_Unit_Costs[[#This Row],[Closing social housing units managed]],"")</f>
        <v>0.45398295665061134</v>
      </c>
      <c r="J11" s="156">
        <v>12253</v>
      </c>
      <c r="K11" s="157">
        <f>IF(Cons_Unit_Costs[[#This Row],[Closing social housing units managed]]&gt;0,(Cons_Unit_Costs[[#This Row],[Routine maintenance]]+Cons_Unit_Costs[[#This Row],[Planned maintenance]])/Cons_Unit_Costs[[#This Row],[Closing social housing units managed]],"")</f>
        <v>1.4692478695813265</v>
      </c>
      <c r="L11" s="156">
        <v>18339</v>
      </c>
      <c r="M11" s="156">
        <v>21316</v>
      </c>
      <c r="N11" s="157">
        <f>IF(Cons_Unit_Costs[[#This Row],[Closing social housing units managed]]&gt;0,(Cons_Unit_Costs[[#This Row],[Major repairs expenditure]]+Cons_Unit_Costs[[#This Row],[Capitalised major repairs expenditure for period]])/Cons_Unit_Costs[[#This Row],[Closing social housing units managed]],"")</f>
        <v>0.77528714338643945</v>
      </c>
      <c r="O11" s="156">
        <v>4187</v>
      </c>
      <c r="P11" s="156">
        <v>16738</v>
      </c>
      <c r="Q11"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5.5316783994071882E-2</v>
      </c>
      <c r="R11" s="156">
        <v>620</v>
      </c>
      <c r="S11" s="156">
        <v>76</v>
      </c>
      <c r="T11" s="156">
        <v>0</v>
      </c>
      <c r="U11" s="156">
        <v>496</v>
      </c>
      <c r="V11" s="156">
        <v>301</v>
      </c>
      <c r="W11" s="158">
        <v>2.2426017262638719E-2</v>
      </c>
      <c r="X11" s="158">
        <v>5.0400739827373614E-2</v>
      </c>
      <c r="Y11" s="156" t="s">
        <v>1258</v>
      </c>
      <c r="Z11" s="159">
        <v>32960</v>
      </c>
      <c r="AA11" s="156" t="s">
        <v>1268</v>
      </c>
      <c r="AB11" s="156" t="s">
        <v>1259</v>
      </c>
      <c r="AC11" s="157">
        <v>1.0995902619289517</v>
      </c>
    </row>
    <row r="12" spans="1:29" x14ac:dyDescent="0.2">
      <c r="A12" s="153" t="s">
        <v>230</v>
      </c>
      <c r="B12" s="153" t="s">
        <v>231</v>
      </c>
      <c r="C12" s="154" t="s">
        <v>200</v>
      </c>
      <c r="D12" s="155">
        <v>28470</v>
      </c>
      <c r="E12"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298054</v>
      </c>
      <c r="F12" s="157">
        <f>IF(Cons_Unit_Costs[[#This Row],[Closing social housing units managed]]&gt;0,Cons_Unit_Costs[[#This Row],[Headline Social Housing Cost]]/Cons_Unit_Costs[[#This Row],[Closing social housing units managed]],"")</f>
        <v>10.469055145767474</v>
      </c>
      <c r="G12" s="157">
        <f>IF(Cons_Unit_Costs[[#This Row],[Closing social housing units managed]]&gt;0,Cons_Unit_Costs[[#This Row],[Management]]/Cons_Unit_Costs[[#This Row],[Closing social housing units managed]],"")</f>
        <v>1.671619248331577</v>
      </c>
      <c r="H12" s="156">
        <v>47591</v>
      </c>
      <c r="I12" s="157">
        <f>IF(Cons_Unit_Costs[[#This Row],[Closing social housing units managed]]&gt;0,Cons_Unit_Costs[[#This Row],[Service charge costs]]/Cons_Unit_Costs[[#This Row],[Closing social housing units managed]],"")</f>
        <v>6.1203020723568669</v>
      </c>
      <c r="J12" s="156">
        <v>174245</v>
      </c>
      <c r="K12" s="157">
        <f>IF(Cons_Unit_Costs[[#This Row],[Closing social housing units managed]]&gt;0,(Cons_Unit_Costs[[#This Row],[Routine maintenance]]+Cons_Unit_Costs[[#This Row],[Planned maintenance]])/Cons_Unit_Costs[[#This Row],[Closing social housing units managed]],"")</f>
        <v>0.95117667720407451</v>
      </c>
      <c r="L12" s="156">
        <v>13649</v>
      </c>
      <c r="M12" s="156">
        <v>13431</v>
      </c>
      <c r="N12" s="157">
        <f>IF(Cons_Unit_Costs[[#This Row],[Closing social housing units managed]]&gt;0,(Cons_Unit_Costs[[#This Row],[Major repairs expenditure]]+Cons_Unit_Costs[[#This Row],[Capitalised major repairs expenditure for period]])/Cons_Unit_Costs[[#This Row],[Closing social housing units managed]],"")</f>
        <v>1.3680716543730242</v>
      </c>
      <c r="O12" s="156">
        <v>0</v>
      </c>
      <c r="P12" s="156">
        <v>38949</v>
      </c>
      <c r="Q12"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0.35788549350193188</v>
      </c>
      <c r="R12" s="156">
        <v>8113</v>
      </c>
      <c r="S12" s="156">
        <v>0</v>
      </c>
      <c r="T12" s="156">
        <v>2076</v>
      </c>
      <c r="U12" s="156">
        <v>0</v>
      </c>
      <c r="V12" s="156">
        <v>0</v>
      </c>
      <c r="W12" s="158">
        <v>1.1012811570794023E-4</v>
      </c>
      <c r="X12" s="158">
        <v>0.96094122829558382</v>
      </c>
      <c r="Y12" s="156" t="s">
        <v>1256</v>
      </c>
      <c r="Z12" s="159"/>
      <c r="AA12" s="156" t="s">
        <v>1279</v>
      </c>
      <c r="AB12" s="156" t="s">
        <v>1258</v>
      </c>
      <c r="AC12" s="157">
        <v>0.96783852261691372</v>
      </c>
    </row>
    <row r="13" spans="1:29" x14ac:dyDescent="0.2">
      <c r="A13" s="153" t="s">
        <v>10</v>
      </c>
      <c r="B13" s="153" t="s">
        <v>9</v>
      </c>
      <c r="C13" s="154" t="s">
        <v>200</v>
      </c>
      <c r="D13" s="155">
        <v>1051</v>
      </c>
      <c r="E13"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2988</v>
      </c>
      <c r="F13" s="157">
        <f>IF(Cons_Unit_Costs[[#This Row],[Closing social housing units managed]]&gt;0,Cons_Unit_Costs[[#This Row],[Headline Social Housing Cost]]/Cons_Unit_Costs[[#This Row],[Closing social housing units managed]],"")</f>
        <v>2.8430066603235016</v>
      </c>
      <c r="G13" s="157">
        <f>IF(Cons_Unit_Costs[[#This Row],[Closing social housing units managed]]&gt;0,Cons_Unit_Costs[[#This Row],[Management]]/Cons_Unit_Costs[[#This Row],[Closing social housing units managed]],"")</f>
        <v>0.73929590865842054</v>
      </c>
      <c r="H13" s="156">
        <v>777</v>
      </c>
      <c r="I13" s="157">
        <f>IF(Cons_Unit_Costs[[#This Row],[Closing social housing units managed]]&gt;0,Cons_Unit_Costs[[#This Row],[Service charge costs]]/Cons_Unit_Costs[[#This Row],[Closing social housing units managed]],"")</f>
        <v>0.39676498572787822</v>
      </c>
      <c r="J13" s="156">
        <v>417</v>
      </c>
      <c r="K13" s="157">
        <f>IF(Cons_Unit_Costs[[#This Row],[Closing social housing units managed]]&gt;0,(Cons_Unit_Costs[[#This Row],[Routine maintenance]]+Cons_Unit_Costs[[#This Row],[Planned maintenance]])/Cons_Unit_Costs[[#This Row],[Closing social housing units managed]],"")</f>
        <v>1</v>
      </c>
      <c r="L13" s="156">
        <v>914</v>
      </c>
      <c r="M13" s="156">
        <v>137</v>
      </c>
      <c r="N13" s="157">
        <f>IF(Cons_Unit_Costs[[#This Row],[Closing social housing units managed]]&gt;0,(Cons_Unit_Costs[[#This Row],[Major repairs expenditure]]+Cons_Unit_Costs[[#This Row],[Capitalised major repairs expenditure for period]])/Cons_Unit_Costs[[#This Row],[Closing social housing units managed]],"")</f>
        <v>0.63939105613701241</v>
      </c>
      <c r="O13" s="156">
        <v>381</v>
      </c>
      <c r="P13" s="156">
        <v>291</v>
      </c>
      <c r="Q13"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6.7554709800190293E-2</v>
      </c>
      <c r="R13" s="156">
        <v>0</v>
      </c>
      <c r="S13" s="156">
        <v>31</v>
      </c>
      <c r="T13" s="156">
        <v>40</v>
      </c>
      <c r="U13" s="156">
        <v>0</v>
      </c>
      <c r="V13" s="156">
        <v>0</v>
      </c>
      <c r="W13" s="158">
        <v>0</v>
      </c>
      <c r="X13" s="158">
        <v>0.14093959731543623</v>
      </c>
      <c r="Y13" s="156" t="s">
        <v>1256</v>
      </c>
      <c r="Z13" s="159"/>
      <c r="AA13" s="156" t="s">
        <v>1279</v>
      </c>
      <c r="AB13" s="156" t="s">
        <v>1262</v>
      </c>
      <c r="AC13" s="157">
        <v>0.9156653862445665</v>
      </c>
    </row>
    <row r="14" spans="1:29" x14ac:dyDescent="0.2">
      <c r="A14" s="153" t="s">
        <v>12</v>
      </c>
      <c r="B14" s="153" t="s">
        <v>11</v>
      </c>
      <c r="C14" s="154" t="s">
        <v>200</v>
      </c>
      <c r="D14" s="155">
        <v>1156</v>
      </c>
      <c r="E1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2739</v>
      </c>
      <c r="F14" s="157">
        <f>IF(Cons_Unit_Costs[[#This Row],[Closing social housing units managed]]&gt;0,Cons_Unit_Costs[[#This Row],[Headline Social Housing Cost]]/Cons_Unit_Costs[[#This Row],[Closing social housing units managed]],"")</f>
        <v>2.3693771626297577</v>
      </c>
      <c r="G14" s="157">
        <f>IF(Cons_Unit_Costs[[#This Row],[Closing social housing units managed]]&gt;0,Cons_Unit_Costs[[#This Row],[Management]]/Cons_Unit_Costs[[#This Row],[Closing social housing units managed]],"")</f>
        <v>0.70415224913494812</v>
      </c>
      <c r="H14" s="156">
        <v>814</v>
      </c>
      <c r="I14" s="157">
        <f>IF(Cons_Unit_Costs[[#This Row],[Closing social housing units managed]]&gt;0,Cons_Unit_Costs[[#This Row],[Service charge costs]]/Cons_Unit_Costs[[#This Row],[Closing social housing units managed]],"")</f>
        <v>3.8927335640138408E-2</v>
      </c>
      <c r="J14" s="156">
        <v>45</v>
      </c>
      <c r="K14" s="157">
        <f>IF(Cons_Unit_Costs[[#This Row],[Closing social housing units managed]]&gt;0,(Cons_Unit_Costs[[#This Row],[Routine maintenance]]+Cons_Unit_Costs[[#This Row],[Planned maintenance]])/Cons_Unit_Costs[[#This Row],[Closing social housing units managed]],"")</f>
        <v>0.98702422145328716</v>
      </c>
      <c r="L14" s="156">
        <v>879</v>
      </c>
      <c r="M14" s="156">
        <v>262</v>
      </c>
      <c r="N14" s="157">
        <f>IF(Cons_Unit_Costs[[#This Row],[Closing social housing units managed]]&gt;0,(Cons_Unit_Costs[[#This Row],[Major repairs expenditure]]+Cons_Unit_Costs[[#This Row],[Capitalised major repairs expenditure for period]])/Cons_Unit_Costs[[#This Row],[Closing social housing units managed]],"")</f>
        <v>0.60380622837370246</v>
      </c>
      <c r="O14" s="156">
        <v>0</v>
      </c>
      <c r="P14" s="156">
        <v>698</v>
      </c>
      <c r="Q1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3.5467128027681663E-2</v>
      </c>
      <c r="R14" s="156">
        <v>0</v>
      </c>
      <c r="S14" s="156">
        <v>0</v>
      </c>
      <c r="T14" s="156">
        <v>41</v>
      </c>
      <c r="U14" s="156">
        <v>0</v>
      </c>
      <c r="V14" s="156">
        <v>0</v>
      </c>
      <c r="W14" s="158">
        <v>4.1739130434782612E-2</v>
      </c>
      <c r="X14" s="158">
        <v>0</v>
      </c>
      <c r="Y14" s="156" t="s">
        <v>1256</v>
      </c>
      <c r="Z14" s="159"/>
      <c r="AA14" s="156" t="s">
        <v>1279</v>
      </c>
      <c r="AB14" s="156" t="s">
        <v>1264</v>
      </c>
      <c r="AC14" s="157">
        <v>0.94807909763407583</v>
      </c>
    </row>
    <row r="15" spans="1:29" x14ac:dyDescent="0.2">
      <c r="A15" s="153" t="s">
        <v>235</v>
      </c>
      <c r="B15" s="153" t="s">
        <v>236</v>
      </c>
      <c r="C15" s="154" t="s">
        <v>200</v>
      </c>
      <c r="D15" s="155">
        <v>1184</v>
      </c>
      <c r="E1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3169</v>
      </c>
      <c r="F15" s="157">
        <f>IF(Cons_Unit_Costs[[#This Row],[Closing social housing units managed]]&gt;0,Cons_Unit_Costs[[#This Row],[Headline Social Housing Cost]]/Cons_Unit_Costs[[#This Row],[Closing social housing units managed]],"")</f>
        <v>2.6765202702702702</v>
      </c>
      <c r="G15" s="157">
        <f>IF(Cons_Unit_Costs[[#This Row],[Closing social housing units managed]]&gt;0,Cons_Unit_Costs[[#This Row],[Management]]/Cons_Unit_Costs[[#This Row],[Closing social housing units managed]],"")</f>
        <v>0.88766891891891897</v>
      </c>
      <c r="H15" s="156">
        <v>1051</v>
      </c>
      <c r="I15" s="157">
        <f>IF(Cons_Unit_Costs[[#This Row],[Closing social housing units managed]]&gt;0,Cons_Unit_Costs[[#This Row],[Service charge costs]]/Cons_Unit_Costs[[#This Row],[Closing social housing units managed]],"")</f>
        <v>0.1875</v>
      </c>
      <c r="J15" s="156">
        <v>222</v>
      </c>
      <c r="K15" s="157">
        <f>IF(Cons_Unit_Costs[[#This Row],[Closing social housing units managed]]&gt;0,(Cons_Unit_Costs[[#This Row],[Routine maintenance]]+Cons_Unit_Costs[[#This Row],[Planned maintenance]])/Cons_Unit_Costs[[#This Row],[Closing social housing units managed]],"")</f>
        <v>0.86317567567567566</v>
      </c>
      <c r="L15" s="156">
        <v>814</v>
      </c>
      <c r="M15" s="156">
        <v>208</v>
      </c>
      <c r="N15" s="157">
        <f>IF(Cons_Unit_Costs[[#This Row],[Closing social housing units managed]]&gt;0,(Cons_Unit_Costs[[#This Row],[Major repairs expenditure]]+Cons_Unit_Costs[[#This Row],[Capitalised major repairs expenditure for period]])/Cons_Unit_Costs[[#This Row],[Closing social housing units managed]],"")</f>
        <v>0.63260135135135132</v>
      </c>
      <c r="O15" s="156">
        <v>304</v>
      </c>
      <c r="P15" s="156">
        <v>445</v>
      </c>
      <c r="Q1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0.10557432432432433</v>
      </c>
      <c r="R15" s="156">
        <v>125</v>
      </c>
      <c r="S15" s="156">
        <v>0</v>
      </c>
      <c r="T15" s="156">
        <v>0</v>
      </c>
      <c r="U15" s="156">
        <v>0</v>
      </c>
      <c r="V15" s="156">
        <v>0</v>
      </c>
      <c r="W15" s="158">
        <v>0</v>
      </c>
      <c r="X15" s="158">
        <v>0</v>
      </c>
      <c r="Y15" s="156" t="s">
        <v>1256</v>
      </c>
      <c r="Z15" s="159"/>
      <c r="AA15" s="156" t="s">
        <v>1279</v>
      </c>
      <c r="AB15" s="156" t="s">
        <v>1262</v>
      </c>
      <c r="AC15" s="157">
        <v>0.91576515799226244</v>
      </c>
    </row>
    <row r="16" spans="1:29" x14ac:dyDescent="0.2">
      <c r="A16" s="153" t="s">
        <v>240</v>
      </c>
      <c r="B16" s="153" t="s">
        <v>241</v>
      </c>
      <c r="C16" s="154" t="s">
        <v>200</v>
      </c>
      <c r="D16" s="155">
        <v>9329</v>
      </c>
      <c r="E1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22237</v>
      </c>
      <c r="F16" s="157">
        <f>IF(Cons_Unit_Costs[[#This Row],[Closing social housing units managed]]&gt;0,Cons_Unit_Costs[[#This Row],[Headline Social Housing Cost]]/Cons_Unit_Costs[[#This Row],[Closing social housing units managed]],"")</f>
        <v>2.3836424054025085</v>
      </c>
      <c r="G16" s="157">
        <f>IF(Cons_Unit_Costs[[#This Row],[Closing social housing units managed]]&gt;0,Cons_Unit_Costs[[#This Row],[Management]]/Cons_Unit_Costs[[#This Row],[Closing social housing units managed]],"")</f>
        <v>0.57701790116839957</v>
      </c>
      <c r="H16" s="156">
        <v>5383</v>
      </c>
      <c r="I16" s="157">
        <f>IF(Cons_Unit_Costs[[#This Row],[Closing social housing units managed]]&gt;0,Cons_Unit_Costs[[#This Row],[Service charge costs]]/Cons_Unit_Costs[[#This Row],[Closing social housing units managed]],"")</f>
        <v>0.28952728052310001</v>
      </c>
      <c r="J16" s="156">
        <v>2701</v>
      </c>
      <c r="K16" s="157">
        <f>IF(Cons_Unit_Costs[[#This Row],[Closing social housing units managed]]&gt;0,(Cons_Unit_Costs[[#This Row],[Routine maintenance]]+Cons_Unit_Costs[[#This Row],[Planned maintenance]])/Cons_Unit_Costs[[#This Row],[Closing social housing units managed]],"")</f>
        <v>1.0016078893772109</v>
      </c>
      <c r="L16" s="156">
        <v>4578</v>
      </c>
      <c r="M16" s="156">
        <v>4766</v>
      </c>
      <c r="N16" s="157">
        <f>IF(Cons_Unit_Costs[[#This Row],[Closing social housing units managed]]&gt;0,(Cons_Unit_Costs[[#This Row],[Major repairs expenditure]]+Cons_Unit_Costs[[#This Row],[Capitalised major repairs expenditure for period]])/Cons_Unit_Costs[[#This Row],[Closing social housing units managed]],"")</f>
        <v>0.40390181155536498</v>
      </c>
      <c r="O16" s="156">
        <v>0</v>
      </c>
      <c r="P16" s="156">
        <v>3768</v>
      </c>
      <c r="Q1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0.11158752277843284</v>
      </c>
      <c r="R16" s="156">
        <v>0</v>
      </c>
      <c r="S16" s="156">
        <v>0</v>
      </c>
      <c r="T16" s="156">
        <v>1041</v>
      </c>
      <c r="U16" s="156">
        <v>0</v>
      </c>
      <c r="V16" s="156">
        <v>0</v>
      </c>
      <c r="W16" s="158">
        <v>0</v>
      </c>
      <c r="X16" s="158">
        <v>6.8724456872445688E-2</v>
      </c>
      <c r="Y16" s="156" t="s">
        <v>1257</v>
      </c>
      <c r="Z16" s="159">
        <v>36556</v>
      </c>
      <c r="AA16" s="156" t="s">
        <v>1268</v>
      </c>
      <c r="AB16" s="156" t="s">
        <v>1260</v>
      </c>
      <c r="AC16" s="157">
        <v>0.91571465866526813</v>
      </c>
    </row>
    <row r="17" spans="1:29" x14ac:dyDescent="0.2">
      <c r="A17" s="153" t="s">
        <v>245</v>
      </c>
      <c r="B17" s="153" t="s">
        <v>246</v>
      </c>
      <c r="C17" s="154" t="s">
        <v>200</v>
      </c>
      <c r="D17" s="155">
        <v>13627</v>
      </c>
      <c r="E1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50227</v>
      </c>
      <c r="F17" s="157">
        <f>IF(Cons_Unit_Costs[[#This Row],[Closing social housing units managed]]&gt;0,Cons_Unit_Costs[[#This Row],[Headline Social Housing Cost]]/Cons_Unit_Costs[[#This Row],[Closing social housing units managed]],"")</f>
        <v>3.6858442797387538</v>
      </c>
      <c r="G17" s="157">
        <f>IF(Cons_Unit_Costs[[#This Row],[Closing social housing units managed]]&gt;0,Cons_Unit_Costs[[#This Row],[Management]]/Cons_Unit_Costs[[#This Row],[Closing social housing units managed]],"")</f>
        <v>1.1803771923387392</v>
      </c>
      <c r="H17" s="156">
        <v>16085</v>
      </c>
      <c r="I17" s="157">
        <f>IF(Cons_Unit_Costs[[#This Row],[Closing social housing units managed]]&gt;0,Cons_Unit_Costs[[#This Row],[Service charge costs]]/Cons_Unit_Costs[[#This Row],[Closing social housing units managed]],"")</f>
        <v>0.49233140089528143</v>
      </c>
      <c r="J17" s="156">
        <v>6709</v>
      </c>
      <c r="K17" s="157">
        <f>IF(Cons_Unit_Costs[[#This Row],[Closing social housing units managed]]&gt;0,(Cons_Unit_Costs[[#This Row],[Routine maintenance]]+Cons_Unit_Costs[[#This Row],[Planned maintenance]])/Cons_Unit_Costs[[#This Row],[Closing social housing units managed]],"")</f>
        <v>0.89718940339032804</v>
      </c>
      <c r="L17" s="156">
        <v>9281</v>
      </c>
      <c r="M17" s="156">
        <v>2945</v>
      </c>
      <c r="N17" s="157">
        <f>IF(Cons_Unit_Costs[[#This Row],[Closing social housing units managed]]&gt;0,(Cons_Unit_Costs[[#This Row],[Major repairs expenditure]]+Cons_Unit_Costs[[#This Row],[Capitalised major repairs expenditure for period]])/Cons_Unit_Costs[[#This Row],[Closing social housing units managed]],"")</f>
        <v>0.81162398180083661</v>
      </c>
      <c r="O17" s="156">
        <v>348</v>
      </c>
      <c r="P17" s="156">
        <v>10712</v>
      </c>
      <c r="Q1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0.30432230131356863</v>
      </c>
      <c r="R17" s="156">
        <v>0</v>
      </c>
      <c r="S17" s="156">
        <v>0</v>
      </c>
      <c r="T17" s="156">
        <v>3730</v>
      </c>
      <c r="U17" s="156">
        <v>417</v>
      </c>
      <c r="V17" s="156">
        <v>0</v>
      </c>
      <c r="W17" s="158">
        <v>4.872280037842952E-2</v>
      </c>
      <c r="X17" s="158">
        <v>0.14224895256115691</v>
      </c>
      <c r="Y17" s="156" t="s">
        <v>1256</v>
      </c>
      <c r="Z17" s="159"/>
      <c r="AA17" s="156" t="s">
        <v>1279</v>
      </c>
      <c r="AB17" s="156" t="s">
        <v>1261</v>
      </c>
      <c r="AC17" s="157">
        <v>1.0132078536188025</v>
      </c>
    </row>
    <row r="18" spans="1:29" x14ac:dyDescent="0.2">
      <c r="A18" s="153" t="s">
        <v>249</v>
      </c>
      <c r="B18" s="153" t="s">
        <v>250</v>
      </c>
      <c r="C18" s="154" t="s">
        <v>200</v>
      </c>
      <c r="D18" s="155">
        <v>29005</v>
      </c>
      <c r="E1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91504</v>
      </c>
      <c r="F18" s="157">
        <f>IF(Cons_Unit_Costs[[#This Row],[Closing social housing units managed]]&gt;0,Cons_Unit_Costs[[#This Row],[Headline Social Housing Cost]]/Cons_Unit_Costs[[#This Row],[Closing social housing units managed]],"")</f>
        <v>3.1547664195828307</v>
      </c>
      <c r="G18" s="157">
        <f>IF(Cons_Unit_Costs[[#This Row],[Closing social housing units managed]]&gt;0,Cons_Unit_Costs[[#This Row],[Management]]/Cons_Unit_Costs[[#This Row],[Closing social housing units managed]],"")</f>
        <v>0.82385795552490948</v>
      </c>
      <c r="H18" s="156">
        <v>23896</v>
      </c>
      <c r="I18" s="157">
        <f>IF(Cons_Unit_Costs[[#This Row],[Closing social housing units managed]]&gt;0,Cons_Unit_Costs[[#This Row],[Service charge costs]]/Cons_Unit_Costs[[#This Row],[Closing social housing units managed]],"")</f>
        <v>0.30987760730908465</v>
      </c>
      <c r="J18" s="156">
        <v>8988</v>
      </c>
      <c r="K18" s="157">
        <f>IF(Cons_Unit_Costs[[#This Row],[Closing social housing units managed]]&gt;0,(Cons_Unit_Costs[[#This Row],[Routine maintenance]]+Cons_Unit_Costs[[#This Row],[Planned maintenance]])/Cons_Unit_Costs[[#This Row],[Closing social housing units managed]],"")</f>
        <v>0.66795380106878122</v>
      </c>
      <c r="L18" s="156">
        <v>12503</v>
      </c>
      <c r="M18" s="156">
        <v>6871</v>
      </c>
      <c r="N18" s="157">
        <f>IF(Cons_Unit_Costs[[#This Row],[Closing social housing units managed]]&gt;0,(Cons_Unit_Costs[[#This Row],[Major repairs expenditure]]+Cons_Unit_Costs[[#This Row],[Capitalised major repairs expenditure for period]])/Cons_Unit_Costs[[#This Row],[Closing social housing units managed]],"")</f>
        <v>0.88977762454749176</v>
      </c>
      <c r="O18" s="156">
        <v>13788</v>
      </c>
      <c r="P18" s="156">
        <v>12020</v>
      </c>
      <c r="Q1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0.46329943113256333</v>
      </c>
      <c r="R18" s="156">
        <v>0</v>
      </c>
      <c r="S18" s="156">
        <v>3601</v>
      </c>
      <c r="T18" s="156">
        <v>9368</v>
      </c>
      <c r="U18" s="156">
        <v>0</v>
      </c>
      <c r="V18" s="156">
        <v>469</v>
      </c>
      <c r="W18" s="158">
        <v>4.0971807744970681E-2</v>
      </c>
      <c r="X18" s="158">
        <v>9.1598497349296065E-2</v>
      </c>
      <c r="Y18" s="156" t="s">
        <v>1257</v>
      </c>
      <c r="Z18" s="159">
        <v>36612</v>
      </c>
      <c r="AA18" s="156" t="s">
        <v>1268</v>
      </c>
      <c r="AB18" s="156" t="s">
        <v>1265</v>
      </c>
      <c r="AC18" s="157">
        <v>0.97634672080189833</v>
      </c>
    </row>
    <row r="19" spans="1:29" x14ac:dyDescent="0.2">
      <c r="A19" s="153" t="s">
        <v>14</v>
      </c>
      <c r="B19" s="153" t="s">
        <v>13</v>
      </c>
      <c r="C19" s="154" t="s">
        <v>200</v>
      </c>
      <c r="D19" s="155">
        <v>2268</v>
      </c>
      <c r="E19"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10377</v>
      </c>
      <c r="F19" s="157">
        <f>IF(Cons_Unit_Costs[[#This Row],[Closing social housing units managed]]&gt;0,Cons_Unit_Costs[[#This Row],[Headline Social Housing Cost]]/Cons_Unit_Costs[[#This Row],[Closing social housing units managed]],"")</f>
        <v>4.5753968253968251</v>
      </c>
      <c r="G19" s="157">
        <f>IF(Cons_Unit_Costs[[#This Row],[Closing social housing units managed]]&gt;0,Cons_Unit_Costs[[#This Row],[Management]]/Cons_Unit_Costs[[#This Row],[Closing social housing units managed]],"")</f>
        <v>0.66578483245149911</v>
      </c>
      <c r="H19" s="156">
        <v>1510</v>
      </c>
      <c r="I19" s="157">
        <f>IF(Cons_Unit_Costs[[#This Row],[Closing social housing units managed]]&gt;0,Cons_Unit_Costs[[#This Row],[Service charge costs]]/Cons_Unit_Costs[[#This Row],[Closing social housing units managed]],"")</f>
        <v>1.8104056437389771</v>
      </c>
      <c r="J19" s="156">
        <v>4106</v>
      </c>
      <c r="K19" s="157">
        <f>IF(Cons_Unit_Costs[[#This Row],[Closing social housing units managed]]&gt;0,(Cons_Unit_Costs[[#This Row],[Routine maintenance]]+Cons_Unit_Costs[[#This Row],[Planned maintenance]])/Cons_Unit_Costs[[#This Row],[Closing social housing units managed]],"")</f>
        <v>0.8928571428571429</v>
      </c>
      <c r="L19" s="156">
        <v>992</v>
      </c>
      <c r="M19" s="156">
        <v>1033</v>
      </c>
      <c r="N19" s="157">
        <f>IF(Cons_Unit_Costs[[#This Row],[Closing social housing units managed]]&gt;0,(Cons_Unit_Costs[[#This Row],[Major repairs expenditure]]+Cons_Unit_Costs[[#This Row],[Capitalised major repairs expenditure for period]])/Cons_Unit_Costs[[#This Row],[Closing social housing units managed]],"")</f>
        <v>0.58862433862433861</v>
      </c>
      <c r="O19" s="156">
        <v>254</v>
      </c>
      <c r="P19" s="156">
        <v>1081</v>
      </c>
      <c r="Q19"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0.61772486772486768</v>
      </c>
      <c r="R19" s="156">
        <v>0</v>
      </c>
      <c r="S19" s="156">
        <v>1401</v>
      </c>
      <c r="T19" s="156">
        <v>0</v>
      </c>
      <c r="U19" s="156">
        <v>0</v>
      </c>
      <c r="V19" s="156">
        <v>0</v>
      </c>
      <c r="W19" s="158">
        <v>0.11732851985559567</v>
      </c>
      <c r="X19" s="158">
        <v>0.23104693140794225</v>
      </c>
      <c r="Y19" s="156" t="s">
        <v>1256</v>
      </c>
      <c r="Z19" s="159"/>
      <c r="AA19" s="156" t="s">
        <v>1279</v>
      </c>
      <c r="AB19" s="156" t="s">
        <v>1263</v>
      </c>
      <c r="AC19" s="157">
        <v>0.9935960888839328</v>
      </c>
    </row>
    <row r="20" spans="1:29" x14ac:dyDescent="0.2">
      <c r="A20" s="153" t="s">
        <v>16</v>
      </c>
      <c r="B20" s="153" t="s">
        <v>15</v>
      </c>
      <c r="C20" s="154" t="s">
        <v>200</v>
      </c>
      <c r="D20" s="155">
        <v>4568</v>
      </c>
      <c r="E20"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12490</v>
      </c>
      <c r="F20" s="157">
        <f>IF(Cons_Unit_Costs[[#This Row],[Closing social housing units managed]]&gt;0,Cons_Unit_Costs[[#This Row],[Headline Social Housing Cost]]/Cons_Unit_Costs[[#This Row],[Closing social housing units managed]],"")</f>
        <v>2.7342381786339756</v>
      </c>
      <c r="G20" s="157">
        <f>IF(Cons_Unit_Costs[[#This Row],[Closing social housing units managed]]&gt;0,Cons_Unit_Costs[[#This Row],[Management]]/Cons_Unit_Costs[[#This Row],[Closing social housing units managed]],"")</f>
        <v>1.0181698774080561</v>
      </c>
      <c r="H20" s="156">
        <v>4651</v>
      </c>
      <c r="I20" s="157">
        <f>IF(Cons_Unit_Costs[[#This Row],[Closing social housing units managed]]&gt;0,Cons_Unit_Costs[[#This Row],[Service charge costs]]/Cons_Unit_Costs[[#This Row],[Closing social housing units managed]],"")</f>
        <v>0.59654115586690015</v>
      </c>
      <c r="J20" s="156">
        <v>2725</v>
      </c>
      <c r="K20" s="157">
        <f>IF(Cons_Unit_Costs[[#This Row],[Closing social housing units managed]]&gt;0,(Cons_Unit_Costs[[#This Row],[Routine maintenance]]+Cons_Unit_Costs[[#This Row],[Planned maintenance]])/Cons_Unit_Costs[[#This Row],[Closing social housing units managed]],"")</f>
        <v>0.67075306479859897</v>
      </c>
      <c r="L20" s="156">
        <v>1905</v>
      </c>
      <c r="M20" s="156">
        <v>1159</v>
      </c>
      <c r="N20" s="157">
        <f>IF(Cons_Unit_Costs[[#This Row],[Closing social housing units managed]]&gt;0,(Cons_Unit_Costs[[#This Row],[Major repairs expenditure]]+Cons_Unit_Costs[[#This Row],[Capitalised major repairs expenditure for period]])/Cons_Unit_Costs[[#This Row],[Closing social housing units managed]],"")</f>
        <v>0.40433450087565675</v>
      </c>
      <c r="O20" s="156">
        <v>0</v>
      </c>
      <c r="P20" s="156">
        <v>1847</v>
      </c>
      <c r="Q20"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4.4439579684763572E-2</v>
      </c>
      <c r="R20" s="156">
        <v>117</v>
      </c>
      <c r="S20" s="156">
        <v>86</v>
      </c>
      <c r="T20" s="156">
        <v>0</v>
      </c>
      <c r="U20" s="156">
        <v>0</v>
      </c>
      <c r="V20" s="156">
        <v>0</v>
      </c>
      <c r="W20" s="158">
        <v>0</v>
      </c>
      <c r="X20" s="158">
        <v>8.2943317732709312E-2</v>
      </c>
      <c r="Y20" s="156" t="s">
        <v>1257</v>
      </c>
      <c r="Z20" s="159">
        <v>38740</v>
      </c>
      <c r="AA20" s="156" t="s">
        <v>1280</v>
      </c>
      <c r="AB20" s="156" t="s">
        <v>1263</v>
      </c>
      <c r="AC20" s="157">
        <v>1.0022399874355168</v>
      </c>
    </row>
    <row r="21" spans="1:29" x14ac:dyDescent="0.2">
      <c r="A21" s="153" t="s">
        <v>251</v>
      </c>
      <c r="B21" s="153" t="s">
        <v>252</v>
      </c>
      <c r="C21" s="154" t="s">
        <v>200</v>
      </c>
      <c r="D21" s="155">
        <v>13335</v>
      </c>
      <c r="E21"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49612</v>
      </c>
      <c r="F21" s="157">
        <f>IF(Cons_Unit_Costs[[#This Row],[Closing social housing units managed]]&gt;0,Cons_Unit_Costs[[#This Row],[Headline Social Housing Cost]]/Cons_Unit_Costs[[#This Row],[Closing social housing units managed]],"")</f>
        <v>3.720434945631796</v>
      </c>
      <c r="G21" s="157">
        <f>IF(Cons_Unit_Costs[[#This Row],[Closing social housing units managed]]&gt;0,Cons_Unit_Costs[[#This Row],[Management]]/Cons_Unit_Costs[[#This Row],[Closing social housing units managed]],"")</f>
        <v>0.61454818147731538</v>
      </c>
      <c r="H21" s="156">
        <v>8195</v>
      </c>
      <c r="I21" s="157">
        <f>IF(Cons_Unit_Costs[[#This Row],[Closing social housing units managed]]&gt;0,Cons_Unit_Costs[[#This Row],[Service charge costs]]/Cons_Unit_Costs[[#This Row],[Closing social housing units managed]],"")</f>
        <v>0.42384701912260969</v>
      </c>
      <c r="J21" s="156">
        <v>5652</v>
      </c>
      <c r="K21" s="157">
        <f>IF(Cons_Unit_Costs[[#This Row],[Closing social housing units managed]]&gt;0,(Cons_Unit_Costs[[#This Row],[Routine maintenance]]+Cons_Unit_Costs[[#This Row],[Planned maintenance]])/Cons_Unit_Costs[[#This Row],[Closing social housing units managed]],"")</f>
        <v>1.0938132733408323</v>
      </c>
      <c r="L21" s="156">
        <v>10945</v>
      </c>
      <c r="M21" s="156">
        <v>3641</v>
      </c>
      <c r="N21" s="157">
        <f>IF(Cons_Unit_Costs[[#This Row],[Closing social housing units managed]]&gt;0,(Cons_Unit_Costs[[#This Row],[Major repairs expenditure]]+Cons_Unit_Costs[[#This Row],[Capitalised major repairs expenditure for period]])/Cons_Unit_Costs[[#This Row],[Closing social housing units managed]],"")</f>
        <v>1.28286464191976</v>
      </c>
      <c r="O21" s="156">
        <v>5621</v>
      </c>
      <c r="P21" s="156">
        <v>11486</v>
      </c>
      <c r="Q21"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0.30536182977127857</v>
      </c>
      <c r="R21" s="156">
        <v>3295</v>
      </c>
      <c r="S21" s="156">
        <v>0</v>
      </c>
      <c r="T21" s="156">
        <v>-78</v>
      </c>
      <c r="U21" s="156">
        <v>855</v>
      </c>
      <c r="V21" s="156">
        <v>0</v>
      </c>
      <c r="W21" s="158">
        <v>3.2427695004382119E-2</v>
      </c>
      <c r="X21" s="158">
        <v>0.21757230499561789</v>
      </c>
      <c r="Y21" s="156" t="s">
        <v>1258</v>
      </c>
      <c r="Z21" s="159">
        <v>39503</v>
      </c>
      <c r="AA21" s="156" t="s">
        <v>1280</v>
      </c>
      <c r="AB21" s="156" t="s">
        <v>1266</v>
      </c>
      <c r="AC21" s="157">
        <v>0.9026647648742484</v>
      </c>
    </row>
    <row r="22" spans="1:29" x14ac:dyDescent="0.2">
      <c r="A22" s="153" t="s">
        <v>21</v>
      </c>
      <c r="B22" s="153" t="s">
        <v>19</v>
      </c>
      <c r="C22" s="154" t="s">
        <v>200</v>
      </c>
      <c r="D22" s="155">
        <v>1968</v>
      </c>
      <c r="E22"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6489</v>
      </c>
      <c r="F22" s="157">
        <f>IF(Cons_Unit_Costs[[#This Row],[Closing social housing units managed]]&gt;0,Cons_Unit_Costs[[#This Row],[Headline Social Housing Cost]]/Cons_Unit_Costs[[#This Row],[Closing social housing units managed]],"")</f>
        <v>3.2972560975609757</v>
      </c>
      <c r="G22" s="157">
        <f>IF(Cons_Unit_Costs[[#This Row],[Closing social housing units managed]]&gt;0,Cons_Unit_Costs[[#This Row],[Management]]/Cons_Unit_Costs[[#This Row],[Closing social housing units managed]],"")</f>
        <v>1.252540650406504</v>
      </c>
      <c r="H22" s="156">
        <v>2465</v>
      </c>
      <c r="I22" s="157">
        <f>IF(Cons_Unit_Costs[[#This Row],[Closing social housing units managed]]&gt;0,Cons_Unit_Costs[[#This Row],[Service charge costs]]/Cons_Unit_Costs[[#This Row],[Closing social housing units managed]],"")</f>
        <v>0.55995934959349591</v>
      </c>
      <c r="J22" s="156">
        <v>1102</v>
      </c>
      <c r="K22" s="157">
        <f>IF(Cons_Unit_Costs[[#This Row],[Closing social housing units managed]]&gt;0,(Cons_Unit_Costs[[#This Row],[Routine maintenance]]+Cons_Unit_Costs[[#This Row],[Planned maintenance]])/Cons_Unit_Costs[[#This Row],[Closing social housing units managed]],"")</f>
        <v>1.1143292682926829</v>
      </c>
      <c r="L22" s="156">
        <v>1873</v>
      </c>
      <c r="M22" s="156">
        <v>320</v>
      </c>
      <c r="N22" s="157">
        <f>IF(Cons_Unit_Costs[[#This Row],[Closing social housing units managed]]&gt;0,(Cons_Unit_Costs[[#This Row],[Major repairs expenditure]]+Cons_Unit_Costs[[#This Row],[Capitalised major repairs expenditure for period]])/Cons_Unit_Costs[[#This Row],[Closing social housing units managed]],"")</f>
        <v>0.32977642276422764</v>
      </c>
      <c r="O22" s="156">
        <v>0</v>
      </c>
      <c r="P22" s="156">
        <v>649</v>
      </c>
      <c r="Q22"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4.065040650406504E-2</v>
      </c>
      <c r="R22" s="156">
        <v>0</v>
      </c>
      <c r="S22" s="156">
        <v>80</v>
      </c>
      <c r="T22" s="156">
        <v>0</v>
      </c>
      <c r="U22" s="156">
        <v>0</v>
      </c>
      <c r="V22" s="156">
        <v>0</v>
      </c>
      <c r="W22" s="158">
        <v>4.2333019755409221E-2</v>
      </c>
      <c r="X22" s="158">
        <v>0.15333960489181561</v>
      </c>
      <c r="Y22" s="156" t="s">
        <v>1256</v>
      </c>
      <c r="Z22" s="159"/>
      <c r="AA22" s="156" t="s">
        <v>1279</v>
      </c>
      <c r="AB22" s="156" t="s">
        <v>1260</v>
      </c>
      <c r="AC22" s="157">
        <v>0.91571558169387279</v>
      </c>
    </row>
    <row r="23" spans="1:29" x14ac:dyDescent="0.2">
      <c r="A23" s="153" t="s">
        <v>257</v>
      </c>
      <c r="B23" s="153" t="s">
        <v>256</v>
      </c>
      <c r="C23" s="154" t="s">
        <v>200</v>
      </c>
      <c r="D23" s="155">
        <v>17846</v>
      </c>
      <c r="E23"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71104</v>
      </c>
      <c r="F23" s="157">
        <f>IF(Cons_Unit_Costs[[#This Row],[Closing social housing units managed]]&gt;0,Cons_Unit_Costs[[#This Row],[Headline Social Housing Cost]]/Cons_Unit_Costs[[#This Row],[Closing social housing units managed]],"")</f>
        <v>3.9843102095707721</v>
      </c>
      <c r="G23" s="157">
        <f>IF(Cons_Unit_Costs[[#This Row],[Closing social housing units managed]]&gt;0,Cons_Unit_Costs[[#This Row],[Management]]/Cons_Unit_Costs[[#This Row],[Closing social housing units managed]],"")</f>
        <v>1.5475176510142328</v>
      </c>
      <c r="H23" s="156">
        <v>27617</v>
      </c>
      <c r="I23" s="157">
        <f>IF(Cons_Unit_Costs[[#This Row],[Closing social housing units managed]]&gt;0,Cons_Unit_Costs[[#This Row],[Service charge costs]]/Cons_Unit_Costs[[#This Row],[Closing social housing units managed]],"")</f>
        <v>0.21713549254734954</v>
      </c>
      <c r="J23" s="156">
        <v>3875</v>
      </c>
      <c r="K23" s="157">
        <f>IF(Cons_Unit_Costs[[#This Row],[Closing social housing units managed]]&gt;0,(Cons_Unit_Costs[[#This Row],[Routine maintenance]]+Cons_Unit_Costs[[#This Row],[Planned maintenance]])/Cons_Unit_Costs[[#This Row],[Closing social housing units managed]],"")</f>
        <v>1.2628600246553849</v>
      </c>
      <c r="L23" s="156">
        <v>15244</v>
      </c>
      <c r="M23" s="156">
        <v>7293</v>
      </c>
      <c r="N23" s="157">
        <f>IF(Cons_Unit_Costs[[#This Row],[Closing social housing units managed]]&gt;0,(Cons_Unit_Costs[[#This Row],[Major repairs expenditure]]+Cons_Unit_Costs[[#This Row],[Capitalised major repairs expenditure for period]])/Cons_Unit_Costs[[#This Row],[Closing social housing units managed]],"")</f>
        <v>0.64003137958085843</v>
      </c>
      <c r="O23" s="156">
        <v>0</v>
      </c>
      <c r="P23" s="156">
        <v>11422</v>
      </c>
      <c r="Q23"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0.31676566177294629</v>
      </c>
      <c r="R23" s="156">
        <v>0</v>
      </c>
      <c r="S23" s="156">
        <v>2331</v>
      </c>
      <c r="T23" s="156">
        <v>3322</v>
      </c>
      <c r="U23" s="156">
        <v>0</v>
      </c>
      <c r="V23" s="156">
        <v>0</v>
      </c>
      <c r="W23" s="158">
        <v>6.658832745789268E-3</v>
      </c>
      <c r="X23" s="158">
        <v>0.14291309943483857</v>
      </c>
      <c r="Y23" s="156" t="s">
        <v>1257</v>
      </c>
      <c r="Z23" s="159">
        <v>40630</v>
      </c>
      <c r="AA23" s="156" t="s">
        <v>1269</v>
      </c>
      <c r="AB23" s="156" t="s">
        <v>1262</v>
      </c>
      <c r="AC23" s="157">
        <v>0.9156653862445665</v>
      </c>
    </row>
    <row r="24" spans="1:29" x14ac:dyDescent="0.2">
      <c r="A24" s="153" t="s">
        <v>258</v>
      </c>
      <c r="B24" s="153" t="s">
        <v>22</v>
      </c>
      <c r="C24" s="154" t="s">
        <v>200</v>
      </c>
      <c r="D24" s="155">
        <v>4749</v>
      </c>
      <c r="E2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15314</v>
      </c>
      <c r="F24" s="157">
        <f>IF(Cons_Unit_Costs[[#This Row],[Closing social housing units managed]]&gt;0,Cons_Unit_Costs[[#This Row],[Headline Social Housing Cost]]/Cons_Unit_Costs[[#This Row],[Closing social housing units managed]],"")</f>
        <v>3.224678879764161</v>
      </c>
      <c r="G24" s="157">
        <f>IF(Cons_Unit_Costs[[#This Row],[Closing social housing units managed]]&gt;0,Cons_Unit_Costs[[#This Row],[Management]]/Cons_Unit_Costs[[#This Row],[Closing social housing units managed]],"")</f>
        <v>1.114971572962729</v>
      </c>
      <c r="H24" s="156">
        <v>5295</v>
      </c>
      <c r="I24" s="157">
        <f>IF(Cons_Unit_Costs[[#This Row],[Closing social housing units managed]]&gt;0,Cons_Unit_Costs[[#This Row],[Service charge costs]]/Cons_Unit_Costs[[#This Row],[Closing social housing units managed]],"")</f>
        <v>0.3710254790482207</v>
      </c>
      <c r="J24" s="156">
        <v>1762</v>
      </c>
      <c r="K24" s="157">
        <f>IF(Cons_Unit_Costs[[#This Row],[Closing social housing units managed]]&gt;0,(Cons_Unit_Costs[[#This Row],[Routine maintenance]]+Cons_Unit_Costs[[#This Row],[Planned maintenance]])/Cons_Unit_Costs[[#This Row],[Closing social housing units managed]],"")</f>
        <v>0.74289324068224893</v>
      </c>
      <c r="L24" s="156">
        <v>2104</v>
      </c>
      <c r="M24" s="156">
        <v>1424</v>
      </c>
      <c r="N24" s="157">
        <f>IF(Cons_Unit_Costs[[#This Row],[Closing social housing units managed]]&gt;0,(Cons_Unit_Costs[[#This Row],[Major repairs expenditure]]+Cons_Unit_Costs[[#This Row],[Capitalised major repairs expenditure for period]])/Cons_Unit_Costs[[#This Row],[Closing social housing units managed]],"")</f>
        <v>0.983575489576753</v>
      </c>
      <c r="O24" s="156">
        <v>579</v>
      </c>
      <c r="P24" s="156">
        <v>4092</v>
      </c>
      <c r="Q2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1.2213097494209308E-2</v>
      </c>
      <c r="R24" s="156">
        <v>0</v>
      </c>
      <c r="S24" s="156">
        <v>58</v>
      </c>
      <c r="T24" s="156">
        <v>0</v>
      </c>
      <c r="U24" s="156">
        <v>0</v>
      </c>
      <c r="V24" s="156">
        <v>0</v>
      </c>
      <c r="W24" s="158">
        <v>4.3431053203040176E-3</v>
      </c>
      <c r="X24" s="158">
        <v>0.1986970684039088</v>
      </c>
      <c r="Y24" s="156" t="s">
        <v>1257</v>
      </c>
      <c r="Z24" s="159">
        <v>36493</v>
      </c>
      <c r="AA24" s="156" t="s">
        <v>1268</v>
      </c>
      <c r="AB24" s="156" t="s">
        <v>1261</v>
      </c>
      <c r="AC24" s="157">
        <v>0.92038375847935372</v>
      </c>
    </row>
    <row r="25" spans="1:29" x14ac:dyDescent="0.2">
      <c r="A25" s="153" t="s">
        <v>259</v>
      </c>
      <c r="B25" s="153" t="s">
        <v>260</v>
      </c>
      <c r="C25" s="154" t="s">
        <v>200</v>
      </c>
      <c r="D25" s="155">
        <v>1632</v>
      </c>
      <c r="E2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16709</v>
      </c>
      <c r="F25" s="157">
        <f>IF(Cons_Unit_Costs[[#This Row],[Closing social housing units managed]]&gt;0,Cons_Unit_Costs[[#This Row],[Headline Social Housing Cost]]/Cons_Unit_Costs[[#This Row],[Closing social housing units managed]],"")</f>
        <v>10.238357843137255</v>
      </c>
      <c r="G25" s="157">
        <f>IF(Cons_Unit_Costs[[#This Row],[Closing social housing units managed]]&gt;0,Cons_Unit_Costs[[#This Row],[Management]]/Cons_Unit_Costs[[#This Row],[Closing social housing units managed]],"")</f>
        <v>0.91053921568627449</v>
      </c>
      <c r="H25" s="156">
        <v>1486</v>
      </c>
      <c r="I25" s="157">
        <f>IF(Cons_Unit_Costs[[#This Row],[Closing social housing units managed]]&gt;0,Cons_Unit_Costs[[#This Row],[Service charge costs]]/Cons_Unit_Costs[[#This Row],[Closing social housing units managed]],"")</f>
        <v>2.5900735294117645</v>
      </c>
      <c r="J25" s="156">
        <v>4227</v>
      </c>
      <c r="K25" s="157">
        <f>IF(Cons_Unit_Costs[[#This Row],[Closing social housing units managed]]&gt;0,(Cons_Unit_Costs[[#This Row],[Routine maintenance]]+Cons_Unit_Costs[[#This Row],[Planned maintenance]])/Cons_Unit_Costs[[#This Row],[Closing social housing units managed]],"")</f>
        <v>1.1776960784313726</v>
      </c>
      <c r="L25" s="156">
        <v>1922</v>
      </c>
      <c r="M25" s="156">
        <v>0</v>
      </c>
      <c r="N25" s="157">
        <f>IF(Cons_Unit_Costs[[#This Row],[Closing social housing units managed]]&gt;0,(Cons_Unit_Costs[[#This Row],[Major repairs expenditure]]+Cons_Unit_Costs[[#This Row],[Capitalised major repairs expenditure for period]])/Cons_Unit_Costs[[#This Row],[Closing social housing units managed]],"")</f>
        <v>0.56066176470588236</v>
      </c>
      <c r="O25" s="156">
        <v>653</v>
      </c>
      <c r="P25" s="156">
        <v>262</v>
      </c>
      <c r="Q2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4.9993872549019605</v>
      </c>
      <c r="R25" s="156">
        <v>4005</v>
      </c>
      <c r="S25" s="156">
        <v>4154</v>
      </c>
      <c r="T25" s="156">
        <v>0</v>
      </c>
      <c r="U25" s="156">
        <v>0</v>
      </c>
      <c r="V25" s="156">
        <v>0</v>
      </c>
      <c r="W25" s="158">
        <v>0.375</v>
      </c>
      <c r="X25" s="158">
        <v>8.3333333333333329E-2</v>
      </c>
      <c r="Y25" s="156" t="s">
        <v>1256</v>
      </c>
      <c r="Z25" s="159"/>
      <c r="AA25" s="156" t="s">
        <v>1279</v>
      </c>
      <c r="AB25" s="156" t="s">
        <v>1265</v>
      </c>
      <c r="AC25" s="157">
        <v>0.96743818640145196</v>
      </c>
    </row>
    <row r="26" spans="1:29" x14ac:dyDescent="0.2">
      <c r="A26" s="153" t="s">
        <v>26</v>
      </c>
      <c r="B26" s="153" t="s">
        <v>24</v>
      </c>
      <c r="C26" s="154" t="s">
        <v>201</v>
      </c>
      <c r="D26" s="155">
        <v>3939</v>
      </c>
      <c r="E2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15124</v>
      </c>
      <c r="F26" s="157">
        <f>IF(Cons_Unit_Costs[[#This Row],[Closing social housing units managed]]&gt;0,Cons_Unit_Costs[[#This Row],[Headline Social Housing Cost]]/Cons_Unit_Costs[[#This Row],[Closing social housing units managed]],"")</f>
        <v>3.8395531860878394</v>
      </c>
      <c r="G26" s="157">
        <f>IF(Cons_Unit_Costs[[#This Row],[Closing social housing units managed]]&gt;0,Cons_Unit_Costs[[#This Row],[Management]]/Cons_Unit_Costs[[#This Row],[Closing social housing units managed]],"")</f>
        <v>0.83955318608783958</v>
      </c>
      <c r="H26" s="156">
        <v>3307</v>
      </c>
      <c r="I26" s="157">
        <f>IF(Cons_Unit_Costs[[#This Row],[Closing social housing units managed]]&gt;0,Cons_Unit_Costs[[#This Row],[Service charge costs]]/Cons_Unit_Costs[[#This Row],[Closing social housing units managed]],"")</f>
        <v>0.77557755775577553</v>
      </c>
      <c r="J26" s="156">
        <v>3055</v>
      </c>
      <c r="K26" s="157">
        <f>IF(Cons_Unit_Costs[[#This Row],[Closing social housing units managed]]&gt;0,(Cons_Unit_Costs[[#This Row],[Routine maintenance]]+Cons_Unit_Costs[[#This Row],[Planned maintenance]])/Cons_Unit_Costs[[#This Row],[Closing social housing units managed]],"")</f>
        <v>1.1766945925361767</v>
      </c>
      <c r="L26" s="156">
        <v>3367</v>
      </c>
      <c r="M26" s="156">
        <v>1268</v>
      </c>
      <c r="N26" s="157">
        <f>IF(Cons_Unit_Costs[[#This Row],[Closing social housing units managed]]&gt;0,(Cons_Unit_Costs[[#This Row],[Major repairs expenditure]]+Cons_Unit_Costs[[#This Row],[Capitalised major repairs expenditure for period]])/Cons_Unit_Costs[[#This Row],[Closing social housing units managed]],"")</f>
        <v>0.91647626301091645</v>
      </c>
      <c r="O26" s="156">
        <v>1290</v>
      </c>
      <c r="P26" s="156">
        <v>2320</v>
      </c>
      <c r="Q2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0.13125158669713125</v>
      </c>
      <c r="R26" s="156">
        <v>49</v>
      </c>
      <c r="S26" s="156">
        <v>0</v>
      </c>
      <c r="T26" s="156">
        <v>468</v>
      </c>
      <c r="U26" s="156">
        <v>0</v>
      </c>
      <c r="V26" s="156">
        <v>0</v>
      </c>
      <c r="W26" s="158">
        <v>2.1087160262417996E-3</v>
      </c>
      <c r="X26" s="158">
        <v>8.7863167760074981E-2</v>
      </c>
      <c r="Y26" s="156" t="s">
        <v>1256</v>
      </c>
      <c r="Z26" s="159"/>
      <c r="AA26" s="156" t="s">
        <v>1279</v>
      </c>
      <c r="AB26" s="156" t="s">
        <v>1260</v>
      </c>
      <c r="AC26" s="157">
        <v>0.91571558169387268</v>
      </c>
    </row>
    <row r="27" spans="1:29" x14ac:dyDescent="0.2">
      <c r="A27" s="153" t="s">
        <v>262</v>
      </c>
      <c r="B27" s="153" t="s">
        <v>263</v>
      </c>
      <c r="C27" s="154" t="s">
        <v>200</v>
      </c>
      <c r="D27" s="155">
        <v>14622</v>
      </c>
      <c r="E2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44304</v>
      </c>
      <c r="F27" s="157">
        <f>IF(Cons_Unit_Costs[[#This Row],[Closing social housing units managed]]&gt;0,Cons_Unit_Costs[[#This Row],[Headline Social Housing Cost]]/Cons_Unit_Costs[[#This Row],[Closing social housing units managed]],"")</f>
        <v>3.029954862535905</v>
      </c>
      <c r="G27" s="157">
        <f>IF(Cons_Unit_Costs[[#This Row],[Closing social housing units managed]]&gt;0,Cons_Unit_Costs[[#This Row],[Management]]/Cons_Unit_Costs[[#This Row],[Closing social housing units managed]],"")</f>
        <v>1.0599781151689236</v>
      </c>
      <c r="H27" s="156">
        <v>15499</v>
      </c>
      <c r="I27" s="157">
        <f>IF(Cons_Unit_Costs[[#This Row],[Closing social housing units managed]]&gt;0,Cons_Unit_Costs[[#This Row],[Service charge costs]]/Cons_Unit_Costs[[#This Row],[Closing social housing units managed]],"")</f>
        <v>0.29948023526193407</v>
      </c>
      <c r="J27" s="156">
        <v>4379</v>
      </c>
      <c r="K27" s="157">
        <f>IF(Cons_Unit_Costs[[#This Row],[Closing social housing units managed]]&gt;0,(Cons_Unit_Costs[[#This Row],[Routine maintenance]]+Cons_Unit_Costs[[#This Row],[Planned maintenance]])/Cons_Unit_Costs[[#This Row],[Closing social housing units managed]],"")</f>
        <v>0.77814252496238545</v>
      </c>
      <c r="L27" s="156">
        <v>7386</v>
      </c>
      <c r="M27" s="156">
        <v>3992</v>
      </c>
      <c r="N27" s="157">
        <f>IF(Cons_Unit_Costs[[#This Row],[Closing social housing units managed]]&gt;0,(Cons_Unit_Costs[[#This Row],[Major repairs expenditure]]+Cons_Unit_Costs[[#This Row],[Capitalised major repairs expenditure for period]])/Cons_Unit_Costs[[#This Row],[Closing social housing units managed]],"")</f>
        <v>0.78511831486800709</v>
      </c>
      <c r="O27" s="156">
        <v>0</v>
      </c>
      <c r="P27" s="156">
        <v>11480</v>
      </c>
      <c r="Q2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0.10723567227465464</v>
      </c>
      <c r="R27" s="156">
        <v>0</v>
      </c>
      <c r="S27" s="156">
        <v>161</v>
      </c>
      <c r="T27" s="156">
        <v>1407</v>
      </c>
      <c r="U27" s="156">
        <v>0</v>
      </c>
      <c r="V27" s="156">
        <v>0</v>
      </c>
      <c r="W27" s="158">
        <v>1.2530680790595531E-2</v>
      </c>
      <c r="X27" s="158">
        <v>0.1203332902725746</v>
      </c>
      <c r="Y27" s="156" t="s">
        <v>1256</v>
      </c>
      <c r="Z27" s="159"/>
      <c r="AA27" s="156" t="s">
        <v>1279</v>
      </c>
      <c r="AB27" s="156" t="s">
        <v>1263</v>
      </c>
      <c r="AC27" s="157">
        <v>0.99696032632739351</v>
      </c>
    </row>
    <row r="28" spans="1:29" x14ac:dyDescent="0.2">
      <c r="A28" s="153" t="s">
        <v>265</v>
      </c>
      <c r="B28" s="153" t="s">
        <v>27</v>
      </c>
      <c r="C28" s="154" t="s">
        <v>200</v>
      </c>
      <c r="D28" s="155">
        <v>6174</v>
      </c>
      <c r="E2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20563</v>
      </c>
      <c r="F28" s="157">
        <f>IF(Cons_Unit_Costs[[#This Row],[Closing social housing units managed]]&gt;0,Cons_Unit_Costs[[#This Row],[Headline Social Housing Cost]]/Cons_Unit_Costs[[#This Row],[Closing social housing units managed]],"")</f>
        <v>3.3305798509880145</v>
      </c>
      <c r="G28" s="157">
        <f>IF(Cons_Unit_Costs[[#This Row],[Closing social housing units managed]]&gt;0,Cons_Unit_Costs[[#This Row],[Management]]/Cons_Unit_Costs[[#This Row],[Closing social housing units managed]],"")</f>
        <v>1.2563977972141238</v>
      </c>
      <c r="H28" s="156">
        <v>7757</v>
      </c>
      <c r="I28" s="157">
        <f>IF(Cons_Unit_Costs[[#This Row],[Closing social housing units managed]]&gt;0,Cons_Unit_Costs[[#This Row],[Service charge costs]]/Cons_Unit_Costs[[#This Row],[Closing social housing units managed]],"")</f>
        <v>0.37269193391642369</v>
      </c>
      <c r="J28" s="156">
        <v>2301</v>
      </c>
      <c r="K28" s="157">
        <f>IF(Cons_Unit_Costs[[#This Row],[Closing social housing units managed]]&gt;0,(Cons_Unit_Costs[[#This Row],[Routine maintenance]]+Cons_Unit_Costs[[#This Row],[Planned maintenance]])/Cons_Unit_Costs[[#This Row],[Closing social housing units managed]],"")</f>
        <v>0.69258179462261094</v>
      </c>
      <c r="L28" s="156">
        <v>3158</v>
      </c>
      <c r="M28" s="156">
        <v>1118</v>
      </c>
      <c r="N28" s="157">
        <f>IF(Cons_Unit_Costs[[#This Row],[Closing social housing units managed]]&gt;0,(Cons_Unit_Costs[[#This Row],[Major repairs expenditure]]+Cons_Unit_Costs[[#This Row],[Capitalised major repairs expenditure for period]])/Cons_Unit_Costs[[#This Row],[Closing social housing units managed]],"")</f>
        <v>0.88856494978943956</v>
      </c>
      <c r="O28" s="156">
        <v>2264</v>
      </c>
      <c r="P28" s="156">
        <v>3222</v>
      </c>
      <c r="Q2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0.12034337544541626</v>
      </c>
      <c r="R28" s="156">
        <v>0</v>
      </c>
      <c r="S28" s="156">
        <v>466</v>
      </c>
      <c r="T28" s="156">
        <v>277</v>
      </c>
      <c r="U28" s="156">
        <v>0</v>
      </c>
      <c r="V28" s="156">
        <v>0</v>
      </c>
      <c r="W28" s="158">
        <v>7.7220077220077222E-3</v>
      </c>
      <c r="X28" s="158">
        <v>6.3223938223938222E-2</v>
      </c>
      <c r="Y28" s="156" t="s">
        <v>1257</v>
      </c>
      <c r="Z28" s="159">
        <v>39489</v>
      </c>
      <c r="AA28" s="156" t="s">
        <v>1280</v>
      </c>
      <c r="AB28" s="156" t="s">
        <v>1259</v>
      </c>
      <c r="AC28" s="157">
        <v>1.0118524159776632</v>
      </c>
    </row>
    <row r="29" spans="1:29" x14ac:dyDescent="0.2">
      <c r="A29" s="153" t="s">
        <v>266</v>
      </c>
      <c r="B29" s="153" t="s">
        <v>267</v>
      </c>
      <c r="C29" s="154" t="s">
        <v>200</v>
      </c>
      <c r="D29" s="155">
        <v>6071</v>
      </c>
      <c r="E29"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19759</v>
      </c>
      <c r="F29" s="157">
        <f>IF(Cons_Unit_Costs[[#This Row],[Closing social housing units managed]]&gt;0,Cons_Unit_Costs[[#This Row],[Headline Social Housing Cost]]/Cons_Unit_Costs[[#This Row],[Closing social housing units managed]],"")</f>
        <v>3.2546532696425632</v>
      </c>
      <c r="G29" s="157">
        <f>IF(Cons_Unit_Costs[[#This Row],[Closing social housing units managed]]&gt;0,Cons_Unit_Costs[[#This Row],[Management]]/Cons_Unit_Costs[[#This Row],[Closing social housing units managed]],"")</f>
        <v>0.37572063910393677</v>
      </c>
      <c r="H29" s="156">
        <v>2281</v>
      </c>
      <c r="I29" s="157">
        <f>IF(Cons_Unit_Costs[[#This Row],[Closing social housing units managed]]&gt;0,Cons_Unit_Costs[[#This Row],[Service charge costs]]/Cons_Unit_Costs[[#This Row],[Closing social housing units managed]],"")</f>
        <v>0.36056662823258112</v>
      </c>
      <c r="J29" s="156">
        <v>2189</v>
      </c>
      <c r="K29" s="157">
        <f>IF(Cons_Unit_Costs[[#This Row],[Closing social housing units managed]]&gt;0,(Cons_Unit_Costs[[#This Row],[Routine maintenance]]+Cons_Unit_Costs[[#This Row],[Planned maintenance]])/Cons_Unit_Costs[[#This Row],[Closing social housing units managed]],"")</f>
        <v>0.8731675177071323</v>
      </c>
      <c r="L29" s="156">
        <v>4365</v>
      </c>
      <c r="M29" s="156">
        <v>936</v>
      </c>
      <c r="N29" s="157">
        <f>IF(Cons_Unit_Costs[[#This Row],[Closing social housing units managed]]&gt;0,(Cons_Unit_Costs[[#This Row],[Major repairs expenditure]]+Cons_Unit_Costs[[#This Row],[Capitalised major repairs expenditure for period]])/Cons_Unit_Costs[[#This Row],[Closing social housing units managed]],"")</f>
        <v>0.932630538626256</v>
      </c>
      <c r="O29" s="156">
        <v>2676</v>
      </c>
      <c r="P29" s="156">
        <v>2986</v>
      </c>
      <c r="Q29"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0.71256794597265694</v>
      </c>
      <c r="R29" s="156">
        <v>0</v>
      </c>
      <c r="S29" s="156">
        <v>1531</v>
      </c>
      <c r="T29" s="156">
        <v>276</v>
      </c>
      <c r="U29" s="156">
        <v>813</v>
      </c>
      <c r="V29" s="156">
        <v>1706</v>
      </c>
      <c r="W29" s="158">
        <v>5.6209150326797387E-2</v>
      </c>
      <c r="X29" s="158">
        <v>0</v>
      </c>
      <c r="Y29" s="156" t="s">
        <v>1257</v>
      </c>
      <c r="Z29" s="159">
        <v>34088</v>
      </c>
      <c r="AA29" s="156" t="s">
        <v>1268</v>
      </c>
      <c r="AB29" s="156" t="s">
        <v>1264</v>
      </c>
      <c r="AC29" s="157">
        <v>0.94773032743150842</v>
      </c>
    </row>
    <row r="30" spans="1:29" x14ac:dyDescent="0.2">
      <c r="A30" s="153" t="s">
        <v>269</v>
      </c>
      <c r="B30" s="153" t="s">
        <v>29</v>
      </c>
      <c r="C30" s="154" t="s">
        <v>200</v>
      </c>
      <c r="D30" s="155">
        <v>4915</v>
      </c>
      <c r="E30"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15070</v>
      </c>
      <c r="F30" s="157">
        <f>IF(Cons_Unit_Costs[[#This Row],[Closing social housing units managed]]&gt;0,Cons_Unit_Costs[[#This Row],[Headline Social Housing Cost]]/Cons_Unit_Costs[[#This Row],[Closing social housing units managed]],"")</f>
        <v>3.0661241098677516</v>
      </c>
      <c r="G30" s="157">
        <f>IF(Cons_Unit_Costs[[#This Row],[Closing social housing units managed]]&gt;0,Cons_Unit_Costs[[#This Row],[Management]]/Cons_Unit_Costs[[#This Row],[Closing social housing units managed]],"")</f>
        <v>0.92390640895218723</v>
      </c>
      <c r="H30" s="156">
        <v>4541</v>
      </c>
      <c r="I30" s="157">
        <f>IF(Cons_Unit_Costs[[#This Row],[Closing social housing units managed]]&gt;0,Cons_Unit_Costs[[#This Row],[Service charge costs]]/Cons_Unit_Costs[[#This Row],[Closing social housing units managed]],"")</f>
        <v>0.46449643947100711</v>
      </c>
      <c r="J30" s="156">
        <v>2283</v>
      </c>
      <c r="K30" s="157">
        <f>IF(Cons_Unit_Costs[[#This Row],[Closing social housing units managed]]&gt;0,(Cons_Unit_Costs[[#This Row],[Routine maintenance]]+Cons_Unit_Costs[[#This Row],[Planned maintenance]])/Cons_Unit_Costs[[#This Row],[Closing social housing units managed]],"")</f>
        <v>0.93489318413021361</v>
      </c>
      <c r="L30" s="156">
        <v>4423</v>
      </c>
      <c r="M30" s="156">
        <v>172</v>
      </c>
      <c r="N30" s="157">
        <f>IF(Cons_Unit_Costs[[#This Row],[Closing social housing units managed]]&gt;0,(Cons_Unit_Costs[[#This Row],[Major repairs expenditure]]+Cons_Unit_Costs[[#This Row],[Capitalised major repairs expenditure for period]])/Cons_Unit_Costs[[#This Row],[Closing social housing units managed]],"")</f>
        <v>0.63499491353001014</v>
      </c>
      <c r="O30" s="156">
        <v>1663</v>
      </c>
      <c r="P30" s="156">
        <v>1458</v>
      </c>
      <c r="Q30"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0.10783316378433368</v>
      </c>
      <c r="R30" s="156">
        <v>0</v>
      </c>
      <c r="S30" s="156">
        <v>295</v>
      </c>
      <c r="T30" s="156">
        <v>6</v>
      </c>
      <c r="U30" s="156">
        <v>229</v>
      </c>
      <c r="V30" s="156">
        <v>0</v>
      </c>
      <c r="W30" s="158">
        <v>2.6257767087592705E-2</v>
      </c>
      <c r="X30" s="158">
        <v>0.12407296051312888</v>
      </c>
      <c r="Y30" s="156" t="s">
        <v>1256</v>
      </c>
      <c r="Z30" s="159"/>
      <c r="AA30" s="156" t="s">
        <v>1279</v>
      </c>
      <c r="AB30" s="156" t="s">
        <v>1263</v>
      </c>
      <c r="AC30" s="157">
        <v>1.0022399874355168</v>
      </c>
    </row>
    <row r="31" spans="1:29" x14ac:dyDescent="0.2">
      <c r="A31" s="153" t="s">
        <v>274</v>
      </c>
      <c r="B31" s="153" t="s">
        <v>275</v>
      </c>
      <c r="C31" s="154" t="s">
        <v>868</v>
      </c>
      <c r="D31" s="155">
        <v>28759</v>
      </c>
      <c r="E31"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82570</v>
      </c>
      <c r="F31" s="157">
        <f>IF(Cons_Unit_Costs[[#This Row],[Closing social housing units managed]]&gt;0,Cons_Unit_Costs[[#This Row],[Headline Social Housing Cost]]/Cons_Unit_Costs[[#This Row],[Closing social housing units managed]],"")</f>
        <v>2.8711012204874997</v>
      </c>
      <c r="G31" s="157">
        <f>IF(Cons_Unit_Costs[[#This Row],[Closing social housing units managed]]&gt;0,Cons_Unit_Costs[[#This Row],[Management]]/Cons_Unit_Costs[[#This Row],[Closing social housing units managed]],"")</f>
        <v>0.71181195451858548</v>
      </c>
      <c r="H31" s="156">
        <v>20471</v>
      </c>
      <c r="I31" s="157">
        <f>IF(Cons_Unit_Costs[[#This Row],[Closing social housing units managed]]&gt;0,Cons_Unit_Costs[[#This Row],[Service charge costs]]/Cons_Unit_Costs[[#This Row],[Closing social housing units managed]],"")</f>
        <v>0.3652769567787475</v>
      </c>
      <c r="J31" s="156">
        <v>10505</v>
      </c>
      <c r="K31" s="157">
        <f>IF(Cons_Unit_Costs[[#This Row],[Closing social housing units managed]]&gt;0,(Cons_Unit_Costs[[#This Row],[Routine maintenance]]+Cons_Unit_Costs[[#This Row],[Planned maintenance]])/Cons_Unit_Costs[[#This Row],[Closing social housing units managed]],"")</f>
        <v>0.6895232796689732</v>
      </c>
      <c r="L31" s="156">
        <v>17442</v>
      </c>
      <c r="M31" s="156">
        <v>2388</v>
      </c>
      <c r="N31" s="157">
        <f>IF(Cons_Unit_Costs[[#This Row],[Closing social housing units managed]]&gt;0,(Cons_Unit_Costs[[#This Row],[Major repairs expenditure]]+Cons_Unit_Costs[[#This Row],[Capitalised major repairs expenditure for period]])/Cons_Unit_Costs[[#This Row],[Closing social housing units managed]],"")</f>
        <v>0.81226746409819539</v>
      </c>
      <c r="O31" s="156">
        <v>6058</v>
      </c>
      <c r="P31" s="156">
        <v>17302</v>
      </c>
      <c r="Q31"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0.29222156542299804</v>
      </c>
      <c r="R31" s="156">
        <v>108</v>
      </c>
      <c r="S31" s="156">
        <v>3719</v>
      </c>
      <c r="T31" s="156">
        <v>4577</v>
      </c>
      <c r="U31" s="156">
        <v>0</v>
      </c>
      <c r="V31" s="156">
        <v>0</v>
      </c>
      <c r="W31" s="158">
        <v>3.4124224449444331E-2</v>
      </c>
      <c r="X31" s="158">
        <v>3.5896911433831051E-2</v>
      </c>
      <c r="Y31" s="156" t="s">
        <v>1256</v>
      </c>
      <c r="Z31" s="159"/>
      <c r="AA31" s="156" t="s">
        <v>1279</v>
      </c>
      <c r="AB31" s="156" t="s">
        <v>1260</v>
      </c>
      <c r="AC31" s="157">
        <v>0.93291536635099614</v>
      </c>
    </row>
    <row r="32" spans="1:29" x14ac:dyDescent="0.2">
      <c r="A32" s="153" t="s">
        <v>32</v>
      </c>
      <c r="B32" s="153" t="s">
        <v>31</v>
      </c>
      <c r="C32" s="154" t="s">
        <v>200</v>
      </c>
      <c r="D32" s="155">
        <v>3846</v>
      </c>
      <c r="E32"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11177</v>
      </c>
      <c r="F32" s="157">
        <f>IF(Cons_Unit_Costs[[#This Row],[Closing social housing units managed]]&gt;0,Cons_Unit_Costs[[#This Row],[Headline Social Housing Cost]]/Cons_Unit_Costs[[#This Row],[Closing social housing units managed]],"")</f>
        <v>2.9061362454498179</v>
      </c>
      <c r="G32" s="157">
        <f>IF(Cons_Unit_Costs[[#This Row],[Closing social housing units managed]]&gt;0,Cons_Unit_Costs[[#This Row],[Management]]/Cons_Unit_Costs[[#This Row],[Closing social housing units managed]],"")</f>
        <v>1.1266250650026002</v>
      </c>
      <c r="H32" s="156">
        <v>4333</v>
      </c>
      <c r="I32" s="157">
        <f>IF(Cons_Unit_Costs[[#This Row],[Closing social housing units managed]]&gt;0,Cons_Unit_Costs[[#This Row],[Service charge costs]]/Cons_Unit_Costs[[#This Row],[Closing social housing units managed]],"")</f>
        <v>0.34477379095163807</v>
      </c>
      <c r="J32" s="156">
        <v>1326</v>
      </c>
      <c r="K32" s="157">
        <f>IF(Cons_Unit_Costs[[#This Row],[Closing social housing units managed]]&gt;0,(Cons_Unit_Costs[[#This Row],[Routine maintenance]]+Cons_Unit_Costs[[#This Row],[Planned maintenance]])/Cons_Unit_Costs[[#This Row],[Closing social housing units managed]],"")</f>
        <v>0.71788871554862199</v>
      </c>
      <c r="L32" s="156">
        <v>1972</v>
      </c>
      <c r="M32" s="156">
        <v>789</v>
      </c>
      <c r="N32" s="157">
        <f>IF(Cons_Unit_Costs[[#This Row],[Closing social housing units managed]]&gt;0,(Cons_Unit_Costs[[#This Row],[Major repairs expenditure]]+Cons_Unit_Costs[[#This Row],[Capitalised major repairs expenditure for period]])/Cons_Unit_Costs[[#This Row],[Closing social housing units managed]],"")</f>
        <v>0.61024440977639105</v>
      </c>
      <c r="O32" s="156">
        <v>0</v>
      </c>
      <c r="P32" s="156">
        <v>2347</v>
      </c>
      <c r="Q32"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0.10660426417056683</v>
      </c>
      <c r="R32" s="156">
        <v>28</v>
      </c>
      <c r="S32" s="156">
        <v>0</v>
      </c>
      <c r="T32" s="156">
        <v>382</v>
      </c>
      <c r="U32" s="156">
        <v>0</v>
      </c>
      <c r="V32" s="156">
        <v>0</v>
      </c>
      <c r="W32" s="158">
        <v>2.9850746268656717E-3</v>
      </c>
      <c r="X32" s="158">
        <v>0.24559023066485752</v>
      </c>
      <c r="Y32" s="156" t="s">
        <v>1257</v>
      </c>
      <c r="Z32" s="159">
        <v>38075</v>
      </c>
      <c r="AA32" s="156" t="s">
        <v>1268</v>
      </c>
      <c r="AB32" s="156" t="s">
        <v>1260</v>
      </c>
      <c r="AC32" s="157">
        <v>0.91571558169387279</v>
      </c>
    </row>
    <row r="33" spans="1:29" x14ac:dyDescent="0.2">
      <c r="A33" s="153" t="s">
        <v>276</v>
      </c>
      <c r="B33" s="153" t="s">
        <v>277</v>
      </c>
      <c r="C33" s="154" t="s">
        <v>200</v>
      </c>
      <c r="D33" s="155">
        <v>1086</v>
      </c>
      <c r="E33"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6125</v>
      </c>
      <c r="F33" s="157">
        <f>IF(Cons_Unit_Costs[[#This Row],[Closing social housing units managed]]&gt;0,Cons_Unit_Costs[[#This Row],[Headline Social Housing Cost]]/Cons_Unit_Costs[[#This Row],[Closing social housing units managed]],"")</f>
        <v>5.6399631675874771</v>
      </c>
      <c r="G33" s="157">
        <f>IF(Cons_Unit_Costs[[#This Row],[Closing social housing units managed]]&gt;0,Cons_Unit_Costs[[#This Row],[Management]]/Cons_Unit_Costs[[#This Row],[Closing social housing units managed]],"")</f>
        <v>0.77900552486187846</v>
      </c>
      <c r="H33" s="156">
        <v>846</v>
      </c>
      <c r="I33" s="157">
        <f>IF(Cons_Unit_Costs[[#This Row],[Closing social housing units managed]]&gt;0,Cons_Unit_Costs[[#This Row],[Service charge costs]]/Cons_Unit_Costs[[#This Row],[Closing social housing units managed]],"")</f>
        <v>1.8941068139963169</v>
      </c>
      <c r="J33" s="156">
        <v>2057</v>
      </c>
      <c r="K33" s="157">
        <f>IF(Cons_Unit_Costs[[#This Row],[Closing social housing units managed]]&gt;0,(Cons_Unit_Costs[[#This Row],[Routine maintenance]]+Cons_Unit_Costs[[#This Row],[Planned maintenance]])/Cons_Unit_Costs[[#This Row],[Closing social housing units managed]],"")</f>
        <v>1.003683241252302</v>
      </c>
      <c r="L33" s="156">
        <v>1014</v>
      </c>
      <c r="M33" s="156">
        <v>76</v>
      </c>
      <c r="N33" s="157">
        <f>IF(Cons_Unit_Costs[[#This Row],[Closing social housing units managed]]&gt;0,(Cons_Unit_Costs[[#This Row],[Major repairs expenditure]]+Cons_Unit_Costs[[#This Row],[Capitalised major repairs expenditure for period]])/Cons_Unit_Costs[[#This Row],[Closing social housing units managed]],"")</f>
        <v>0.95672191528545125</v>
      </c>
      <c r="O33" s="156">
        <v>59</v>
      </c>
      <c r="P33" s="156">
        <v>980</v>
      </c>
      <c r="Q33"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1.0064456721915285</v>
      </c>
      <c r="R33" s="156">
        <v>646</v>
      </c>
      <c r="S33" s="156">
        <v>447</v>
      </c>
      <c r="T33" s="156">
        <v>0</v>
      </c>
      <c r="U33" s="156">
        <v>0</v>
      </c>
      <c r="V33" s="156">
        <v>0</v>
      </c>
      <c r="W33" s="158">
        <v>0</v>
      </c>
      <c r="X33" s="158">
        <v>0.98453139217470431</v>
      </c>
      <c r="Y33" s="156" t="s">
        <v>1256</v>
      </c>
      <c r="Z33" s="159"/>
      <c r="AA33" s="156" t="s">
        <v>1279</v>
      </c>
      <c r="AB33" s="156" t="s">
        <v>1265</v>
      </c>
      <c r="AC33" s="157">
        <v>0.96617455710897804</v>
      </c>
    </row>
    <row r="34" spans="1:29" x14ac:dyDescent="0.2">
      <c r="A34" s="160" t="s">
        <v>34</v>
      </c>
      <c r="B34" s="153" t="s">
        <v>33</v>
      </c>
      <c r="C34" s="154" t="s">
        <v>200</v>
      </c>
      <c r="D34" s="155">
        <v>1780</v>
      </c>
      <c r="E3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8080</v>
      </c>
      <c r="F34" s="157">
        <f>IF(Cons_Unit_Costs[[#This Row],[Closing social housing units managed]]&gt;0,Cons_Unit_Costs[[#This Row],[Headline Social Housing Cost]]/Cons_Unit_Costs[[#This Row],[Closing social housing units managed]],"")</f>
        <v>4.5393258426966296</v>
      </c>
      <c r="G34" s="157">
        <f>IF(Cons_Unit_Costs[[#This Row],[Closing social housing units managed]]&gt;0,Cons_Unit_Costs[[#This Row],[Management]]/Cons_Unit_Costs[[#This Row],[Closing social housing units managed]],"")</f>
        <v>1.2410112359550562</v>
      </c>
      <c r="H34" s="156">
        <v>2209</v>
      </c>
      <c r="I34" s="157">
        <f>IF(Cons_Unit_Costs[[#This Row],[Closing social housing units managed]]&gt;0,Cons_Unit_Costs[[#This Row],[Service charge costs]]/Cons_Unit_Costs[[#This Row],[Closing social housing units managed]],"")</f>
        <v>1.4876404494382023</v>
      </c>
      <c r="J34" s="156">
        <v>2648</v>
      </c>
      <c r="K34" s="157">
        <f>IF(Cons_Unit_Costs[[#This Row],[Closing social housing units managed]]&gt;0,(Cons_Unit_Costs[[#This Row],[Routine maintenance]]+Cons_Unit_Costs[[#This Row],[Planned maintenance]])/Cons_Unit_Costs[[#This Row],[Closing social housing units managed]],"")</f>
        <v>0.88988764044943824</v>
      </c>
      <c r="L34" s="156">
        <v>1484</v>
      </c>
      <c r="M34" s="156">
        <v>100</v>
      </c>
      <c r="N34" s="157">
        <f>IF(Cons_Unit_Costs[[#This Row],[Closing social housing units managed]]&gt;0,(Cons_Unit_Costs[[#This Row],[Major repairs expenditure]]+Cons_Unit_Costs[[#This Row],[Capitalised major repairs expenditure for period]])/Cons_Unit_Costs[[#This Row],[Closing social housing units managed]],"")</f>
        <v>0.648876404494382</v>
      </c>
      <c r="O34" s="156">
        <v>788</v>
      </c>
      <c r="P34" s="156">
        <v>367</v>
      </c>
      <c r="Q3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0.27191011235955054</v>
      </c>
      <c r="R34" s="156">
        <v>484</v>
      </c>
      <c r="S34" s="156">
        <v>0</v>
      </c>
      <c r="T34" s="156">
        <v>0</v>
      </c>
      <c r="U34" s="156">
        <v>0</v>
      </c>
      <c r="V34" s="156">
        <v>0</v>
      </c>
      <c r="W34" s="158">
        <v>3.4710743801652892E-2</v>
      </c>
      <c r="X34" s="158">
        <v>8.8154269972451783E-3</v>
      </c>
      <c r="Y34" s="156" t="s">
        <v>1257</v>
      </c>
      <c r="Z34" s="159">
        <v>41095</v>
      </c>
      <c r="AA34" s="156" t="s">
        <v>1269</v>
      </c>
      <c r="AB34" s="156" t="s">
        <v>1266</v>
      </c>
      <c r="AC34" s="157">
        <v>0.9026647648742484</v>
      </c>
    </row>
    <row r="35" spans="1:29" x14ac:dyDescent="0.2">
      <c r="A35" s="153" t="s">
        <v>278</v>
      </c>
      <c r="B35" s="153" t="s">
        <v>279</v>
      </c>
      <c r="C35" s="154" t="s">
        <v>200</v>
      </c>
      <c r="D35" s="155">
        <v>5010</v>
      </c>
      <c r="E3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15396</v>
      </c>
      <c r="F35" s="157">
        <f>IF(Cons_Unit_Costs[[#This Row],[Closing social housing units managed]]&gt;0,Cons_Unit_Costs[[#This Row],[Headline Social Housing Cost]]/Cons_Unit_Costs[[#This Row],[Closing social housing units managed]],"")</f>
        <v>3.0730538922155688</v>
      </c>
      <c r="G35" s="157">
        <f>IF(Cons_Unit_Costs[[#This Row],[Closing social housing units managed]]&gt;0,Cons_Unit_Costs[[#This Row],[Management]]/Cons_Unit_Costs[[#This Row],[Closing social housing units managed]],"")</f>
        <v>1.0261477045908183</v>
      </c>
      <c r="H35" s="156">
        <v>5141</v>
      </c>
      <c r="I35" s="157">
        <f>IF(Cons_Unit_Costs[[#This Row],[Closing social housing units managed]]&gt;0,Cons_Unit_Costs[[#This Row],[Service charge costs]]/Cons_Unit_Costs[[#This Row],[Closing social housing units managed]],"")</f>
        <v>0.22055888223552894</v>
      </c>
      <c r="J35" s="156">
        <v>1105</v>
      </c>
      <c r="K35" s="157">
        <f>IF(Cons_Unit_Costs[[#This Row],[Closing social housing units managed]]&gt;0,(Cons_Unit_Costs[[#This Row],[Routine maintenance]]+Cons_Unit_Costs[[#This Row],[Planned maintenance]])/Cons_Unit_Costs[[#This Row],[Closing social housing units managed]],"")</f>
        <v>0.77724550898203593</v>
      </c>
      <c r="L35" s="156">
        <v>3458</v>
      </c>
      <c r="M35" s="156">
        <v>436</v>
      </c>
      <c r="N35" s="157">
        <f>IF(Cons_Unit_Costs[[#This Row],[Closing social housing units managed]]&gt;0,(Cons_Unit_Costs[[#This Row],[Major repairs expenditure]]+Cons_Unit_Costs[[#This Row],[Capitalised major repairs expenditure for period]])/Cons_Unit_Costs[[#This Row],[Closing social housing units managed]],"")</f>
        <v>0.93233532934131735</v>
      </c>
      <c r="O35" s="156">
        <v>1140</v>
      </c>
      <c r="P35" s="156">
        <v>3531</v>
      </c>
      <c r="Q3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0.11676646706586827</v>
      </c>
      <c r="R35" s="156">
        <v>303</v>
      </c>
      <c r="S35" s="156">
        <v>282</v>
      </c>
      <c r="T35" s="156">
        <v>0</v>
      </c>
      <c r="U35" s="156">
        <v>0</v>
      </c>
      <c r="V35" s="156">
        <v>0</v>
      </c>
      <c r="W35" s="158">
        <v>3.3881111787380805E-2</v>
      </c>
      <c r="X35" s="158">
        <v>0.23006695069993913</v>
      </c>
      <c r="Y35" s="156" t="s">
        <v>1257</v>
      </c>
      <c r="Z35" s="159">
        <v>36593</v>
      </c>
      <c r="AA35" s="156" t="s">
        <v>1268</v>
      </c>
      <c r="AB35" s="156" t="s">
        <v>1262</v>
      </c>
      <c r="AC35" s="157">
        <v>0.91566538624456639</v>
      </c>
    </row>
    <row r="36" spans="1:29" x14ac:dyDescent="0.2">
      <c r="A36" s="153" t="s">
        <v>36</v>
      </c>
      <c r="B36" s="153" t="s">
        <v>35</v>
      </c>
      <c r="C36" s="154" t="s">
        <v>200</v>
      </c>
      <c r="D36" s="155">
        <v>19164</v>
      </c>
      <c r="E3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88874</v>
      </c>
      <c r="F36" s="157">
        <f>IF(Cons_Unit_Costs[[#This Row],[Closing social housing units managed]]&gt;0,Cons_Unit_Costs[[#This Row],[Headline Social Housing Cost]]/Cons_Unit_Costs[[#This Row],[Closing social housing units managed]],"")</f>
        <v>4.6375495721143816</v>
      </c>
      <c r="G36" s="157">
        <f>IF(Cons_Unit_Costs[[#This Row],[Closing social housing units managed]]&gt;0,Cons_Unit_Costs[[#This Row],[Management]]/Cons_Unit_Costs[[#This Row],[Closing social housing units managed]],"")</f>
        <v>1.1895742016280526</v>
      </c>
      <c r="H36" s="156">
        <v>22797</v>
      </c>
      <c r="I36" s="157">
        <f>IF(Cons_Unit_Costs[[#This Row],[Closing social housing units managed]]&gt;0,Cons_Unit_Costs[[#This Row],[Service charge costs]]/Cons_Unit_Costs[[#This Row],[Closing social housing units managed]],"")</f>
        <v>0.66765810895428934</v>
      </c>
      <c r="J36" s="156">
        <v>12795</v>
      </c>
      <c r="K36" s="157">
        <f>IF(Cons_Unit_Costs[[#This Row],[Closing social housing units managed]]&gt;0,(Cons_Unit_Costs[[#This Row],[Routine maintenance]]+Cons_Unit_Costs[[#This Row],[Planned maintenance]])/Cons_Unit_Costs[[#This Row],[Closing social housing units managed]],"")</f>
        <v>1.2395115842204132</v>
      </c>
      <c r="L36" s="156">
        <v>13941</v>
      </c>
      <c r="M36" s="156">
        <v>9813</v>
      </c>
      <c r="N36" s="157">
        <f>IF(Cons_Unit_Costs[[#This Row],[Closing social housing units managed]]&gt;0,(Cons_Unit_Costs[[#This Row],[Major repairs expenditure]]+Cons_Unit_Costs[[#This Row],[Capitalised major repairs expenditure for period]])/Cons_Unit_Costs[[#This Row],[Closing social housing units managed]],"")</f>
        <v>1.2447297015236902</v>
      </c>
      <c r="O36" s="156">
        <v>0</v>
      </c>
      <c r="P36" s="156">
        <v>23854</v>
      </c>
      <c r="Q3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0.29607597578793571</v>
      </c>
      <c r="R36" s="156">
        <v>289</v>
      </c>
      <c r="S36" s="156">
        <v>0</v>
      </c>
      <c r="T36" s="156">
        <v>3156</v>
      </c>
      <c r="U36" s="156">
        <v>0</v>
      </c>
      <c r="V36" s="156">
        <v>2229</v>
      </c>
      <c r="W36" s="158">
        <v>4.586629973626878E-3</v>
      </c>
      <c r="X36" s="158">
        <v>3.9043687650498794E-2</v>
      </c>
      <c r="Y36" s="156" t="s">
        <v>1256</v>
      </c>
      <c r="Z36" s="159"/>
      <c r="AA36" s="156" t="s">
        <v>1279</v>
      </c>
      <c r="AB36" s="156" t="s">
        <v>1267</v>
      </c>
      <c r="AC36" s="157">
        <v>1.1791771572597811</v>
      </c>
    </row>
    <row r="37" spans="1:29" x14ac:dyDescent="0.2">
      <c r="A37" s="153" t="s">
        <v>282</v>
      </c>
      <c r="B37" s="153" t="s">
        <v>283</v>
      </c>
      <c r="C37" s="154" t="s">
        <v>200</v>
      </c>
      <c r="D37" s="155">
        <v>1963</v>
      </c>
      <c r="E3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20819</v>
      </c>
      <c r="F37" s="157">
        <f>IF(Cons_Unit_Costs[[#This Row],[Closing social housing units managed]]&gt;0,Cons_Unit_Costs[[#This Row],[Headline Social Housing Cost]]/Cons_Unit_Costs[[#This Row],[Closing social housing units managed]],"")</f>
        <v>10.60570555272542</v>
      </c>
      <c r="G37" s="157">
        <f>IF(Cons_Unit_Costs[[#This Row],[Closing social housing units managed]]&gt;0,Cons_Unit_Costs[[#This Row],[Management]]/Cons_Unit_Costs[[#This Row],[Closing social housing units managed]],"")</f>
        <v>3.1400916963830872</v>
      </c>
      <c r="H37" s="156">
        <v>6164</v>
      </c>
      <c r="I37" s="157">
        <f>IF(Cons_Unit_Costs[[#This Row],[Closing social housing units managed]]&gt;0,Cons_Unit_Costs[[#This Row],[Service charge costs]]/Cons_Unit_Costs[[#This Row],[Closing social housing units managed]],"")</f>
        <v>5.4885379521141111</v>
      </c>
      <c r="J37" s="156">
        <v>10774</v>
      </c>
      <c r="K37" s="157">
        <f>IF(Cons_Unit_Costs[[#This Row],[Closing social housing units managed]]&gt;0,(Cons_Unit_Costs[[#This Row],[Routine maintenance]]+Cons_Unit_Costs[[#This Row],[Planned maintenance]])/Cons_Unit_Costs[[#This Row],[Closing social housing units managed]],"")</f>
        <v>0.50738665308201736</v>
      </c>
      <c r="L37" s="156">
        <v>815</v>
      </c>
      <c r="M37" s="156">
        <v>181</v>
      </c>
      <c r="N37" s="157">
        <f>IF(Cons_Unit_Costs[[#This Row],[Closing social housing units managed]]&gt;0,(Cons_Unit_Costs[[#This Row],[Major repairs expenditure]]+Cons_Unit_Costs[[#This Row],[Capitalised major repairs expenditure for period]])/Cons_Unit_Costs[[#This Row],[Closing social housing units managed]],"")</f>
        <v>1.2934284258787569</v>
      </c>
      <c r="O37" s="156">
        <v>534</v>
      </c>
      <c r="P37" s="156">
        <v>2005</v>
      </c>
      <c r="Q3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0.1762608252674478</v>
      </c>
      <c r="R37" s="156">
        <v>0</v>
      </c>
      <c r="S37" s="156">
        <v>240</v>
      </c>
      <c r="T37" s="156">
        <v>106</v>
      </c>
      <c r="U37" s="156">
        <v>0</v>
      </c>
      <c r="V37" s="156">
        <v>0</v>
      </c>
      <c r="W37" s="158">
        <v>0.11543506777437691</v>
      </c>
      <c r="X37" s="158">
        <v>0.74639265413205069</v>
      </c>
      <c r="Y37" s="156" t="s">
        <v>1256</v>
      </c>
      <c r="Z37" s="159"/>
      <c r="AA37" s="156" t="s">
        <v>1279</v>
      </c>
      <c r="AB37" s="156" t="s">
        <v>1267</v>
      </c>
      <c r="AC37" s="157">
        <v>1.2395780953914375</v>
      </c>
    </row>
    <row r="38" spans="1:29" x14ac:dyDescent="0.2">
      <c r="A38" s="153" t="s">
        <v>285</v>
      </c>
      <c r="B38" s="153" t="s">
        <v>286</v>
      </c>
      <c r="C38" s="154" t="s">
        <v>200</v>
      </c>
      <c r="D38" s="155">
        <v>645</v>
      </c>
      <c r="E3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7310</v>
      </c>
      <c r="F38" s="157">
        <f>IF(Cons_Unit_Costs[[#This Row],[Closing social housing units managed]]&gt;0,Cons_Unit_Costs[[#This Row],[Headline Social Housing Cost]]/Cons_Unit_Costs[[#This Row],[Closing social housing units managed]],"")</f>
        <v>11.333333333333334</v>
      </c>
      <c r="G38" s="157">
        <f>IF(Cons_Unit_Costs[[#This Row],[Closing social housing units managed]]&gt;0,Cons_Unit_Costs[[#This Row],[Management]]/Cons_Unit_Costs[[#This Row],[Closing social housing units managed]],"")</f>
        <v>4.5984496124031011</v>
      </c>
      <c r="H38" s="156">
        <v>2966</v>
      </c>
      <c r="I38" s="157">
        <f>IF(Cons_Unit_Costs[[#This Row],[Closing social housing units managed]]&gt;0,Cons_Unit_Costs[[#This Row],[Service charge costs]]/Cons_Unit_Costs[[#This Row],[Closing social housing units managed]],"")</f>
        <v>1.7410852713178295</v>
      </c>
      <c r="J38" s="156">
        <v>1123</v>
      </c>
      <c r="K38" s="157">
        <f>IF(Cons_Unit_Costs[[#This Row],[Closing social housing units managed]]&gt;0,(Cons_Unit_Costs[[#This Row],[Routine maintenance]]+Cons_Unit_Costs[[#This Row],[Planned maintenance]])/Cons_Unit_Costs[[#This Row],[Closing social housing units managed]],"")</f>
        <v>0.75813953488372088</v>
      </c>
      <c r="L38" s="156">
        <v>482</v>
      </c>
      <c r="M38" s="156">
        <v>7</v>
      </c>
      <c r="N38" s="157">
        <f>IF(Cons_Unit_Costs[[#This Row],[Closing social housing units managed]]&gt;0,(Cons_Unit_Costs[[#This Row],[Major repairs expenditure]]+Cons_Unit_Costs[[#This Row],[Capitalised major repairs expenditure for period]])/Cons_Unit_Costs[[#This Row],[Closing social housing units managed]],"")</f>
        <v>6.2015503875968991E-2</v>
      </c>
      <c r="O38" s="156">
        <v>0</v>
      </c>
      <c r="P38" s="156">
        <v>40</v>
      </c>
      <c r="Q3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4.173643410852713</v>
      </c>
      <c r="R38" s="156">
        <v>2692</v>
      </c>
      <c r="S38" s="156">
        <v>0</v>
      </c>
      <c r="T38" s="156">
        <v>0</v>
      </c>
      <c r="U38" s="156">
        <v>0</v>
      </c>
      <c r="V38" s="156">
        <v>0</v>
      </c>
      <c r="W38" s="158">
        <v>0.87408759124087587</v>
      </c>
      <c r="X38" s="158">
        <v>1.0948905109489052E-2</v>
      </c>
      <c r="Y38" s="156" t="s">
        <v>1256</v>
      </c>
      <c r="Z38" s="159"/>
      <c r="AA38" s="156" t="s">
        <v>1279</v>
      </c>
      <c r="AB38" s="156" t="s">
        <v>1258</v>
      </c>
      <c r="AC38" s="157">
        <v>0.98362844943422223</v>
      </c>
    </row>
    <row r="39" spans="1:29" x14ac:dyDescent="0.2">
      <c r="A39" s="153" t="s">
        <v>41</v>
      </c>
      <c r="B39" s="153" t="s">
        <v>40</v>
      </c>
      <c r="C39" s="154" t="s">
        <v>200</v>
      </c>
      <c r="D39" s="155">
        <v>8535</v>
      </c>
      <c r="E39"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26933</v>
      </c>
      <c r="F39" s="157">
        <f>IF(Cons_Unit_Costs[[#This Row],[Closing social housing units managed]]&gt;0,Cons_Unit_Costs[[#This Row],[Headline Social Housing Cost]]/Cons_Unit_Costs[[#This Row],[Closing social housing units managed]],"")</f>
        <v>3.1555946104276509</v>
      </c>
      <c r="G39" s="157">
        <f>IF(Cons_Unit_Costs[[#This Row],[Closing social housing units managed]]&gt;0,Cons_Unit_Costs[[#This Row],[Management]]/Cons_Unit_Costs[[#This Row],[Closing social housing units managed]],"")</f>
        <v>1.3379027533684826</v>
      </c>
      <c r="H39" s="156">
        <v>11419</v>
      </c>
      <c r="I39" s="157">
        <f>IF(Cons_Unit_Costs[[#This Row],[Closing social housing units managed]]&gt;0,Cons_Unit_Costs[[#This Row],[Service charge costs]]/Cons_Unit_Costs[[#This Row],[Closing social housing units managed]],"")</f>
        <v>0.25588752196836556</v>
      </c>
      <c r="J39" s="156">
        <v>2184</v>
      </c>
      <c r="K39" s="157">
        <f>IF(Cons_Unit_Costs[[#This Row],[Closing social housing units managed]]&gt;0,(Cons_Unit_Costs[[#This Row],[Routine maintenance]]+Cons_Unit_Costs[[#This Row],[Planned maintenance]])/Cons_Unit_Costs[[#This Row],[Closing social housing units managed]],"")</f>
        <v>1.0642062097246632</v>
      </c>
      <c r="L39" s="156">
        <v>4423</v>
      </c>
      <c r="M39" s="156">
        <v>4660</v>
      </c>
      <c r="N39" s="157">
        <f>IF(Cons_Unit_Costs[[#This Row],[Closing social housing units managed]]&gt;0,(Cons_Unit_Costs[[#This Row],[Major repairs expenditure]]+Cons_Unit_Costs[[#This Row],[Capitalised major repairs expenditure for period]])/Cons_Unit_Costs[[#This Row],[Closing social housing units managed]],"")</f>
        <v>0.3669595782073814</v>
      </c>
      <c r="O39" s="156">
        <v>426</v>
      </c>
      <c r="P39" s="156">
        <v>2706</v>
      </c>
      <c r="Q39"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0.13063854715875806</v>
      </c>
      <c r="R39" s="156">
        <v>0</v>
      </c>
      <c r="S39" s="156">
        <v>398</v>
      </c>
      <c r="T39" s="156">
        <v>445</v>
      </c>
      <c r="U39" s="156">
        <v>272</v>
      </c>
      <c r="V39" s="156">
        <v>0</v>
      </c>
      <c r="W39" s="158">
        <v>0.10876699484294421</v>
      </c>
      <c r="X39" s="158">
        <v>0.14451476793248946</v>
      </c>
      <c r="Y39" s="156" t="s">
        <v>1257</v>
      </c>
      <c r="Z39" s="159">
        <v>37326</v>
      </c>
      <c r="AA39" s="156" t="s">
        <v>1268</v>
      </c>
      <c r="AB39" s="156" t="s">
        <v>1263</v>
      </c>
      <c r="AC39" s="157">
        <v>1.0022399874355168</v>
      </c>
    </row>
    <row r="40" spans="1:29" x14ac:dyDescent="0.2">
      <c r="A40" s="153" t="s">
        <v>289</v>
      </c>
      <c r="B40" s="153" t="s">
        <v>290</v>
      </c>
      <c r="C40" s="154" t="s">
        <v>200</v>
      </c>
      <c r="D40" s="155">
        <v>5065</v>
      </c>
      <c r="E40"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14718</v>
      </c>
      <c r="F40" s="157">
        <f>IF(Cons_Unit_Costs[[#This Row],[Closing social housing units managed]]&gt;0,Cons_Unit_Costs[[#This Row],[Headline Social Housing Cost]]/Cons_Unit_Costs[[#This Row],[Closing social housing units managed]],"")</f>
        <v>2.9058242843040474</v>
      </c>
      <c r="G40" s="157">
        <f>IF(Cons_Unit_Costs[[#This Row],[Closing social housing units managed]]&gt;0,Cons_Unit_Costs[[#This Row],[Management]]/Cons_Unit_Costs[[#This Row],[Closing social housing units managed]],"")</f>
        <v>0.49772951628825274</v>
      </c>
      <c r="H40" s="156">
        <v>2521</v>
      </c>
      <c r="I40" s="157">
        <f>IF(Cons_Unit_Costs[[#This Row],[Closing social housing units managed]]&gt;0,Cons_Unit_Costs[[#This Row],[Service charge costs]]/Cons_Unit_Costs[[#This Row],[Closing social housing units managed]],"")</f>
        <v>0.34471865745310959</v>
      </c>
      <c r="J40" s="156">
        <v>1746</v>
      </c>
      <c r="K40" s="157">
        <f>IF(Cons_Unit_Costs[[#This Row],[Closing social housing units managed]]&gt;0,(Cons_Unit_Costs[[#This Row],[Routine maintenance]]+Cons_Unit_Costs[[#This Row],[Planned maintenance]])/Cons_Unit_Costs[[#This Row],[Closing social housing units managed]],"")</f>
        <v>1.1204343534057255</v>
      </c>
      <c r="L40" s="156">
        <v>3905</v>
      </c>
      <c r="M40" s="156">
        <v>1770</v>
      </c>
      <c r="N40" s="157">
        <f>IF(Cons_Unit_Costs[[#This Row],[Closing social housing units managed]]&gt;0,(Cons_Unit_Costs[[#This Row],[Major repairs expenditure]]+Cons_Unit_Costs[[#This Row],[Capitalised major repairs expenditure for period]])/Cons_Unit_Costs[[#This Row],[Closing social housing units managed]],"")</f>
        <v>0.72892398815399806</v>
      </c>
      <c r="O40" s="156">
        <v>0</v>
      </c>
      <c r="P40" s="156">
        <v>3692</v>
      </c>
      <c r="Q40"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0.21401776900296149</v>
      </c>
      <c r="R40" s="156">
        <v>95</v>
      </c>
      <c r="S40" s="156">
        <v>287</v>
      </c>
      <c r="T40" s="156">
        <v>702</v>
      </c>
      <c r="U40" s="156">
        <v>0</v>
      </c>
      <c r="V40" s="156">
        <v>0</v>
      </c>
      <c r="W40" s="158">
        <v>9.8736176935229061E-4</v>
      </c>
      <c r="X40" s="158">
        <v>0.21939178515007898</v>
      </c>
      <c r="Y40" s="156" t="s">
        <v>1257</v>
      </c>
      <c r="Z40" s="159">
        <v>38915</v>
      </c>
      <c r="AA40" s="156" t="s">
        <v>1280</v>
      </c>
      <c r="AB40" s="156" t="s">
        <v>1262</v>
      </c>
      <c r="AC40" s="157">
        <v>0.91572888304091826</v>
      </c>
    </row>
    <row r="41" spans="1:29" x14ac:dyDescent="0.2">
      <c r="A41" s="153" t="s">
        <v>299</v>
      </c>
      <c r="B41" s="153" t="s">
        <v>300</v>
      </c>
      <c r="C41" s="154" t="s">
        <v>200</v>
      </c>
      <c r="D41" s="155">
        <v>115952</v>
      </c>
      <c r="E41"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472000</v>
      </c>
      <c r="F41" s="157">
        <f>IF(Cons_Unit_Costs[[#This Row],[Closing social housing units managed]]&gt;0,Cons_Unit_Costs[[#This Row],[Headline Social Housing Cost]]/Cons_Unit_Costs[[#This Row],[Closing social housing units managed]],"")</f>
        <v>4.0706499241065268</v>
      </c>
      <c r="G41" s="157">
        <f>IF(Cons_Unit_Costs[[#This Row],[Closing social housing units managed]]&gt;0,Cons_Unit_Costs[[#This Row],[Management]]/Cons_Unit_Costs[[#This Row],[Closing social housing units managed]],"")</f>
        <v>0.70546433006761422</v>
      </c>
      <c r="H41" s="156">
        <v>81800</v>
      </c>
      <c r="I41" s="157">
        <f>IF(Cons_Unit_Costs[[#This Row],[Closing social housing units managed]]&gt;0,Cons_Unit_Costs[[#This Row],[Service charge costs]]/Cons_Unit_Costs[[#This Row],[Closing social housing units managed]],"")</f>
        <v>0.51918035048985789</v>
      </c>
      <c r="J41" s="156">
        <v>60200</v>
      </c>
      <c r="K41" s="157">
        <f>IF(Cons_Unit_Costs[[#This Row],[Closing social housing units managed]]&gt;0,(Cons_Unit_Costs[[#This Row],[Routine maintenance]]+Cons_Unit_Costs[[#This Row],[Planned maintenance]])/Cons_Unit_Costs[[#This Row],[Closing social housing units managed]],"")</f>
        <v>1.752449289361115</v>
      </c>
      <c r="L41" s="156">
        <v>127700</v>
      </c>
      <c r="M41" s="156">
        <v>75500</v>
      </c>
      <c r="N41" s="157">
        <f>IF(Cons_Unit_Costs[[#This Row],[Closing social housing units managed]]&gt;0,(Cons_Unit_Costs[[#This Row],[Major repairs expenditure]]+Cons_Unit_Costs[[#This Row],[Capitalised major repairs expenditure for period]])/Cons_Unit_Costs[[#This Row],[Closing social housing units managed]],"")</f>
        <v>0.64854422519663313</v>
      </c>
      <c r="O41" s="156">
        <v>0</v>
      </c>
      <c r="P41" s="156">
        <v>75200</v>
      </c>
      <c r="Q41"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0.44501172899130675</v>
      </c>
      <c r="R41" s="156">
        <v>800</v>
      </c>
      <c r="S41" s="156">
        <v>17600</v>
      </c>
      <c r="T41" s="156">
        <v>18200</v>
      </c>
      <c r="U41" s="156">
        <v>7100</v>
      </c>
      <c r="V41" s="156">
        <v>7900</v>
      </c>
      <c r="W41" s="158">
        <v>1.941425981984303E-2</v>
      </c>
      <c r="X41" s="158">
        <v>6.8014316866483265E-2</v>
      </c>
      <c r="Y41" s="156" t="s">
        <v>1258</v>
      </c>
      <c r="Z41" s="159">
        <v>33700</v>
      </c>
      <c r="AA41" s="156" t="s">
        <v>1268</v>
      </c>
      <c r="AB41" s="156" t="s">
        <v>1258</v>
      </c>
      <c r="AC41" s="157">
        <v>1.0873945943053658</v>
      </c>
    </row>
    <row r="42" spans="1:29" x14ac:dyDescent="0.2">
      <c r="A42" s="153" t="s">
        <v>47</v>
      </c>
      <c r="B42" s="153" t="s">
        <v>45</v>
      </c>
      <c r="C42" s="154" t="s">
        <v>200</v>
      </c>
      <c r="D42" s="155">
        <v>10652</v>
      </c>
      <c r="E42"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28100</v>
      </c>
      <c r="F42" s="157">
        <f>IF(Cons_Unit_Costs[[#This Row],[Closing social housing units managed]]&gt;0,Cons_Unit_Costs[[#This Row],[Headline Social Housing Cost]]/Cons_Unit_Costs[[#This Row],[Closing social housing units managed]],"")</f>
        <v>2.6380022530980098</v>
      </c>
      <c r="G42" s="157">
        <f>IF(Cons_Unit_Costs[[#This Row],[Closing social housing units managed]]&gt;0,Cons_Unit_Costs[[#This Row],[Management]]/Cons_Unit_Costs[[#This Row],[Closing social housing units managed]],"")</f>
        <v>0.91672925272249339</v>
      </c>
      <c r="H42" s="156">
        <v>9765</v>
      </c>
      <c r="I42" s="157">
        <f>IF(Cons_Unit_Costs[[#This Row],[Closing social housing units managed]]&gt;0,Cons_Unit_Costs[[#This Row],[Service charge costs]]/Cons_Unit_Costs[[#This Row],[Closing social housing units managed]],"")</f>
        <v>0.12410814870446864</v>
      </c>
      <c r="J42" s="156">
        <v>1322</v>
      </c>
      <c r="K42" s="157">
        <f>IF(Cons_Unit_Costs[[#This Row],[Closing social housing units managed]]&gt;0,(Cons_Unit_Costs[[#This Row],[Routine maintenance]]+Cons_Unit_Costs[[#This Row],[Planned maintenance]])/Cons_Unit_Costs[[#This Row],[Closing social housing units managed]],"")</f>
        <v>0.86453248216297407</v>
      </c>
      <c r="L42" s="156">
        <v>7252</v>
      </c>
      <c r="M42" s="156">
        <v>1957</v>
      </c>
      <c r="N42" s="157">
        <f>IF(Cons_Unit_Costs[[#This Row],[Closing social housing units managed]]&gt;0,(Cons_Unit_Costs[[#This Row],[Major repairs expenditure]]+Cons_Unit_Costs[[#This Row],[Capitalised major repairs expenditure for period]])/Cons_Unit_Costs[[#This Row],[Closing social housing units managed]],"")</f>
        <v>0.55069470521967701</v>
      </c>
      <c r="O42" s="156">
        <v>3720</v>
      </c>
      <c r="P42" s="156">
        <v>2146</v>
      </c>
      <c r="Q42"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0.18193766428839656</v>
      </c>
      <c r="R42" s="156">
        <v>0</v>
      </c>
      <c r="S42" s="156">
        <v>0</v>
      </c>
      <c r="T42" s="156">
        <v>1938</v>
      </c>
      <c r="U42" s="156">
        <v>0</v>
      </c>
      <c r="V42" s="156">
        <v>0</v>
      </c>
      <c r="W42" s="158">
        <v>1.1266547741996056E-3</v>
      </c>
      <c r="X42" s="158">
        <v>0</v>
      </c>
      <c r="Y42" s="156" t="s">
        <v>1257</v>
      </c>
      <c r="Z42" s="159">
        <v>37452</v>
      </c>
      <c r="AA42" s="156" t="s">
        <v>1268</v>
      </c>
      <c r="AB42" s="156" t="s">
        <v>1266</v>
      </c>
      <c r="AC42" s="157">
        <v>0.90318526045340863</v>
      </c>
    </row>
    <row r="43" spans="1:29" x14ac:dyDescent="0.2">
      <c r="A43" s="153" t="s">
        <v>301</v>
      </c>
      <c r="B43" s="153" t="s">
        <v>302</v>
      </c>
      <c r="C43" s="154" t="s">
        <v>200</v>
      </c>
      <c r="D43" s="155">
        <v>4256</v>
      </c>
      <c r="E43"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13351</v>
      </c>
      <c r="F43" s="157">
        <f>IF(Cons_Unit_Costs[[#This Row],[Closing social housing units managed]]&gt;0,Cons_Unit_Costs[[#This Row],[Headline Social Housing Cost]]/Cons_Unit_Costs[[#This Row],[Closing social housing units managed]],"")</f>
        <v>3.1369830827067671</v>
      </c>
      <c r="G43" s="157">
        <f>IF(Cons_Unit_Costs[[#This Row],[Closing social housing units managed]]&gt;0,Cons_Unit_Costs[[#This Row],[Management]]/Cons_Unit_Costs[[#This Row],[Closing social housing units managed]],"")</f>
        <v>0.59586466165413532</v>
      </c>
      <c r="H43" s="156">
        <v>2536</v>
      </c>
      <c r="I43" s="157">
        <f>IF(Cons_Unit_Costs[[#This Row],[Closing social housing units managed]]&gt;0,Cons_Unit_Costs[[#This Row],[Service charge costs]]/Cons_Unit_Costs[[#This Row],[Closing social housing units managed]],"")</f>
        <v>0.32753759398496241</v>
      </c>
      <c r="J43" s="156">
        <v>1394</v>
      </c>
      <c r="K43" s="157">
        <f>IF(Cons_Unit_Costs[[#This Row],[Closing social housing units managed]]&gt;0,(Cons_Unit_Costs[[#This Row],[Routine maintenance]]+Cons_Unit_Costs[[#This Row],[Planned maintenance]])/Cons_Unit_Costs[[#This Row],[Closing social housing units managed]],"")</f>
        <v>1.3214285714285714</v>
      </c>
      <c r="L43" s="156">
        <v>3808</v>
      </c>
      <c r="M43" s="156">
        <v>1816</v>
      </c>
      <c r="N43" s="157">
        <f>IF(Cons_Unit_Costs[[#This Row],[Closing social housing units managed]]&gt;0,(Cons_Unit_Costs[[#This Row],[Major repairs expenditure]]+Cons_Unit_Costs[[#This Row],[Capitalised major repairs expenditure for period]])/Cons_Unit_Costs[[#This Row],[Closing social housing units managed]],"")</f>
        <v>0.89191729323308266</v>
      </c>
      <c r="O43" s="156">
        <v>1026</v>
      </c>
      <c r="P43" s="156">
        <v>2770</v>
      </c>
      <c r="Q43"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2.3496240601503758E-4</v>
      </c>
      <c r="R43" s="156">
        <v>1</v>
      </c>
      <c r="S43" s="156">
        <v>0</v>
      </c>
      <c r="T43" s="156">
        <v>0</v>
      </c>
      <c r="U43" s="156">
        <v>0</v>
      </c>
      <c r="V43" s="156">
        <v>0</v>
      </c>
      <c r="W43" s="158">
        <v>1.6090297790585975E-2</v>
      </c>
      <c r="X43" s="158">
        <v>0.15682036503362151</v>
      </c>
      <c r="Y43" s="156" t="s">
        <v>1257</v>
      </c>
      <c r="Z43" s="159">
        <v>35877</v>
      </c>
      <c r="AA43" s="156" t="s">
        <v>1268</v>
      </c>
      <c r="AB43" s="156" t="s">
        <v>1265</v>
      </c>
      <c r="AC43" s="157">
        <v>0.96617455710897804</v>
      </c>
    </row>
    <row r="44" spans="1:29" x14ac:dyDescent="0.2">
      <c r="A44" s="153" t="s">
        <v>306</v>
      </c>
      <c r="B44" s="153" t="s">
        <v>307</v>
      </c>
      <c r="C44" s="154" t="s">
        <v>200</v>
      </c>
      <c r="D44" s="155">
        <v>3232</v>
      </c>
      <c r="E4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9822</v>
      </c>
      <c r="F44" s="157">
        <f>IF(Cons_Unit_Costs[[#This Row],[Closing social housing units managed]]&gt;0,Cons_Unit_Costs[[#This Row],[Headline Social Housing Cost]]/Cons_Unit_Costs[[#This Row],[Closing social housing units managed]],"")</f>
        <v>3.0389851485148514</v>
      </c>
      <c r="G44" s="157">
        <f>IF(Cons_Unit_Costs[[#This Row],[Closing social housing units managed]]&gt;0,Cons_Unit_Costs[[#This Row],[Management]]/Cons_Unit_Costs[[#This Row],[Closing social housing units managed]],"")</f>
        <v>1.2413366336633664</v>
      </c>
      <c r="H44" s="156">
        <v>4012</v>
      </c>
      <c r="I44" s="157">
        <f>IF(Cons_Unit_Costs[[#This Row],[Closing social housing units managed]]&gt;0,Cons_Unit_Costs[[#This Row],[Service charge costs]]/Cons_Unit_Costs[[#This Row],[Closing social housing units managed]],"")</f>
        <v>0.23948019801980197</v>
      </c>
      <c r="J44" s="156">
        <v>774</v>
      </c>
      <c r="K44" s="157">
        <f>IF(Cons_Unit_Costs[[#This Row],[Closing social housing units managed]]&gt;0,(Cons_Unit_Costs[[#This Row],[Routine maintenance]]+Cons_Unit_Costs[[#This Row],[Planned maintenance]])/Cons_Unit_Costs[[#This Row],[Closing social housing units managed]],"")</f>
        <v>0.73267326732673266</v>
      </c>
      <c r="L44" s="156">
        <v>2101</v>
      </c>
      <c r="M44" s="156">
        <v>267</v>
      </c>
      <c r="N44" s="157">
        <f>IF(Cons_Unit_Costs[[#This Row],[Closing social housing units managed]]&gt;0,(Cons_Unit_Costs[[#This Row],[Major repairs expenditure]]+Cons_Unit_Costs[[#This Row],[Capitalised major repairs expenditure for period]])/Cons_Unit_Costs[[#This Row],[Closing social housing units managed]],"")</f>
        <v>0.57240099009900991</v>
      </c>
      <c r="O44" s="156">
        <v>622</v>
      </c>
      <c r="P44" s="156">
        <v>1228</v>
      </c>
      <c r="Q4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0.2530940594059406</v>
      </c>
      <c r="R44" s="156">
        <v>633</v>
      </c>
      <c r="S44" s="156">
        <v>0</v>
      </c>
      <c r="T44" s="156">
        <v>185</v>
      </c>
      <c r="U44" s="156">
        <v>0</v>
      </c>
      <c r="V44" s="156">
        <v>0</v>
      </c>
      <c r="W44" s="158">
        <v>4.9115913555992138E-2</v>
      </c>
      <c r="X44" s="158">
        <v>0.10903732809430255</v>
      </c>
      <c r="Y44" s="156" t="s">
        <v>1256</v>
      </c>
      <c r="Z44" s="159"/>
      <c r="AA44" s="156" t="s">
        <v>1279</v>
      </c>
      <c r="AB44" s="156" t="s">
        <v>1263</v>
      </c>
      <c r="AC44" s="157">
        <v>1.0022399874355168</v>
      </c>
    </row>
    <row r="45" spans="1:29" x14ac:dyDescent="0.2">
      <c r="A45" s="153" t="s">
        <v>49</v>
      </c>
      <c r="B45" s="153" t="s">
        <v>48</v>
      </c>
      <c r="C45" s="154" t="s">
        <v>200</v>
      </c>
      <c r="D45" s="155">
        <v>6173</v>
      </c>
      <c r="E4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15917</v>
      </c>
      <c r="F45" s="157">
        <f>IF(Cons_Unit_Costs[[#This Row],[Closing social housing units managed]]&gt;0,Cons_Unit_Costs[[#This Row],[Headline Social Housing Cost]]/Cons_Unit_Costs[[#This Row],[Closing social housing units managed]],"")</f>
        <v>2.5784869593390574</v>
      </c>
      <c r="G45" s="157">
        <f>IF(Cons_Unit_Costs[[#This Row],[Closing social housing units managed]]&gt;0,Cons_Unit_Costs[[#This Row],[Management]]/Cons_Unit_Costs[[#This Row],[Closing social housing units managed]],"")</f>
        <v>0.88984286408553381</v>
      </c>
      <c r="H45" s="156">
        <v>5493</v>
      </c>
      <c r="I45" s="157">
        <f>IF(Cons_Unit_Costs[[#This Row],[Closing social housing units managed]]&gt;0,Cons_Unit_Costs[[#This Row],[Service charge costs]]/Cons_Unit_Costs[[#This Row],[Closing social housing units managed]],"")</f>
        <v>0.21869431394783737</v>
      </c>
      <c r="J45" s="156">
        <v>1350</v>
      </c>
      <c r="K45" s="157">
        <f>IF(Cons_Unit_Costs[[#This Row],[Closing social housing units managed]]&gt;0,(Cons_Unit_Costs[[#This Row],[Routine maintenance]]+Cons_Unit_Costs[[#This Row],[Planned maintenance]])/Cons_Unit_Costs[[#This Row],[Closing social housing units managed]],"")</f>
        <v>0.73481289486473356</v>
      </c>
      <c r="L45" s="156">
        <v>4536</v>
      </c>
      <c r="M45" s="156">
        <v>0</v>
      </c>
      <c r="N45" s="157">
        <f>IF(Cons_Unit_Costs[[#This Row],[Closing social housing units managed]]&gt;0,(Cons_Unit_Costs[[#This Row],[Major repairs expenditure]]+Cons_Unit_Costs[[#This Row],[Capitalised major repairs expenditure for period]])/Cons_Unit_Costs[[#This Row],[Closing social housing units managed]],"")</f>
        <v>0.56763324153572003</v>
      </c>
      <c r="O45" s="156">
        <v>0</v>
      </c>
      <c r="P45" s="156">
        <v>3504</v>
      </c>
      <c r="Q4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0.16750364490523245</v>
      </c>
      <c r="R45" s="156">
        <v>0</v>
      </c>
      <c r="S45" s="156">
        <v>237</v>
      </c>
      <c r="T45" s="156">
        <v>0</v>
      </c>
      <c r="U45" s="156">
        <v>206</v>
      </c>
      <c r="V45" s="156">
        <v>591</v>
      </c>
      <c r="W45" s="158">
        <v>2.9159241859711645E-3</v>
      </c>
      <c r="X45" s="158">
        <v>6.8200226794103355E-2</v>
      </c>
      <c r="Y45" s="156" t="s">
        <v>1257</v>
      </c>
      <c r="Z45" s="159">
        <v>38684</v>
      </c>
      <c r="AA45" s="156" t="s">
        <v>1280</v>
      </c>
      <c r="AB45" s="156" t="s">
        <v>1262</v>
      </c>
      <c r="AC45" s="157">
        <v>0.9156653862445665</v>
      </c>
    </row>
    <row r="46" spans="1:29" x14ac:dyDescent="0.2">
      <c r="A46" s="153" t="s">
        <v>51</v>
      </c>
      <c r="B46" s="153" t="s">
        <v>50</v>
      </c>
      <c r="C46" s="154" t="s">
        <v>200</v>
      </c>
      <c r="D46" s="155">
        <v>2887</v>
      </c>
      <c r="E4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10838</v>
      </c>
      <c r="F46" s="157">
        <f>IF(Cons_Unit_Costs[[#This Row],[Closing social housing units managed]]&gt;0,Cons_Unit_Costs[[#This Row],[Headline Social Housing Cost]]/Cons_Unit_Costs[[#This Row],[Closing social housing units managed]],"")</f>
        <v>3.7540699688257706</v>
      </c>
      <c r="G46" s="157">
        <f>IF(Cons_Unit_Costs[[#This Row],[Closing social housing units managed]]&gt;0,Cons_Unit_Costs[[#This Row],[Management]]/Cons_Unit_Costs[[#This Row],[Closing social housing units managed]],"")</f>
        <v>0.99064773120886729</v>
      </c>
      <c r="H46" s="156">
        <v>2860</v>
      </c>
      <c r="I46" s="157">
        <f>IF(Cons_Unit_Costs[[#This Row],[Closing social housing units managed]]&gt;0,Cons_Unit_Costs[[#This Row],[Service charge costs]]/Cons_Unit_Costs[[#This Row],[Closing social housing units managed]],"")</f>
        <v>0.22029788708001385</v>
      </c>
      <c r="J46" s="156">
        <v>636</v>
      </c>
      <c r="K46" s="157">
        <f>IF(Cons_Unit_Costs[[#This Row],[Closing social housing units managed]]&gt;0,(Cons_Unit_Costs[[#This Row],[Routine maintenance]]+Cons_Unit_Costs[[#This Row],[Planned maintenance]])/Cons_Unit_Costs[[#This Row],[Closing social housing units managed]],"")</f>
        <v>1.335296155178386</v>
      </c>
      <c r="L46" s="156">
        <v>1983</v>
      </c>
      <c r="M46" s="156">
        <v>1872</v>
      </c>
      <c r="N46" s="157">
        <f>IF(Cons_Unit_Costs[[#This Row],[Closing social housing units managed]]&gt;0,(Cons_Unit_Costs[[#This Row],[Major repairs expenditure]]+Cons_Unit_Costs[[#This Row],[Capitalised major repairs expenditure for period]])/Cons_Unit_Costs[[#This Row],[Closing social housing units managed]],"")</f>
        <v>0.5978524419812955</v>
      </c>
      <c r="O46" s="156">
        <v>349</v>
      </c>
      <c r="P46" s="156">
        <v>1377</v>
      </c>
      <c r="Q4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0.60997575337720822</v>
      </c>
      <c r="R46" s="156">
        <v>118</v>
      </c>
      <c r="S46" s="156">
        <v>116</v>
      </c>
      <c r="T46" s="156">
        <v>1335</v>
      </c>
      <c r="U46" s="156">
        <v>192</v>
      </c>
      <c r="V46" s="156">
        <v>0</v>
      </c>
      <c r="W46" s="158">
        <v>8.4438692979618243E-2</v>
      </c>
      <c r="X46" s="158">
        <v>0.25590423811064378</v>
      </c>
      <c r="Y46" s="156" t="s">
        <v>1256</v>
      </c>
      <c r="Z46" s="159"/>
      <c r="AA46" s="156" t="s">
        <v>1279</v>
      </c>
      <c r="AB46" s="156" t="s">
        <v>1264</v>
      </c>
      <c r="AC46" s="157">
        <v>0.94807909763407583</v>
      </c>
    </row>
    <row r="47" spans="1:29" x14ac:dyDescent="0.2">
      <c r="A47" s="153" t="s">
        <v>308</v>
      </c>
      <c r="B47" s="153" t="s">
        <v>867</v>
      </c>
      <c r="C47" s="154" t="s">
        <v>200</v>
      </c>
      <c r="D47" s="155">
        <v>4668</v>
      </c>
      <c r="E4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15563</v>
      </c>
      <c r="F47" s="157">
        <f>IF(Cons_Unit_Costs[[#This Row],[Closing social housing units managed]]&gt;0,Cons_Unit_Costs[[#This Row],[Headline Social Housing Cost]]/Cons_Unit_Costs[[#This Row],[Closing social housing units managed]],"")</f>
        <v>3.3339760068551842</v>
      </c>
      <c r="G47" s="157">
        <f>IF(Cons_Unit_Costs[[#This Row],[Closing social housing units managed]]&gt;0,Cons_Unit_Costs[[#This Row],[Management]]/Cons_Unit_Costs[[#This Row],[Closing social housing units managed]],"")</f>
        <v>0.83311910882604967</v>
      </c>
      <c r="H47" s="156">
        <v>3889</v>
      </c>
      <c r="I47" s="157">
        <f>IF(Cons_Unit_Costs[[#This Row],[Closing social housing units managed]]&gt;0,Cons_Unit_Costs[[#This Row],[Service charge costs]]/Cons_Unit_Costs[[#This Row],[Closing social housing units managed]],"")</f>
        <v>0.22729220222793486</v>
      </c>
      <c r="J47" s="156">
        <v>1061</v>
      </c>
      <c r="K47" s="157">
        <f>IF(Cons_Unit_Costs[[#This Row],[Closing social housing units managed]]&gt;0,(Cons_Unit_Costs[[#This Row],[Routine maintenance]]+Cons_Unit_Costs[[#This Row],[Planned maintenance]])/Cons_Unit_Costs[[#This Row],[Closing social housing units managed]],"")</f>
        <v>1.3860325621251071</v>
      </c>
      <c r="L47" s="156">
        <v>4282</v>
      </c>
      <c r="M47" s="156">
        <v>2188</v>
      </c>
      <c r="N47" s="157">
        <f>IF(Cons_Unit_Costs[[#This Row],[Closing social housing units managed]]&gt;0,(Cons_Unit_Costs[[#This Row],[Major repairs expenditure]]+Cons_Unit_Costs[[#This Row],[Capitalised major repairs expenditure for period]])/Cons_Unit_Costs[[#This Row],[Closing social housing units managed]],"")</f>
        <v>0.62210796915167099</v>
      </c>
      <c r="O47" s="156">
        <v>0</v>
      </c>
      <c r="P47" s="156">
        <v>2904</v>
      </c>
      <c r="Q4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0.26542416452442158</v>
      </c>
      <c r="R47" s="156">
        <v>869</v>
      </c>
      <c r="S47" s="156">
        <v>351</v>
      </c>
      <c r="T47" s="156">
        <v>0</v>
      </c>
      <c r="U47" s="156">
        <v>19</v>
      </c>
      <c r="V47" s="156">
        <v>0</v>
      </c>
      <c r="W47" s="158">
        <v>6.0021436227224011E-3</v>
      </c>
      <c r="X47" s="158">
        <v>0.10203644158628082</v>
      </c>
      <c r="Y47" s="156" t="s">
        <v>1257</v>
      </c>
      <c r="Z47" s="159">
        <v>39293</v>
      </c>
      <c r="AA47" s="156" t="s">
        <v>1280</v>
      </c>
      <c r="AB47" s="156" t="s">
        <v>1260</v>
      </c>
      <c r="AC47" s="157">
        <v>0.91571558169387279</v>
      </c>
    </row>
    <row r="48" spans="1:29" x14ac:dyDescent="0.2">
      <c r="A48" s="153" t="s">
        <v>315</v>
      </c>
      <c r="B48" s="153" t="s">
        <v>314</v>
      </c>
      <c r="C48" s="154" t="s">
        <v>200</v>
      </c>
      <c r="D48" s="155">
        <v>4621</v>
      </c>
      <c r="E4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12564</v>
      </c>
      <c r="F48" s="157">
        <f>IF(Cons_Unit_Costs[[#This Row],[Closing social housing units managed]]&gt;0,Cons_Unit_Costs[[#This Row],[Headline Social Housing Cost]]/Cons_Unit_Costs[[#This Row],[Closing social housing units managed]],"")</f>
        <v>2.7188920147154296</v>
      </c>
      <c r="G48" s="157">
        <f>IF(Cons_Unit_Costs[[#This Row],[Closing social housing units managed]]&gt;0,Cons_Unit_Costs[[#This Row],[Management]]/Cons_Unit_Costs[[#This Row],[Closing social housing units managed]],"")</f>
        <v>0.99523912573036144</v>
      </c>
      <c r="H48" s="156">
        <v>4599</v>
      </c>
      <c r="I48" s="157">
        <f>IF(Cons_Unit_Costs[[#This Row],[Closing social housing units managed]]&gt;0,Cons_Unit_Costs[[#This Row],[Service charge costs]]/Cons_Unit_Costs[[#This Row],[Closing social housing units managed]],"")</f>
        <v>0.18026401211858906</v>
      </c>
      <c r="J48" s="156">
        <v>833</v>
      </c>
      <c r="K48" s="157">
        <f>IF(Cons_Unit_Costs[[#This Row],[Closing social housing units managed]]&gt;0,(Cons_Unit_Costs[[#This Row],[Routine maintenance]]+Cons_Unit_Costs[[#This Row],[Planned maintenance]])/Cons_Unit_Costs[[#This Row],[Closing social housing units managed]],"")</f>
        <v>0.72148885522614148</v>
      </c>
      <c r="L48" s="156">
        <v>1375</v>
      </c>
      <c r="M48" s="156">
        <v>1959</v>
      </c>
      <c r="N48" s="157">
        <f>IF(Cons_Unit_Costs[[#This Row],[Closing social housing units managed]]&gt;0,(Cons_Unit_Costs[[#This Row],[Major repairs expenditure]]+Cons_Unit_Costs[[#This Row],[Capitalised major repairs expenditure for period]])/Cons_Unit_Costs[[#This Row],[Closing social housing units managed]],"")</f>
        <v>0.67258169227439946</v>
      </c>
      <c r="O48" s="156">
        <v>718</v>
      </c>
      <c r="P48" s="156">
        <v>2390</v>
      </c>
      <c r="Q4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0.14931832936593811</v>
      </c>
      <c r="R48" s="156">
        <v>0</v>
      </c>
      <c r="S48" s="156">
        <v>0</v>
      </c>
      <c r="T48" s="156">
        <v>690</v>
      </c>
      <c r="U48" s="156">
        <v>0</v>
      </c>
      <c r="V48" s="156">
        <v>0</v>
      </c>
      <c r="W48" s="158">
        <v>0</v>
      </c>
      <c r="X48" s="158">
        <v>0</v>
      </c>
      <c r="Y48" s="156" t="s">
        <v>1258</v>
      </c>
      <c r="Z48" s="159">
        <v>36976</v>
      </c>
      <c r="AA48" s="156" t="s">
        <v>1268</v>
      </c>
      <c r="AB48" s="156" t="s">
        <v>1259</v>
      </c>
      <c r="AC48" s="157">
        <v>1.0032270039342297</v>
      </c>
    </row>
    <row r="49" spans="1:29" x14ac:dyDescent="0.2">
      <c r="A49" s="153" t="s">
        <v>316</v>
      </c>
      <c r="B49" s="153" t="s">
        <v>317</v>
      </c>
      <c r="C49" s="154" t="s">
        <v>200</v>
      </c>
      <c r="D49" s="155">
        <v>18172</v>
      </c>
      <c r="E49"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56718</v>
      </c>
      <c r="F49" s="157">
        <f>IF(Cons_Unit_Costs[[#This Row],[Closing social housing units managed]]&gt;0,Cons_Unit_Costs[[#This Row],[Headline Social Housing Cost]]/Cons_Unit_Costs[[#This Row],[Closing social housing units managed]],"")</f>
        <v>3.1211754347347567</v>
      </c>
      <c r="G49" s="157">
        <f>IF(Cons_Unit_Costs[[#This Row],[Closing social housing units managed]]&gt;0,Cons_Unit_Costs[[#This Row],[Management]]/Cons_Unit_Costs[[#This Row],[Closing social housing units managed]],"")</f>
        <v>1.0177195685670262</v>
      </c>
      <c r="H49" s="156">
        <v>18494</v>
      </c>
      <c r="I49" s="157">
        <f>IF(Cons_Unit_Costs[[#This Row],[Closing social housing units managed]]&gt;0,Cons_Unit_Costs[[#This Row],[Service charge costs]]/Cons_Unit_Costs[[#This Row],[Closing social housing units managed]],"")</f>
        <v>5.8056350429231789E-2</v>
      </c>
      <c r="J49" s="156">
        <v>1055</v>
      </c>
      <c r="K49" s="157">
        <f>IF(Cons_Unit_Costs[[#This Row],[Closing social housing units managed]]&gt;0,(Cons_Unit_Costs[[#This Row],[Routine maintenance]]+Cons_Unit_Costs[[#This Row],[Planned maintenance]])/Cons_Unit_Costs[[#This Row],[Closing social housing units managed]],"")</f>
        <v>1.1131961259079903</v>
      </c>
      <c r="L49" s="156">
        <v>17555</v>
      </c>
      <c r="M49" s="156">
        <v>2674</v>
      </c>
      <c r="N49" s="157">
        <f>IF(Cons_Unit_Costs[[#This Row],[Closing social housing units managed]]&gt;0,(Cons_Unit_Costs[[#This Row],[Major repairs expenditure]]+Cons_Unit_Costs[[#This Row],[Capitalised major repairs expenditure for period]])/Cons_Unit_Costs[[#This Row],[Closing social housing units managed]],"")</f>
        <v>0.93220338983050843</v>
      </c>
      <c r="O49" s="156">
        <v>791</v>
      </c>
      <c r="P49" s="156">
        <v>16149</v>
      </c>
      <c r="Q49"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v>
      </c>
      <c r="R49" s="156">
        <v>0</v>
      </c>
      <c r="S49" s="156">
        <v>0</v>
      </c>
      <c r="T49" s="156">
        <v>0</v>
      </c>
      <c r="U49" s="156">
        <v>0</v>
      </c>
      <c r="V49" s="156">
        <v>0</v>
      </c>
      <c r="W49" s="158">
        <v>0</v>
      </c>
      <c r="X49" s="158">
        <v>0</v>
      </c>
      <c r="Y49" s="156" t="s">
        <v>1257</v>
      </c>
      <c r="Z49" s="159">
        <v>42107</v>
      </c>
      <c r="AA49" s="156" t="s">
        <v>1269</v>
      </c>
      <c r="AB49" s="156" t="s">
        <v>1266</v>
      </c>
      <c r="AC49" s="157">
        <v>0.9026647648742484</v>
      </c>
    </row>
    <row r="50" spans="1:29" x14ac:dyDescent="0.2">
      <c r="A50" s="153" t="s">
        <v>318</v>
      </c>
      <c r="B50" s="153" t="s">
        <v>52</v>
      </c>
      <c r="C50" s="154" t="s">
        <v>200</v>
      </c>
      <c r="D50" s="155">
        <v>10672</v>
      </c>
      <c r="E50"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30319</v>
      </c>
      <c r="F50" s="157">
        <f>IF(Cons_Unit_Costs[[#This Row],[Closing social housing units managed]]&gt;0,Cons_Unit_Costs[[#This Row],[Headline Social Housing Cost]]/Cons_Unit_Costs[[#This Row],[Closing social housing units managed]],"")</f>
        <v>2.8409857571214392</v>
      </c>
      <c r="G50" s="157">
        <f>IF(Cons_Unit_Costs[[#This Row],[Closing social housing units managed]]&gt;0,Cons_Unit_Costs[[#This Row],[Management]]/Cons_Unit_Costs[[#This Row],[Closing social housing units managed]],"")</f>
        <v>0.86900299850074958</v>
      </c>
      <c r="H50" s="156">
        <v>9274</v>
      </c>
      <c r="I50" s="157">
        <f>IF(Cons_Unit_Costs[[#This Row],[Closing social housing units managed]]&gt;0,Cons_Unit_Costs[[#This Row],[Service charge costs]]/Cons_Unit_Costs[[#This Row],[Closing social housing units managed]],"")</f>
        <v>0.34023613193403296</v>
      </c>
      <c r="J50" s="156">
        <v>3631</v>
      </c>
      <c r="K50" s="157">
        <f>IF(Cons_Unit_Costs[[#This Row],[Closing social housing units managed]]&gt;0,(Cons_Unit_Costs[[#This Row],[Routine maintenance]]+Cons_Unit_Costs[[#This Row],[Planned maintenance]])/Cons_Unit_Costs[[#This Row],[Closing social housing units managed]],"")</f>
        <v>0.91013868065967019</v>
      </c>
      <c r="L50" s="156">
        <v>6105</v>
      </c>
      <c r="M50" s="156">
        <v>3608</v>
      </c>
      <c r="N50" s="157">
        <f>IF(Cons_Unit_Costs[[#This Row],[Closing social housing units managed]]&gt;0,(Cons_Unit_Costs[[#This Row],[Major repairs expenditure]]+Cons_Unit_Costs[[#This Row],[Capitalised major repairs expenditure for period]])/Cons_Unit_Costs[[#This Row],[Closing social housing units managed]],"")</f>
        <v>0.64327211394302852</v>
      </c>
      <c r="O50" s="156">
        <v>0</v>
      </c>
      <c r="P50" s="156">
        <v>6865</v>
      </c>
      <c r="Q50"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7.8335832083958015E-2</v>
      </c>
      <c r="R50" s="156">
        <v>0</v>
      </c>
      <c r="S50" s="156">
        <v>115</v>
      </c>
      <c r="T50" s="156">
        <v>0</v>
      </c>
      <c r="U50" s="156">
        <v>262</v>
      </c>
      <c r="V50" s="156">
        <v>459</v>
      </c>
      <c r="W50" s="158">
        <v>7.0628119408607214E-3</v>
      </c>
      <c r="X50" s="158">
        <v>0.10716639984932667</v>
      </c>
      <c r="Y50" s="156" t="s">
        <v>1257</v>
      </c>
      <c r="Z50" s="159">
        <v>38264</v>
      </c>
      <c r="AA50" s="156" t="s">
        <v>1268</v>
      </c>
      <c r="AB50" s="156" t="s">
        <v>1263</v>
      </c>
      <c r="AC50" s="157">
        <v>1.0010183150953693</v>
      </c>
    </row>
    <row r="51" spans="1:29" x14ac:dyDescent="0.2">
      <c r="A51" s="153" t="s">
        <v>55</v>
      </c>
      <c r="B51" s="153" t="s">
        <v>54</v>
      </c>
      <c r="C51" s="154" t="s">
        <v>200</v>
      </c>
      <c r="D51" s="155">
        <v>1506</v>
      </c>
      <c r="E51"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7762</v>
      </c>
      <c r="F51" s="157">
        <f>IF(Cons_Unit_Costs[[#This Row],[Closing social housing units managed]]&gt;0,Cons_Unit_Costs[[#This Row],[Headline Social Housing Cost]]/Cons_Unit_Costs[[#This Row],[Closing social housing units managed]],"")</f>
        <v>5.1540504648074368</v>
      </c>
      <c r="G51" s="157">
        <f>IF(Cons_Unit_Costs[[#This Row],[Closing social housing units managed]]&gt;0,Cons_Unit_Costs[[#This Row],[Management]]/Cons_Unit_Costs[[#This Row],[Closing social housing units managed]],"")</f>
        <v>1.5278884462151394</v>
      </c>
      <c r="H51" s="156">
        <v>2301</v>
      </c>
      <c r="I51" s="157">
        <f>IF(Cons_Unit_Costs[[#This Row],[Closing social housing units managed]]&gt;0,Cons_Unit_Costs[[#This Row],[Service charge costs]]/Cons_Unit_Costs[[#This Row],[Closing social housing units managed]],"")</f>
        <v>0.4588313413014608</v>
      </c>
      <c r="J51" s="156">
        <v>691</v>
      </c>
      <c r="K51" s="157">
        <f>IF(Cons_Unit_Costs[[#This Row],[Closing social housing units managed]]&gt;0,(Cons_Unit_Costs[[#This Row],[Routine maintenance]]+Cons_Unit_Costs[[#This Row],[Planned maintenance]])/Cons_Unit_Costs[[#This Row],[Closing social housing units managed]],"")</f>
        <v>1.199867197875166</v>
      </c>
      <c r="L51" s="156">
        <v>1429</v>
      </c>
      <c r="M51" s="156">
        <v>378</v>
      </c>
      <c r="N51" s="157">
        <f>IF(Cons_Unit_Costs[[#This Row],[Closing social housing units managed]]&gt;0,(Cons_Unit_Costs[[#This Row],[Major repairs expenditure]]+Cons_Unit_Costs[[#This Row],[Capitalised major repairs expenditure for period]])/Cons_Unit_Costs[[#This Row],[Closing social housing units managed]],"")</f>
        <v>0.40969455511288183</v>
      </c>
      <c r="O51" s="156">
        <v>0</v>
      </c>
      <c r="P51" s="156">
        <v>617</v>
      </c>
      <c r="Q51"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1.5577689243027888</v>
      </c>
      <c r="R51" s="156">
        <v>0</v>
      </c>
      <c r="S51" s="156">
        <v>2336</v>
      </c>
      <c r="T51" s="156">
        <v>10</v>
      </c>
      <c r="U51" s="156">
        <v>0</v>
      </c>
      <c r="V51" s="156">
        <v>0</v>
      </c>
      <c r="W51" s="158">
        <v>0.1781647689216343</v>
      </c>
      <c r="X51" s="158">
        <v>0.1781647689216343</v>
      </c>
      <c r="Y51" s="156" t="s">
        <v>1256</v>
      </c>
      <c r="Z51" s="159"/>
      <c r="AA51" s="156" t="s">
        <v>1279</v>
      </c>
      <c r="AB51" s="156" t="s">
        <v>1267</v>
      </c>
      <c r="AC51" s="157">
        <v>1.2488627787394371</v>
      </c>
    </row>
    <row r="52" spans="1:29" x14ac:dyDescent="0.2">
      <c r="A52" s="153" t="s">
        <v>57</v>
      </c>
      <c r="B52" s="153" t="s">
        <v>56</v>
      </c>
      <c r="C52" s="154" t="s">
        <v>200</v>
      </c>
      <c r="D52" s="155">
        <v>11883</v>
      </c>
      <c r="E52"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41627</v>
      </c>
      <c r="F52" s="157">
        <f>IF(Cons_Unit_Costs[[#This Row],[Closing social housing units managed]]&gt;0,Cons_Unit_Costs[[#This Row],[Headline Social Housing Cost]]/Cons_Unit_Costs[[#This Row],[Closing social housing units managed]],"")</f>
        <v>3.5030716149120593</v>
      </c>
      <c r="G52" s="157">
        <f>IF(Cons_Unit_Costs[[#This Row],[Closing social housing units managed]]&gt;0,Cons_Unit_Costs[[#This Row],[Management]]/Cons_Unit_Costs[[#This Row],[Closing social housing units managed]],"")</f>
        <v>0.74535050071530762</v>
      </c>
      <c r="H52" s="156">
        <v>8857</v>
      </c>
      <c r="I52" s="157">
        <f>IF(Cons_Unit_Costs[[#This Row],[Closing social housing units managed]]&gt;0,Cons_Unit_Costs[[#This Row],[Service charge costs]]/Cons_Unit_Costs[[#This Row],[Closing social housing units managed]],"")</f>
        <v>0.21560212067659681</v>
      </c>
      <c r="J52" s="156">
        <v>2562</v>
      </c>
      <c r="K52" s="157">
        <f>IF(Cons_Unit_Costs[[#This Row],[Closing social housing units managed]]&gt;0,(Cons_Unit_Costs[[#This Row],[Routine maintenance]]+Cons_Unit_Costs[[#This Row],[Planned maintenance]])/Cons_Unit_Costs[[#This Row],[Closing social housing units managed]],"")</f>
        <v>0.77573003450307165</v>
      </c>
      <c r="L52" s="156">
        <v>9218</v>
      </c>
      <c r="M52" s="156">
        <v>0</v>
      </c>
      <c r="N52" s="157">
        <f>IF(Cons_Unit_Costs[[#This Row],[Closing social housing units managed]]&gt;0,(Cons_Unit_Costs[[#This Row],[Major repairs expenditure]]+Cons_Unit_Costs[[#This Row],[Capitalised major repairs expenditure for period]])/Cons_Unit_Costs[[#This Row],[Closing social housing units managed]],"")</f>
        <v>1.3209627198518892</v>
      </c>
      <c r="O52" s="156">
        <v>9542</v>
      </c>
      <c r="P52" s="156">
        <v>6155</v>
      </c>
      <c r="Q52"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0.44542623916519397</v>
      </c>
      <c r="R52" s="156">
        <v>2567</v>
      </c>
      <c r="S52" s="156">
        <v>2233</v>
      </c>
      <c r="T52" s="156">
        <v>0</v>
      </c>
      <c r="U52" s="156">
        <v>493</v>
      </c>
      <c r="V52" s="156">
        <v>0</v>
      </c>
      <c r="W52" s="158">
        <v>1.5785054575986567E-2</v>
      </c>
      <c r="X52" s="158">
        <v>0.15230898404701931</v>
      </c>
      <c r="Y52" s="156" t="s">
        <v>1257</v>
      </c>
      <c r="Z52" s="159">
        <v>36248</v>
      </c>
      <c r="AA52" s="156" t="s">
        <v>1268</v>
      </c>
      <c r="AB52" s="156" t="s">
        <v>1265</v>
      </c>
      <c r="AC52" s="157">
        <v>0.96617455710897804</v>
      </c>
    </row>
    <row r="53" spans="1:29" x14ac:dyDescent="0.2">
      <c r="A53" s="153" t="s">
        <v>329</v>
      </c>
      <c r="B53" s="153" t="s">
        <v>330</v>
      </c>
      <c r="C53" s="154" t="s">
        <v>200</v>
      </c>
      <c r="D53" s="155">
        <v>6696</v>
      </c>
      <c r="E53"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20759</v>
      </c>
      <c r="F53" s="157">
        <f>IF(Cons_Unit_Costs[[#This Row],[Closing social housing units managed]]&gt;0,Cons_Unit_Costs[[#This Row],[Headline Social Housing Cost]]/Cons_Unit_Costs[[#This Row],[Closing social housing units managed]],"")</f>
        <v>3.1002090800477897</v>
      </c>
      <c r="G53" s="157">
        <f>IF(Cons_Unit_Costs[[#This Row],[Closing social housing units managed]]&gt;0,Cons_Unit_Costs[[#This Row],[Management]]/Cons_Unit_Costs[[#This Row],[Closing social housing units managed]],"")</f>
        <v>0.12216248506571087</v>
      </c>
      <c r="H53" s="156">
        <v>818</v>
      </c>
      <c r="I53" s="157">
        <f>IF(Cons_Unit_Costs[[#This Row],[Closing social housing units managed]]&gt;0,Cons_Unit_Costs[[#This Row],[Service charge costs]]/Cons_Unit_Costs[[#This Row],[Closing social housing units managed]],"")</f>
        <v>0.36708482676224613</v>
      </c>
      <c r="J53" s="156">
        <v>2458</v>
      </c>
      <c r="K53" s="157">
        <f>IF(Cons_Unit_Costs[[#This Row],[Closing social housing units managed]]&gt;0,(Cons_Unit_Costs[[#This Row],[Routine maintenance]]+Cons_Unit_Costs[[#This Row],[Planned maintenance]])/Cons_Unit_Costs[[#This Row],[Closing social housing units managed]],"")</f>
        <v>0.56406810035842292</v>
      </c>
      <c r="L53" s="156">
        <v>2607</v>
      </c>
      <c r="M53" s="156">
        <v>1170</v>
      </c>
      <c r="N53" s="157">
        <f>IF(Cons_Unit_Costs[[#This Row],[Closing social housing units managed]]&gt;0,(Cons_Unit_Costs[[#This Row],[Major repairs expenditure]]+Cons_Unit_Costs[[#This Row],[Capitalised major repairs expenditure for period]])/Cons_Unit_Costs[[#This Row],[Closing social housing units managed]],"")</f>
        <v>0.73879928315412191</v>
      </c>
      <c r="O53" s="156">
        <v>0</v>
      </c>
      <c r="P53" s="156">
        <v>4947</v>
      </c>
      <c r="Q53"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1.3080943847072879</v>
      </c>
      <c r="R53" s="156">
        <v>8759</v>
      </c>
      <c r="S53" s="156">
        <v>0</v>
      </c>
      <c r="T53" s="156">
        <v>0</v>
      </c>
      <c r="U53" s="156">
        <v>0</v>
      </c>
      <c r="V53" s="156">
        <v>0</v>
      </c>
      <c r="W53" s="158">
        <v>0</v>
      </c>
      <c r="X53" s="158">
        <v>2.9037569226163747E-2</v>
      </c>
      <c r="Y53" s="156" t="s">
        <v>1257</v>
      </c>
      <c r="Z53" s="159">
        <v>39055</v>
      </c>
      <c r="AA53" s="156" t="s">
        <v>1280</v>
      </c>
      <c r="AB53" s="156" t="s">
        <v>1266</v>
      </c>
      <c r="AC53" s="157">
        <v>0.9026647648742484</v>
      </c>
    </row>
    <row r="54" spans="1:29" x14ac:dyDescent="0.2">
      <c r="A54" s="153" t="s">
        <v>61</v>
      </c>
      <c r="B54" s="153" t="s">
        <v>60</v>
      </c>
      <c r="C54" s="154" t="s">
        <v>200</v>
      </c>
      <c r="D54" s="155">
        <v>23445</v>
      </c>
      <c r="E5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63113</v>
      </c>
      <c r="F54" s="157">
        <f>IF(Cons_Unit_Costs[[#This Row],[Closing social housing units managed]]&gt;0,Cons_Unit_Costs[[#This Row],[Headline Social Housing Cost]]/Cons_Unit_Costs[[#This Row],[Closing social housing units managed]],"")</f>
        <v>2.691959906163361</v>
      </c>
      <c r="G54" s="157">
        <f>IF(Cons_Unit_Costs[[#This Row],[Closing social housing units managed]]&gt;0,Cons_Unit_Costs[[#This Row],[Management]]/Cons_Unit_Costs[[#This Row],[Closing social housing units managed]],"")</f>
        <v>0.83924077628492211</v>
      </c>
      <c r="H54" s="156">
        <v>19676</v>
      </c>
      <c r="I54" s="157">
        <f>IF(Cons_Unit_Costs[[#This Row],[Closing social housing units managed]]&gt;0,Cons_Unit_Costs[[#This Row],[Service charge costs]]/Cons_Unit_Costs[[#This Row],[Closing social housing units managed]],"")</f>
        <v>0.26901258264022182</v>
      </c>
      <c r="J54" s="156">
        <v>6307</v>
      </c>
      <c r="K54" s="157">
        <f>IF(Cons_Unit_Costs[[#This Row],[Closing social housing units managed]]&gt;0,(Cons_Unit_Costs[[#This Row],[Routine maintenance]]+Cons_Unit_Costs[[#This Row],[Planned maintenance]])/Cons_Unit_Costs[[#This Row],[Closing social housing units managed]],"")</f>
        <v>0.84734484964811263</v>
      </c>
      <c r="L54" s="156">
        <v>14071</v>
      </c>
      <c r="M54" s="156">
        <v>5795</v>
      </c>
      <c r="N54" s="157">
        <f>IF(Cons_Unit_Costs[[#This Row],[Closing social housing units managed]]&gt;0,(Cons_Unit_Costs[[#This Row],[Major repairs expenditure]]+Cons_Unit_Costs[[#This Row],[Capitalised major repairs expenditure for period]])/Cons_Unit_Costs[[#This Row],[Closing social housing units managed]],"")</f>
        <v>0.51767967583706542</v>
      </c>
      <c r="O54" s="156">
        <v>4544</v>
      </c>
      <c r="P54" s="156">
        <v>7593</v>
      </c>
      <c r="Q5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0.21868202175303902</v>
      </c>
      <c r="R54" s="156">
        <v>0</v>
      </c>
      <c r="S54" s="156">
        <v>3391</v>
      </c>
      <c r="T54" s="156">
        <v>375</v>
      </c>
      <c r="U54" s="156">
        <v>1361</v>
      </c>
      <c r="V54" s="156">
        <v>0</v>
      </c>
      <c r="W54" s="158">
        <v>2.1634396873011545E-2</v>
      </c>
      <c r="X54" s="158">
        <v>1.9225524952277067E-2</v>
      </c>
      <c r="Y54" s="156" t="s">
        <v>1256</v>
      </c>
      <c r="Z54" s="159"/>
      <c r="AA54" s="156" t="s">
        <v>1279</v>
      </c>
      <c r="AB54" s="156" t="s">
        <v>1265</v>
      </c>
      <c r="AC54" s="157">
        <v>0.96617247115787419</v>
      </c>
    </row>
    <row r="55" spans="1:29" x14ac:dyDescent="0.2">
      <c r="A55" s="153" t="s">
        <v>199</v>
      </c>
      <c r="B55" s="153" t="s">
        <v>63</v>
      </c>
      <c r="C55" s="154" t="s">
        <v>200</v>
      </c>
      <c r="D55" s="155">
        <v>1770</v>
      </c>
      <c r="E5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5042</v>
      </c>
      <c r="F55" s="157">
        <f>IF(Cons_Unit_Costs[[#This Row],[Closing social housing units managed]]&gt;0,Cons_Unit_Costs[[#This Row],[Headline Social Housing Cost]]/Cons_Unit_Costs[[#This Row],[Closing social housing units managed]],"")</f>
        <v>2.8485875706214689</v>
      </c>
      <c r="G55" s="157">
        <f>IF(Cons_Unit_Costs[[#This Row],[Closing social housing units managed]]&gt;0,Cons_Unit_Costs[[#This Row],[Management]]/Cons_Unit_Costs[[#This Row],[Closing social housing units managed]],"")</f>
        <v>0.47966101694915253</v>
      </c>
      <c r="H55" s="156">
        <v>849</v>
      </c>
      <c r="I55" s="157">
        <f>IF(Cons_Unit_Costs[[#This Row],[Closing social housing units managed]]&gt;0,Cons_Unit_Costs[[#This Row],[Service charge costs]]/Cons_Unit_Costs[[#This Row],[Closing social housing units managed]],"")</f>
        <v>0.11129943502824859</v>
      </c>
      <c r="J55" s="156">
        <v>197</v>
      </c>
      <c r="K55" s="157">
        <f>IF(Cons_Unit_Costs[[#This Row],[Closing social housing units managed]]&gt;0,(Cons_Unit_Costs[[#This Row],[Routine maintenance]]+Cons_Unit_Costs[[#This Row],[Planned maintenance]])/Cons_Unit_Costs[[#This Row],[Closing social housing units managed]],"")</f>
        <v>1.119774011299435</v>
      </c>
      <c r="L55" s="156">
        <v>1977</v>
      </c>
      <c r="M55" s="156">
        <v>5</v>
      </c>
      <c r="N55" s="157">
        <f>IF(Cons_Unit_Costs[[#This Row],[Closing social housing units managed]]&gt;0,(Cons_Unit_Costs[[#This Row],[Major repairs expenditure]]+Cons_Unit_Costs[[#This Row],[Capitalised major repairs expenditure for period]])/Cons_Unit_Costs[[#This Row],[Closing social housing units managed]],"")</f>
        <v>0.68418079096045192</v>
      </c>
      <c r="O55" s="156">
        <v>0</v>
      </c>
      <c r="P55" s="156">
        <v>1211</v>
      </c>
      <c r="Q5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0.45367231638418082</v>
      </c>
      <c r="R55" s="156">
        <v>803</v>
      </c>
      <c r="S55" s="156">
        <v>0</v>
      </c>
      <c r="T55" s="156">
        <v>0</v>
      </c>
      <c r="U55" s="156">
        <v>0</v>
      </c>
      <c r="V55" s="156">
        <v>0</v>
      </c>
      <c r="W55" s="158">
        <v>0</v>
      </c>
      <c r="X55" s="158">
        <v>4.8511576626240352E-2</v>
      </c>
      <c r="Y55" s="156" t="s">
        <v>1256</v>
      </c>
      <c r="Z55" s="159"/>
      <c r="AA55" s="156" t="s">
        <v>1279</v>
      </c>
      <c r="AB55" s="156" t="s">
        <v>1266</v>
      </c>
      <c r="AC55" s="157">
        <v>0.9026647648742484</v>
      </c>
    </row>
    <row r="56" spans="1:29" x14ac:dyDescent="0.2">
      <c r="A56" s="153" t="s">
        <v>340</v>
      </c>
      <c r="B56" s="153" t="s">
        <v>339</v>
      </c>
      <c r="C56" s="154" t="s">
        <v>200</v>
      </c>
      <c r="D56" s="155">
        <v>3731</v>
      </c>
      <c r="E5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17492</v>
      </c>
      <c r="F56" s="157">
        <f>IF(Cons_Unit_Costs[[#This Row],[Closing social housing units managed]]&gt;0,Cons_Unit_Costs[[#This Row],[Headline Social Housing Cost]]/Cons_Unit_Costs[[#This Row],[Closing social housing units managed]],"")</f>
        <v>4.6882873224336636</v>
      </c>
      <c r="G56" s="157">
        <f>IF(Cons_Unit_Costs[[#This Row],[Closing social housing units managed]]&gt;0,Cons_Unit_Costs[[#This Row],[Management]]/Cons_Unit_Costs[[#This Row],[Closing social housing units managed]],"")</f>
        <v>0.93728222996515675</v>
      </c>
      <c r="H56" s="156">
        <v>3497</v>
      </c>
      <c r="I56" s="157">
        <f>IF(Cons_Unit_Costs[[#This Row],[Closing social housing units managed]]&gt;0,Cons_Unit_Costs[[#This Row],[Service charge costs]]/Cons_Unit_Costs[[#This Row],[Closing social housing units managed]],"")</f>
        <v>1.0986330742428303</v>
      </c>
      <c r="J56" s="156">
        <v>4099</v>
      </c>
      <c r="K56" s="157">
        <f>IF(Cons_Unit_Costs[[#This Row],[Closing social housing units managed]]&gt;0,(Cons_Unit_Costs[[#This Row],[Routine maintenance]]+Cons_Unit_Costs[[#This Row],[Planned maintenance]])/Cons_Unit_Costs[[#This Row],[Closing social housing units managed]],"")</f>
        <v>0.87724470651299924</v>
      </c>
      <c r="L56" s="156">
        <v>2888</v>
      </c>
      <c r="M56" s="156">
        <v>385</v>
      </c>
      <c r="N56" s="157">
        <f>IF(Cons_Unit_Costs[[#This Row],[Closing social housing units managed]]&gt;0,(Cons_Unit_Costs[[#This Row],[Major repairs expenditure]]+Cons_Unit_Costs[[#This Row],[Capitalised major repairs expenditure for period]])/Cons_Unit_Costs[[#This Row],[Closing social housing units managed]],"")</f>
        <v>1.7751273117126776</v>
      </c>
      <c r="O56" s="156">
        <v>302</v>
      </c>
      <c r="P56" s="156">
        <v>6321</v>
      </c>
      <c r="Q5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v>
      </c>
      <c r="R56" s="156">
        <v>0</v>
      </c>
      <c r="S56" s="156">
        <v>0</v>
      </c>
      <c r="T56" s="156">
        <v>0</v>
      </c>
      <c r="U56" s="156">
        <v>0</v>
      </c>
      <c r="V56" s="156">
        <v>0</v>
      </c>
      <c r="W56" s="158">
        <v>0</v>
      </c>
      <c r="X56" s="158">
        <v>0</v>
      </c>
      <c r="Y56" s="156" t="s">
        <v>1257</v>
      </c>
      <c r="Z56" s="159">
        <v>38453</v>
      </c>
      <c r="AA56" s="156" t="s">
        <v>1280</v>
      </c>
      <c r="AB56" s="156" t="s">
        <v>1267</v>
      </c>
      <c r="AC56" s="157">
        <v>1.2488627787394371</v>
      </c>
    </row>
    <row r="57" spans="1:29" x14ac:dyDescent="0.2">
      <c r="A57" s="153" t="s">
        <v>341</v>
      </c>
      <c r="B57" s="153" t="s">
        <v>342</v>
      </c>
      <c r="C57" s="154" t="s">
        <v>200</v>
      </c>
      <c r="D57" s="155">
        <v>18913</v>
      </c>
      <c r="E5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61294</v>
      </c>
      <c r="F57" s="157">
        <f>IF(Cons_Unit_Costs[[#This Row],[Closing social housing units managed]]&gt;0,Cons_Unit_Costs[[#This Row],[Headline Social Housing Cost]]/Cons_Unit_Costs[[#This Row],[Closing social housing units managed]],"")</f>
        <v>3.2408396341141015</v>
      </c>
      <c r="G57" s="157">
        <f>IF(Cons_Unit_Costs[[#This Row],[Closing social housing units managed]]&gt;0,Cons_Unit_Costs[[#This Row],[Management]]/Cons_Unit_Costs[[#This Row],[Closing social housing units managed]],"")</f>
        <v>0.95986887326177761</v>
      </c>
      <c r="H57" s="156">
        <v>18154</v>
      </c>
      <c r="I57" s="157">
        <f>IF(Cons_Unit_Costs[[#This Row],[Closing social housing units managed]]&gt;0,Cons_Unit_Costs[[#This Row],[Service charge costs]]/Cons_Unit_Costs[[#This Row],[Closing social housing units managed]],"")</f>
        <v>0.35319621424417069</v>
      </c>
      <c r="J57" s="156">
        <v>6680</v>
      </c>
      <c r="K57" s="157">
        <f>IF(Cons_Unit_Costs[[#This Row],[Closing social housing units managed]]&gt;0,(Cons_Unit_Costs[[#This Row],[Routine maintenance]]+Cons_Unit_Costs[[#This Row],[Planned maintenance]])/Cons_Unit_Costs[[#This Row],[Closing social housing units managed]],"")</f>
        <v>0.72066832337545605</v>
      </c>
      <c r="L57" s="156">
        <v>10482</v>
      </c>
      <c r="M57" s="156">
        <v>3148</v>
      </c>
      <c r="N57" s="157">
        <f>IF(Cons_Unit_Costs[[#This Row],[Closing social housing units managed]]&gt;0,(Cons_Unit_Costs[[#This Row],[Major repairs expenditure]]+Cons_Unit_Costs[[#This Row],[Capitalised major repairs expenditure for period]])/Cons_Unit_Costs[[#This Row],[Closing social housing units managed]],"")</f>
        <v>0.44815735208586688</v>
      </c>
      <c r="O57" s="156">
        <v>154</v>
      </c>
      <c r="P57" s="156">
        <v>8322</v>
      </c>
      <c r="Q5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0.75894887114683018</v>
      </c>
      <c r="R57" s="156">
        <v>104</v>
      </c>
      <c r="S57" s="156">
        <v>14090</v>
      </c>
      <c r="T57" s="156">
        <v>160</v>
      </c>
      <c r="U57" s="156">
        <v>0</v>
      </c>
      <c r="V57" s="156">
        <v>0</v>
      </c>
      <c r="W57" s="158">
        <v>2.9229460379192999E-2</v>
      </c>
      <c r="X57" s="158">
        <v>0.22964268351968886</v>
      </c>
      <c r="Y57" s="156" t="s">
        <v>1256</v>
      </c>
      <c r="Z57" s="159"/>
      <c r="AA57" s="156" t="s">
        <v>1279</v>
      </c>
      <c r="AB57" s="156" t="s">
        <v>1261</v>
      </c>
      <c r="AC57" s="157">
        <v>0.92043250468809645</v>
      </c>
    </row>
    <row r="58" spans="1:29" x14ac:dyDescent="0.2">
      <c r="A58" s="153" t="s">
        <v>347</v>
      </c>
      <c r="B58" s="153" t="s">
        <v>348</v>
      </c>
      <c r="C58" s="154" t="s">
        <v>200</v>
      </c>
      <c r="D58" s="155">
        <v>1812</v>
      </c>
      <c r="E5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6317</v>
      </c>
      <c r="F58" s="157">
        <f>IF(Cons_Unit_Costs[[#This Row],[Closing social housing units managed]]&gt;0,Cons_Unit_Costs[[#This Row],[Headline Social Housing Cost]]/Cons_Unit_Costs[[#This Row],[Closing social housing units managed]],"")</f>
        <v>3.4862030905077264</v>
      </c>
      <c r="G58" s="157">
        <f>IF(Cons_Unit_Costs[[#This Row],[Closing social housing units managed]]&gt;0,Cons_Unit_Costs[[#This Row],[Management]]/Cons_Unit_Costs[[#This Row],[Closing social housing units managed]],"")</f>
        <v>1.3664459161147904</v>
      </c>
      <c r="H58" s="156">
        <v>2476</v>
      </c>
      <c r="I58" s="157">
        <f>IF(Cons_Unit_Costs[[#This Row],[Closing social housing units managed]]&gt;0,Cons_Unit_Costs[[#This Row],[Service charge costs]]/Cons_Unit_Costs[[#This Row],[Closing social housing units managed]],"")</f>
        <v>5.0772626931567331E-2</v>
      </c>
      <c r="J58" s="156">
        <v>92</v>
      </c>
      <c r="K58" s="157">
        <f>IF(Cons_Unit_Costs[[#This Row],[Closing social housing units managed]]&gt;0,(Cons_Unit_Costs[[#This Row],[Routine maintenance]]+Cons_Unit_Costs[[#This Row],[Planned maintenance]])/Cons_Unit_Costs[[#This Row],[Closing social housing units managed]],"")</f>
        <v>1.0033112582781456</v>
      </c>
      <c r="L58" s="156">
        <v>1600</v>
      </c>
      <c r="M58" s="156">
        <v>218</v>
      </c>
      <c r="N58" s="157">
        <f>IF(Cons_Unit_Costs[[#This Row],[Closing social housing units managed]]&gt;0,(Cons_Unit_Costs[[#This Row],[Major repairs expenditure]]+Cons_Unit_Costs[[#This Row],[Capitalised major repairs expenditure for period]])/Cons_Unit_Costs[[#This Row],[Closing social housing units managed]],"")</f>
        <v>0.59768211920529801</v>
      </c>
      <c r="O58" s="156">
        <v>0</v>
      </c>
      <c r="P58" s="156">
        <v>1083</v>
      </c>
      <c r="Q5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0.46799116997792495</v>
      </c>
      <c r="R58" s="156">
        <v>269</v>
      </c>
      <c r="S58" s="156">
        <v>130</v>
      </c>
      <c r="T58" s="156">
        <v>449</v>
      </c>
      <c r="U58" s="156">
        <v>0</v>
      </c>
      <c r="V58" s="156">
        <v>0</v>
      </c>
      <c r="W58" s="158">
        <v>4.5269582909460836E-2</v>
      </c>
      <c r="X58" s="158">
        <v>3.4587995930824011E-2</v>
      </c>
      <c r="Y58" s="156" t="s">
        <v>1257</v>
      </c>
      <c r="Z58" s="159">
        <v>35695</v>
      </c>
      <c r="AA58" s="156" t="s">
        <v>1268</v>
      </c>
      <c r="AB58" s="156" t="s">
        <v>1262</v>
      </c>
      <c r="AC58" s="157">
        <v>0.9156653862445665</v>
      </c>
    </row>
    <row r="59" spans="1:29" x14ac:dyDescent="0.2">
      <c r="A59" s="153" t="s">
        <v>352</v>
      </c>
      <c r="B59" s="153" t="s">
        <v>353</v>
      </c>
      <c r="C59" s="154" t="s">
        <v>200</v>
      </c>
      <c r="D59" s="155">
        <v>1096</v>
      </c>
      <c r="E59"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2043</v>
      </c>
      <c r="F59" s="157">
        <f>IF(Cons_Unit_Costs[[#This Row],[Closing social housing units managed]]&gt;0,Cons_Unit_Costs[[#This Row],[Headline Social Housing Cost]]/Cons_Unit_Costs[[#This Row],[Closing social housing units managed]],"")</f>
        <v>1.8640510948905109</v>
      </c>
      <c r="G59" s="157">
        <f>IF(Cons_Unit_Costs[[#This Row],[Closing social housing units managed]]&gt;0,Cons_Unit_Costs[[#This Row],[Management]]/Cons_Unit_Costs[[#This Row],[Closing social housing units managed]],"")</f>
        <v>0.96350364963503654</v>
      </c>
      <c r="H59" s="156">
        <v>1056</v>
      </c>
      <c r="I59" s="157">
        <f>IF(Cons_Unit_Costs[[#This Row],[Closing social housing units managed]]&gt;0,Cons_Unit_Costs[[#This Row],[Service charge costs]]/Cons_Unit_Costs[[#This Row],[Closing social housing units managed]],"")</f>
        <v>0.1031021897810219</v>
      </c>
      <c r="J59" s="156">
        <v>113</v>
      </c>
      <c r="K59" s="157">
        <f>IF(Cons_Unit_Costs[[#This Row],[Closing social housing units managed]]&gt;0,(Cons_Unit_Costs[[#This Row],[Routine maintenance]]+Cons_Unit_Costs[[#This Row],[Planned maintenance]])/Cons_Unit_Costs[[#This Row],[Closing social housing units managed]],"")</f>
        <v>0.34671532846715331</v>
      </c>
      <c r="L59" s="156">
        <v>380</v>
      </c>
      <c r="M59" s="156">
        <v>0</v>
      </c>
      <c r="N59" s="157">
        <f>IF(Cons_Unit_Costs[[#This Row],[Closing social housing units managed]]&gt;0,(Cons_Unit_Costs[[#This Row],[Major repairs expenditure]]+Cons_Unit_Costs[[#This Row],[Capitalised major repairs expenditure for period]])/Cons_Unit_Costs[[#This Row],[Closing social housing units managed]],"")</f>
        <v>0.45072992700729925</v>
      </c>
      <c r="O59" s="156">
        <v>149</v>
      </c>
      <c r="P59" s="156">
        <v>345</v>
      </c>
      <c r="Q59"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v>
      </c>
      <c r="R59" s="156">
        <v>0</v>
      </c>
      <c r="S59" s="156">
        <v>0</v>
      </c>
      <c r="T59" s="156">
        <v>0</v>
      </c>
      <c r="U59" s="156">
        <v>0</v>
      </c>
      <c r="V59" s="156">
        <v>0</v>
      </c>
      <c r="W59" s="158">
        <v>7.4487895716945996E-3</v>
      </c>
      <c r="X59" s="158">
        <v>0</v>
      </c>
      <c r="Y59" s="156" t="s">
        <v>1257</v>
      </c>
      <c r="Z59" s="159">
        <v>35885</v>
      </c>
      <c r="AA59" s="156" t="s">
        <v>1268</v>
      </c>
      <c r="AB59" s="156" t="s">
        <v>1260</v>
      </c>
      <c r="AC59" s="157">
        <v>0.91571558169387279</v>
      </c>
    </row>
    <row r="60" spans="1:29" x14ac:dyDescent="0.2">
      <c r="A60" s="153" t="s">
        <v>356</v>
      </c>
      <c r="B60" s="153" t="s">
        <v>357</v>
      </c>
      <c r="C60" s="154" t="s">
        <v>200</v>
      </c>
      <c r="D60" s="155">
        <v>1187</v>
      </c>
      <c r="E60"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2905</v>
      </c>
      <c r="F60" s="157">
        <f>IF(Cons_Unit_Costs[[#This Row],[Closing social housing units managed]]&gt;0,Cons_Unit_Costs[[#This Row],[Headline Social Housing Cost]]/Cons_Unit_Costs[[#This Row],[Closing social housing units managed]],"")</f>
        <v>2.4473462510530748</v>
      </c>
      <c r="G60" s="157">
        <f>IF(Cons_Unit_Costs[[#This Row],[Closing social housing units managed]]&gt;0,Cons_Unit_Costs[[#This Row],[Management]]/Cons_Unit_Costs[[#This Row],[Closing social housing units managed]],"")</f>
        <v>0.75905644481887113</v>
      </c>
      <c r="H60" s="156">
        <v>901</v>
      </c>
      <c r="I60" s="157">
        <f>IF(Cons_Unit_Costs[[#This Row],[Closing social housing units managed]]&gt;0,Cons_Unit_Costs[[#This Row],[Service charge costs]]/Cons_Unit_Costs[[#This Row],[Closing social housing units managed]],"")</f>
        <v>0.41196293176074139</v>
      </c>
      <c r="J60" s="156">
        <v>489</v>
      </c>
      <c r="K60" s="157">
        <f>IF(Cons_Unit_Costs[[#This Row],[Closing social housing units managed]]&gt;0,(Cons_Unit_Costs[[#This Row],[Routine maintenance]]+Cons_Unit_Costs[[#This Row],[Planned maintenance]])/Cons_Unit_Costs[[#This Row],[Closing social housing units managed]],"")</f>
        <v>0.64448188711036225</v>
      </c>
      <c r="L60" s="156">
        <v>451</v>
      </c>
      <c r="M60" s="156">
        <v>314</v>
      </c>
      <c r="N60" s="157">
        <f>IF(Cons_Unit_Costs[[#This Row],[Closing social housing units managed]]&gt;0,(Cons_Unit_Costs[[#This Row],[Major repairs expenditure]]+Cons_Unit_Costs[[#This Row],[Capitalised major repairs expenditure for period]])/Cons_Unit_Costs[[#This Row],[Closing social housing units managed]],"")</f>
        <v>0.36478517270429656</v>
      </c>
      <c r="O60" s="156">
        <v>223</v>
      </c>
      <c r="P60" s="156">
        <v>210</v>
      </c>
      <c r="Q60"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0.26705981465880368</v>
      </c>
      <c r="R60" s="156">
        <v>0</v>
      </c>
      <c r="S60" s="156">
        <v>0</v>
      </c>
      <c r="T60" s="156">
        <v>317</v>
      </c>
      <c r="U60" s="156">
        <v>0</v>
      </c>
      <c r="V60" s="156">
        <v>0</v>
      </c>
      <c r="W60" s="158">
        <v>0</v>
      </c>
      <c r="X60" s="158">
        <v>0</v>
      </c>
      <c r="Y60" s="156" t="s">
        <v>1256</v>
      </c>
      <c r="Z60" s="159"/>
      <c r="AA60" s="156" t="s">
        <v>1279</v>
      </c>
      <c r="AB60" s="156" t="s">
        <v>1259</v>
      </c>
      <c r="AC60" s="157">
        <v>1.0036662164529855</v>
      </c>
    </row>
    <row r="61" spans="1:29" x14ac:dyDescent="0.2">
      <c r="A61" s="153" t="s">
        <v>358</v>
      </c>
      <c r="B61" s="153" t="s">
        <v>359</v>
      </c>
      <c r="C61" s="154" t="s">
        <v>200</v>
      </c>
      <c r="D61" s="155">
        <v>4456</v>
      </c>
      <c r="E61"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14543</v>
      </c>
      <c r="F61" s="157">
        <f>IF(Cons_Unit_Costs[[#This Row],[Closing social housing units managed]]&gt;0,Cons_Unit_Costs[[#This Row],[Headline Social Housing Cost]]/Cons_Unit_Costs[[#This Row],[Closing social housing units managed]],"")</f>
        <v>3.263689407540395</v>
      </c>
      <c r="G61" s="157">
        <f>IF(Cons_Unit_Costs[[#This Row],[Closing social housing units managed]]&gt;0,Cons_Unit_Costs[[#This Row],[Management]]/Cons_Unit_Costs[[#This Row],[Closing social housing units managed]],"")</f>
        <v>1.0848294434470378</v>
      </c>
      <c r="H61" s="156">
        <v>4834</v>
      </c>
      <c r="I61" s="157">
        <f>IF(Cons_Unit_Costs[[#This Row],[Closing social housing units managed]]&gt;0,Cons_Unit_Costs[[#This Row],[Service charge costs]]/Cons_Unit_Costs[[#This Row],[Closing social housing units managed]],"")</f>
        <v>0.65035906642728902</v>
      </c>
      <c r="J61" s="156">
        <v>2898</v>
      </c>
      <c r="K61" s="157">
        <f>IF(Cons_Unit_Costs[[#This Row],[Closing social housing units managed]]&gt;0,(Cons_Unit_Costs[[#This Row],[Routine maintenance]]+Cons_Unit_Costs[[#This Row],[Planned maintenance]])/Cons_Unit_Costs[[#This Row],[Closing social housing units managed]],"")</f>
        <v>0.53298922800718129</v>
      </c>
      <c r="L61" s="156">
        <v>1751</v>
      </c>
      <c r="M61" s="156">
        <v>624</v>
      </c>
      <c r="N61" s="157">
        <f>IF(Cons_Unit_Costs[[#This Row],[Closing social housing units managed]]&gt;0,(Cons_Unit_Costs[[#This Row],[Major repairs expenditure]]+Cons_Unit_Costs[[#This Row],[Capitalised major repairs expenditure for period]])/Cons_Unit_Costs[[#This Row],[Closing social housing units managed]],"")</f>
        <v>0.85188509874326745</v>
      </c>
      <c r="O61" s="156">
        <v>1605</v>
      </c>
      <c r="P61" s="156">
        <v>2191</v>
      </c>
      <c r="Q61"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0.14362657091561939</v>
      </c>
      <c r="R61" s="156">
        <v>472</v>
      </c>
      <c r="S61" s="156">
        <v>0</v>
      </c>
      <c r="T61" s="156">
        <v>168</v>
      </c>
      <c r="U61" s="156">
        <v>0</v>
      </c>
      <c r="V61" s="156">
        <v>0</v>
      </c>
      <c r="W61" s="158">
        <v>2.3541453428863868E-2</v>
      </c>
      <c r="X61" s="158">
        <v>7.1392016376663259E-2</v>
      </c>
      <c r="Y61" s="156" t="s">
        <v>1256</v>
      </c>
      <c r="Z61" s="159"/>
      <c r="AA61" s="156" t="s">
        <v>1279</v>
      </c>
      <c r="AB61" s="156" t="s">
        <v>1262</v>
      </c>
      <c r="AC61" s="157">
        <v>0.92218389471466145</v>
      </c>
    </row>
    <row r="62" spans="1:29" x14ac:dyDescent="0.2">
      <c r="A62" s="153" t="s">
        <v>363</v>
      </c>
      <c r="B62" s="153" t="s">
        <v>364</v>
      </c>
      <c r="C62" s="154" t="s">
        <v>200</v>
      </c>
      <c r="D62" s="155">
        <v>4041</v>
      </c>
      <c r="E62"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20113</v>
      </c>
      <c r="F62" s="157">
        <f>IF(Cons_Unit_Costs[[#This Row],[Closing social housing units managed]]&gt;0,Cons_Unit_Costs[[#This Row],[Headline Social Housing Cost]]/Cons_Unit_Costs[[#This Row],[Closing social housing units managed]],"")</f>
        <v>4.9772333580796833</v>
      </c>
      <c r="G62" s="157">
        <f>IF(Cons_Unit_Costs[[#This Row],[Closing social housing units managed]]&gt;0,Cons_Unit_Costs[[#This Row],[Management]]/Cons_Unit_Costs[[#This Row],[Closing social housing units managed]],"")</f>
        <v>0.92006928977975744</v>
      </c>
      <c r="H62" s="156">
        <v>3718</v>
      </c>
      <c r="I62" s="157">
        <f>IF(Cons_Unit_Costs[[#This Row],[Closing social housing units managed]]&gt;0,Cons_Unit_Costs[[#This Row],[Service charge costs]]/Cons_Unit_Costs[[#This Row],[Closing social housing units managed]],"")</f>
        <v>0.55159613956941356</v>
      </c>
      <c r="J62" s="156">
        <v>2229</v>
      </c>
      <c r="K62" s="157">
        <f>IF(Cons_Unit_Costs[[#This Row],[Closing social housing units managed]]&gt;0,(Cons_Unit_Costs[[#This Row],[Routine maintenance]]+Cons_Unit_Costs[[#This Row],[Planned maintenance]])/Cons_Unit_Costs[[#This Row],[Closing social housing units managed]],"")</f>
        <v>1.4258846820094035</v>
      </c>
      <c r="L62" s="156">
        <v>4636</v>
      </c>
      <c r="M62" s="156">
        <v>1126</v>
      </c>
      <c r="N62" s="157">
        <f>IF(Cons_Unit_Costs[[#This Row],[Closing social housing units managed]]&gt;0,(Cons_Unit_Costs[[#This Row],[Major repairs expenditure]]+Cons_Unit_Costs[[#This Row],[Capitalised major repairs expenditure for period]])/Cons_Unit_Costs[[#This Row],[Closing social housing units managed]],"")</f>
        <v>0.82999257609502597</v>
      </c>
      <c r="O62" s="156">
        <v>288</v>
      </c>
      <c r="P62" s="156">
        <v>3066</v>
      </c>
      <c r="Q62"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1.2496906706260826</v>
      </c>
      <c r="R62" s="156">
        <v>3456</v>
      </c>
      <c r="S62" s="156">
        <v>602</v>
      </c>
      <c r="T62" s="156">
        <v>66</v>
      </c>
      <c r="U62" s="156">
        <v>375</v>
      </c>
      <c r="V62" s="156">
        <v>551</v>
      </c>
      <c r="W62" s="158">
        <v>2.5125628140703519E-2</v>
      </c>
      <c r="X62" s="158">
        <v>2.5628140703517589E-2</v>
      </c>
      <c r="Y62" s="156" t="s">
        <v>1256</v>
      </c>
      <c r="Z62" s="159"/>
      <c r="AA62" s="156" t="s">
        <v>1279</v>
      </c>
      <c r="AB62" s="156" t="s">
        <v>1263</v>
      </c>
      <c r="AC62" s="157">
        <v>1.0456001796834866</v>
      </c>
    </row>
    <row r="63" spans="1:29" x14ac:dyDescent="0.2">
      <c r="A63" s="153" t="s">
        <v>366</v>
      </c>
      <c r="B63" s="153" t="s">
        <v>367</v>
      </c>
      <c r="C63" s="154" t="s">
        <v>200</v>
      </c>
      <c r="D63" s="155">
        <v>25018</v>
      </c>
      <c r="E63"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135455</v>
      </c>
      <c r="F63" s="157">
        <f>IF(Cons_Unit_Costs[[#This Row],[Closing social housing units managed]]&gt;0,Cons_Unit_Costs[[#This Row],[Headline Social Housing Cost]]/Cons_Unit_Costs[[#This Row],[Closing social housing units managed]],"")</f>
        <v>5.4143017027740026</v>
      </c>
      <c r="G63" s="157">
        <f>IF(Cons_Unit_Costs[[#This Row],[Closing social housing units managed]]&gt;0,Cons_Unit_Costs[[#This Row],[Management]]/Cons_Unit_Costs[[#This Row],[Closing social housing units managed]],"")</f>
        <v>1.2436645615157087</v>
      </c>
      <c r="H63" s="156">
        <v>31114</v>
      </c>
      <c r="I63" s="157">
        <f>IF(Cons_Unit_Costs[[#This Row],[Closing social housing units managed]]&gt;0,Cons_Unit_Costs[[#This Row],[Service charge costs]]/Cons_Unit_Costs[[#This Row],[Closing social housing units managed]],"")</f>
        <v>0.45011591654009114</v>
      </c>
      <c r="J63" s="156">
        <v>11261</v>
      </c>
      <c r="K63" s="157">
        <f>IF(Cons_Unit_Costs[[#This Row],[Closing social housing units managed]]&gt;0,(Cons_Unit_Costs[[#This Row],[Routine maintenance]]+Cons_Unit_Costs[[#This Row],[Planned maintenance]])/Cons_Unit_Costs[[#This Row],[Closing social housing units managed]],"")</f>
        <v>1.4141817891118396</v>
      </c>
      <c r="L63" s="156">
        <v>19864</v>
      </c>
      <c r="M63" s="156">
        <v>15516</v>
      </c>
      <c r="N63" s="157">
        <f>IF(Cons_Unit_Costs[[#This Row],[Closing social housing units managed]]&gt;0,(Cons_Unit_Costs[[#This Row],[Major repairs expenditure]]+Cons_Unit_Costs[[#This Row],[Capitalised major repairs expenditure for period]])/Cons_Unit_Costs[[#This Row],[Closing social housing units managed]],"")</f>
        <v>0.82108881605244222</v>
      </c>
      <c r="O63" s="156">
        <v>0</v>
      </c>
      <c r="P63" s="156">
        <v>20542</v>
      </c>
      <c r="Q63"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1.4852506195539212</v>
      </c>
      <c r="R63" s="156">
        <v>31891</v>
      </c>
      <c r="S63" s="156">
        <v>0</v>
      </c>
      <c r="T63" s="156">
        <v>5267</v>
      </c>
      <c r="U63" s="156">
        <v>0</v>
      </c>
      <c r="V63" s="156">
        <v>0</v>
      </c>
      <c r="W63" s="158">
        <v>9.9495811986663407E-2</v>
      </c>
      <c r="X63" s="158">
        <v>2.3989590957144018E-2</v>
      </c>
      <c r="Y63" s="156" t="s">
        <v>1258</v>
      </c>
      <c r="Z63" s="159">
        <v>36248</v>
      </c>
      <c r="AA63" s="156" t="s">
        <v>1268</v>
      </c>
      <c r="AB63" s="156" t="s">
        <v>1267</v>
      </c>
      <c r="AC63" s="157">
        <v>1.2291372268893273</v>
      </c>
    </row>
    <row r="64" spans="1:29" x14ac:dyDescent="0.2">
      <c r="A64" s="160" t="s">
        <v>369</v>
      </c>
      <c r="B64" s="153" t="s">
        <v>370</v>
      </c>
      <c r="C64" s="154" t="s">
        <v>200</v>
      </c>
      <c r="D64" s="155">
        <v>11571</v>
      </c>
      <c r="E6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40792</v>
      </c>
      <c r="F64" s="157">
        <f>IF(Cons_Unit_Costs[[#This Row],[Closing social housing units managed]]&gt;0,Cons_Unit_Costs[[#This Row],[Headline Social Housing Cost]]/Cons_Unit_Costs[[#This Row],[Closing social housing units managed]],"")</f>
        <v>3.525365136980382</v>
      </c>
      <c r="G64" s="157">
        <f>IF(Cons_Unit_Costs[[#This Row],[Closing social housing units managed]]&gt;0,Cons_Unit_Costs[[#This Row],[Management]]/Cons_Unit_Costs[[#This Row],[Closing social housing units managed]],"")</f>
        <v>0.89551464869069219</v>
      </c>
      <c r="H64" s="156">
        <v>10362</v>
      </c>
      <c r="I64" s="157">
        <f>IF(Cons_Unit_Costs[[#This Row],[Closing social housing units managed]]&gt;0,Cons_Unit_Costs[[#This Row],[Service charge costs]]/Cons_Unit_Costs[[#This Row],[Closing social housing units managed]],"")</f>
        <v>0.23904589058854031</v>
      </c>
      <c r="J64" s="156">
        <v>2766</v>
      </c>
      <c r="K64" s="157">
        <f>IF(Cons_Unit_Costs[[#This Row],[Closing social housing units managed]]&gt;0,(Cons_Unit_Costs[[#This Row],[Routine maintenance]]+Cons_Unit_Costs[[#This Row],[Planned maintenance]])/Cons_Unit_Costs[[#This Row],[Closing social housing units managed]],"")</f>
        <v>0.7981159796041829</v>
      </c>
      <c r="L64" s="156">
        <v>6526</v>
      </c>
      <c r="M64" s="156">
        <v>2709</v>
      </c>
      <c r="N64" s="157">
        <f>IF(Cons_Unit_Costs[[#This Row],[Closing social housing units managed]]&gt;0,(Cons_Unit_Costs[[#This Row],[Major repairs expenditure]]+Cons_Unit_Costs[[#This Row],[Capitalised major repairs expenditure for period]])/Cons_Unit_Costs[[#This Row],[Closing social housing units managed]],"")</f>
        <v>1.4580416558637974</v>
      </c>
      <c r="O64" s="156">
        <v>3540</v>
      </c>
      <c r="P64" s="156">
        <v>13331</v>
      </c>
      <c r="Q6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0.13464696223316913</v>
      </c>
      <c r="R64" s="156">
        <v>0</v>
      </c>
      <c r="S64" s="156">
        <v>0</v>
      </c>
      <c r="T64" s="156">
        <v>1558</v>
      </c>
      <c r="U64" s="156">
        <v>0</v>
      </c>
      <c r="V64" s="156">
        <v>0</v>
      </c>
      <c r="W64" s="158">
        <v>0</v>
      </c>
      <c r="X64" s="158">
        <v>0</v>
      </c>
      <c r="Y64" s="156" t="s">
        <v>1257</v>
      </c>
      <c r="Z64" s="159">
        <v>40581</v>
      </c>
      <c r="AA64" s="156" t="s">
        <v>1269</v>
      </c>
      <c r="AB64" s="156" t="s">
        <v>1262</v>
      </c>
      <c r="AC64" s="157">
        <v>0.9156653862445665</v>
      </c>
    </row>
    <row r="65" spans="1:29" x14ac:dyDescent="0.2">
      <c r="A65" s="153" t="s">
        <v>69</v>
      </c>
      <c r="B65" s="153" t="s">
        <v>67</v>
      </c>
      <c r="C65" s="154" t="s">
        <v>200</v>
      </c>
      <c r="D65" s="155">
        <v>18373</v>
      </c>
      <c r="E6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52019</v>
      </c>
      <c r="F65" s="157">
        <f>IF(Cons_Unit_Costs[[#This Row],[Closing social housing units managed]]&gt;0,Cons_Unit_Costs[[#This Row],[Headline Social Housing Cost]]/Cons_Unit_Costs[[#This Row],[Closing social housing units managed]],"")</f>
        <v>2.8312741522886844</v>
      </c>
      <c r="G65" s="157">
        <f>IF(Cons_Unit_Costs[[#This Row],[Closing social housing units managed]]&gt;0,Cons_Unit_Costs[[#This Row],[Management]]/Cons_Unit_Costs[[#This Row],[Closing social housing units managed]],"")</f>
        <v>0.74696565612583687</v>
      </c>
      <c r="H65" s="156">
        <v>13724</v>
      </c>
      <c r="I65" s="157">
        <f>IF(Cons_Unit_Costs[[#This Row],[Closing social housing units managed]]&gt;0,Cons_Unit_Costs[[#This Row],[Service charge costs]]/Cons_Unit_Costs[[#This Row],[Closing social housing units managed]],"")</f>
        <v>0.34474500625918469</v>
      </c>
      <c r="J65" s="156">
        <v>6334</v>
      </c>
      <c r="K65" s="157">
        <f>IF(Cons_Unit_Costs[[#This Row],[Closing social housing units managed]]&gt;0,(Cons_Unit_Costs[[#This Row],[Routine maintenance]]+Cons_Unit_Costs[[#This Row],[Planned maintenance]])/Cons_Unit_Costs[[#This Row],[Closing social housing units managed]],"")</f>
        <v>0.81940891525608228</v>
      </c>
      <c r="L65" s="156">
        <v>11321</v>
      </c>
      <c r="M65" s="156">
        <v>3734</v>
      </c>
      <c r="N65" s="157">
        <f>IF(Cons_Unit_Costs[[#This Row],[Closing social housing units managed]]&gt;0,(Cons_Unit_Costs[[#This Row],[Major repairs expenditure]]+Cons_Unit_Costs[[#This Row],[Capitalised major repairs expenditure for period]])/Cons_Unit_Costs[[#This Row],[Closing social housing units managed]],"")</f>
        <v>0.89451913133402272</v>
      </c>
      <c r="O65" s="156">
        <v>8503</v>
      </c>
      <c r="P65" s="156">
        <v>7932</v>
      </c>
      <c r="Q6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2.5635443313557937E-2</v>
      </c>
      <c r="R65" s="156">
        <v>83</v>
      </c>
      <c r="S65" s="156">
        <v>0</v>
      </c>
      <c r="T65" s="156">
        <v>388</v>
      </c>
      <c r="U65" s="156">
        <v>0</v>
      </c>
      <c r="V65" s="156">
        <v>0</v>
      </c>
      <c r="W65" s="158">
        <v>2.0153440971029429E-2</v>
      </c>
      <c r="X65" s="158">
        <v>6.9907248368258332E-2</v>
      </c>
      <c r="Y65" s="156" t="s">
        <v>1258</v>
      </c>
      <c r="Z65" s="159">
        <v>35016</v>
      </c>
      <c r="AA65" s="156" t="s">
        <v>1268</v>
      </c>
      <c r="AB65" s="156" t="s">
        <v>1259</v>
      </c>
      <c r="AC65" s="157">
        <v>1.0118524159776632</v>
      </c>
    </row>
    <row r="66" spans="1:29" x14ac:dyDescent="0.2">
      <c r="A66" s="153" t="s">
        <v>371</v>
      </c>
      <c r="B66" s="153" t="s">
        <v>70</v>
      </c>
      <c r="C66" s="154" t="s">
        <v>200</v>
      </c>
      <c r="D66" s="155">
        <v>21623</v>
      </c>
      <c r="E6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55191</v>
      </c>
      <c r="F66" s="157">
        <f>IF(Cons_Unit_Costs[[#This Row],[Closing social housing units managed]]&gt;0,Cons_Unit_Costs[[#This Row],[Headline Social Housing Cost]]/Cons_Unit_Costs[[#This Row],[Closing social housing units managed]],"")</f>
        <v>2.5524210331591362</v>
      </c>
      <c r="G66" s="157">
        <f>IF(Cons_Unit_Costs[[#This Row],[Closing social housing units managed]]&gt;0,Cons_Unit_Costs[[#This Row],[Management]]/Cons_Unit_Costs[[#This Row],[Closing social housing units managed]],"")</f>
        <v>0.71803172547750083</v>
      </c>
      <c r="H66" s="156">
        <v>15526</v>
      </c>
      <c r="I66" s="157">
        <f>IF(Cons_Unit_Costs[[#This Row],[Closing social housing units managed]]&gt;0,Cons_Unit_Costs[[#This Row],[Service charge costs]]/Cons_Unit_Costs[[#This Row],[Closing social housing units managed]],"")</f>
        <v>0.22170836609166167</v>
      </c>
      <c r="J66" s="156">
        <v>4794</v>
      </c>
      <c r="K66" s="157">
        <f>IF(Cons_Unit_Costs[[#This Row],[Closing social housing units managed]]&gt;0,(Cons_Unit_Costs[[#This Row],[Routine maintenance]]+Cons_Unit_Costs[[#This Row],[Planned maintenance]])/Cons_Unit_Costs[[#This Row],[Closing social housing units managed]],"")</f>
        <v>0.81963649817324147</v>
      </c>
      <c r="L66" s="156">
        <v>15429</v>
      </c>
      <c r="M66" s="156">
        <v>2294</v>
      </c>
      <c r="N66" s="157">
        <f>IF(Cons_Unit_Costs[[#This Row],[Closing social housing units managed]]&gt;0,(Cons_Unit_Costs[[#This Row],[Major repairs expenditure]]+Cons_Unit_Costs[[#This Row],[Capitalised major repairs expenditure for period]])/Cons_Unit_Costs[[#This Row],[Closing social housing units managed]],"")</f>
        <v>0.78518244461915554</v>
      </c>
      <c r="O66" s="156">
        <v>0</v>
      </c>
      <c r="P66" s="156">
        <v>16978</v>
      </c>
      <c r="Q6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7.8619987975766543E-3</v>
      </c>
      <c r="R66" s="156">
        <v>0</v>
      </c>
      <c r="S66" s="156">
        <v>133</v>
      </c>
      <c r="T66" s="156">
        <v>37</v>
      </c>
      <c r="U66" s="156">
        <v>0</v>
      </c>
      <c r="V66" s="156">
        <v>0</v>
      </c>
      <c r="W66" s="158">
        <v>1.4548309624976908E-2</v>
      </c>
      <c r="X66" s="158">
        <v>6.9416220210604104E-2</v>
      </c>
      <c r="Y66" s="156" t="s">
        <v>1257</v>
      </c>
      <c r="Z66" s="159">
        <v>34058</v>
      </c>
      <c r="AA66" s="156" t="s">
        <v>1268</v>
      </c>
      <c r="AB66" s="156" t="s">
        <v>1263</v>
      </c>
      <c r="AC66" s="157">
        <v>1.0022399874355168</v>
      </c>
    </row>
    <row r="67" spans="1:29" x14ac:dyDescent="0.2">
      <c r="A67" s="153" t="s">
        <v>73</v>
      </c>
      <c r="B67" s="153" t="s">
        <v>72</v>
      </c>
      <c r="C67" s="154" t="s">
        <v>200</v>
      </c>
      <c r="D67" s="155">
        <v>15825</v>
      </c>
      <c r="E6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38057</v>
      </c>
      <c r="F67" s="157">
        <f>IF(Cons_Unit_Costs[[#This Row],[Closing social housing units managed]]&gt;0,Cons_Unit_Costs[[#This Row],[Headline Social Housing Cost]]/Cons_Unit_Costs[[#This Row],[Closing social housing units managed]],"")</f>
        <v>2.4048657187993681</v>
      </c>
      <c r="G67" s="157">
        <f>IF(Cons_Unit_Costs[[#This Row],[Closing social housing units managed]]&gt;0,Cons_Unit_Costs[[#This Row],[Management]]/Cons_Unit_Costs[[#This Row],[Closing social housing units managed]],"")</f>
        <v>0.46622432859399682</v>
      </c>
      <c r="H67" s="156">
        <v>7378</v>
      </c>
      <c r="I67" s="157">
        <f>IF(Cons_Unit_Costs[[#This Row],[Closing social housing units managed]]&gt;0,Cons_Unit_Costs[[#This Row],[Service charge costs]]/Cons_Unit_Costs[[#This Row],[Closing social housing units managed]],"")</f>
        <v>0.42148499210110585</v>
      </c>
      <c r="J67" s="156">
        <v>6670</v>
      </c>
      <c r="K67" s="157">
        <f>IF(Cons_Unit_Costs[[#This Row],[Closing social housing units managed]]&gt;0,(Cons_Unit_Costs[[#This Row],[Routine maintenance]]+Cons_Unit_Costs[[#This Row],[Planned maintenance]])/Cons_Unit_Costs[[#This Row],[Closing social housing units managed]],"")</f>
        <v>0.67304897314375989</v>
      </c>
      <c r="L67" s="156">
        <v>7679</v>
      </c>
      <c r="M67" s="156">
        <v>2972</v>
      </c>
      <c r="N67" s="157">
        <f>IF(Cons_Unit_Costs[[#This Row],[Closing social housing units managed]]&gt;0,(Cons_Unit_Costs[[#This Row],[Major repairs expenditure]]+Cons_Unit_Costs[[#This Row],[Capitalised major repairs expenditure for period]])/Cons_Unit_Costs[[#This Row],[Closing social housing units managed]],"")</f>
        <v>0.78167456556082149</v>
      </c>
      <c r="O67" s="156">
        <v>3957</v>
      </c>
      <c r="P67" s="156">
        <v>8413</v>
      </c>
      <c r="Q6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6.2432859399684043E-2</v>
      </c>
      <c r="R67" s="156">
        <v>22</v>
      </c>
      <c r="S67" s="156">
        <v>426</v>
      </c>
      <c r="T67" s="156">
        <v>540</v>
      </c>
      <c r="U67" s="156">
        <v>0</v>
      </c>
      <c r="V67" s="156">
        <v>0</v>
      </c>
      <c r="W67" s="158">
        <v>1.1298701298701299E-2</v>
      </c>
      <c r="X67" s="158">
        <v>0.11623376623376623</v>
      </c>
      <c r="Y67" s="156" t="s">
        <v>1258</v>
      </c>
      <c r="Z67" s="159">
        <v>38077</v>
      </c>
      <c r="AA67" s="156" t="s">
        <v>1268</v>
      </c>
      <c r="AB67" s="156" t="s">
        <v>1260</v>
      </c>
      <c r="AC67" s="157">
        <v>0.91601862860271477</v>
      </c>
    </row>
    <row r="68" spans="1:29" x14ac:dyDescent="0.2">
      <c r="A68" s="153" t="s">
        <v>372</v>
      </c>
      <c r="B68" s="153" t="s">
        <v>373</v>
      </c>
      <c r="C68" s="154" t="s">
        <v>200</v>
      </c>
      <c r="D68" s="155">
        <v>17661</v>
      </c>
      <c r="E6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58918</v>
      </c>
      <c r="F68" s="157">
        <f>IF(Cons_Unit_Costs[[#This Row],[Closing social housing units managed]]&gt;0,Cons_Unit_Costs[[#This Row],[Headline Social Housing Cost]]/Cons_Unit_Costs[[#This Row],[Closing social housing units managed]],"")</f>
        <v>3.3360511862295454</v>
      </c>
      <c r="G68" s="157">
        <f>IF(Cons_Unit_Costs[[#This Row],[Closing social housing units managed]]&gt;0,Cons_Unit_Costs[[#This Row],[Management]]/Cons_Unit_Costs[[#This Row],[Closing social housing units managed]],"")</f>
        <v>0.95668421946662141</v>
      </c>
      <c r="H68" s="156">
        <v>16896</v>
      </c>
      <c r="I68" s="157">
        <f>IF(Cons_Unit_Costs[[#This Row],[Closing social housing units managed]]&gt;0,Cons_Unit_Costs[[#This Row],[Service charge costs]]/Cons_Unit_Costs[[#This Row],[Closing social housing units managed]],"")</f>
        <v>0.2350376535869996</v>
      </c>
      <c r="J68" s="156">
        <v>4151</v>
      </c>
      <c r="K68" s="157">
        <f>IF(Cons_Unit_Costs[[#This Row],[Closing social housing units managed]]&gt;0,(Cons_Unit_Costs[[#This Row],[Routine maintenance]]+Cons_Unit_Costs[[#This Row],[Planned maintenance]])/Cons_Unit_Costs[[#This Row],[Closing social housing units managed]],"")</f>
        <v>0.83726855783930698</v>
      </c>
      <c r="L68" s="156">
        <v>10204</v>
      </c>
      <c r="M68" s="156">
        <v>4583</v>
      </c>
      <c r="N68" s="157">
        <f>IF(Cons_Unit_Costs[[#This Row],[Closing social housing units managed]]&gt;0,(Cons_Unit_Costs[[#This Row],[Major repairs expenditure]]+Cons_Unit_Costs[[#This Row],[Capitalised major repairs expenditure for period]])/Cons_Unit_Costs[[#This Row],[Closing social housing units managed]],"")</f>
        <v>0.96245965687107182</v>
      </c>
      <c r="O68" s="156">
        <v>1664</v>
      </c>
      <c r="P68" s="156">
        <v>15334</v>
      </c>
      <c r="Q6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0.34460109846554554</v>
      </c>
      <c r="R68" s="156">
        <v>4942</v>
      </c>
      <c r="S68" s="156">
        <v>934</v>
      </c>
      <c r="T68" s="156">
        <v>210</v>
      </c>
      <c r="U68" s="156">
        <v>0</v>
      </c>
      <c r="V68" s="156">
        <v>0</v>
      </c>
      <c r="W68" s="158">
        <v>7.5071859324804147E-2</v>
      </c>
      <c r="X68" s="158">
        <v>0</v>
      </c>
      <c r="Y68" s="156" t="s">
        <v>1258</v>
      </c>
      <c r="Z68" s="159">
        <v>39727</v>
      </c>
      <c r="AA68" s="156" t="s">
        <v>1280</v>
      </c>
      <c r="AB68" s="156" t="s">
        <v>1262</v>
      </c>
      <c r="AC68" s="157">
        <v>0.91566538624456639</v>
      </c>
    </row>
    <row r="69" spans="1:29" x14ac:dyDescent="0.2">
      <c r="A69" s="153" t="s">
        <v>374</v>
      </c>
      <c r="B69" s="153" t="s">
        <v>375</v>
      </c>
      <c r="C69" s="154" t="s">
        <v>200</v>
      </c>
      <c r="D69" s="155">
        <v>6826</v>
      </c>
      <c r="E69"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22244</v>
      </c>
      <c r="F69" s="157">
        <f>IF(Cons_Unit_Costs[[#This Row],[Closing social housing units managed]]&gt;0,Cons_Unit_Costs[[#This Row],[Headline Social Housing Cost]]/Cons_Unit_Costs[[#This Row],[Closing social housing units managed]],"")</f>
        <v>3.2587166715499563</v>
      </c>
      <c r="G69" s="157">
        <f>IF(Cons_Unit_Costs[[#This Row],[Closing social housing units managed]]&gt;0,Cons_Unit_Costs[[#This Row],[Management]]/Cons_Unit_Costs[[#This Row],[Closing social housing units managed]],"")</f>
        <v>0.57237034866686198</v>
      </c>
      <c r="H69" s="156">
        <v>3907</v>
      </c>
      <c r="I69" s="157">
        <f>IF(Cons_Unit_Costs[[#This Row],[Closing social housing units managed]]&gt;0,Cons_Unit_Costs[[#This Row],[Service charge costs]]/Cons_Unit_Costs[[#This Row],[Closing social housing units managed]],"")</f>
        <v>0.35716378552593026</v>
      </c>
      <c r="J69" s="156">
        <v>2438</v>
      </c>
      <c r="K69" s="157">
        <f>IF(Cons_Unit_Costs[[#This Row],[Closing social housing units managed]]&gt;0,(Cons_Unit_Costs[[#This Row],[Routine maintenance]]+Cons_Unit_Costs[[#This Row],[Planned maintenance]])/Cons_Unit_Costs[[#This Row],[Closing social housing units managed]],"")</f>
        <v>0.66451801933782595</v>
      </c>
      <c r="L69" s="156">
        <v>3243</v>
      </c>
      <c r="M69" s="156">
        <v>1293</v>
      </c>
      <c r="N69" s="157">
        <f>IF(Cons_Unit_Costs[[#This Row],[Closing social housing units managed]]&gt;0,(Cons_Unit_Costs[[#This Row],[Major repairs expenditure]]+Cons_Unit_Costs[[#This Row],[Capitalised major repairs expenditure for period]])/Cons_Unit_Costs[[#This Row],[Closing social housing units managed]],"")</f>
        <v>1.6341927922648696</v>
      </c>
      <c r="O69" s="156">
        <v>3133</v>
      </c>
      <c r="P69" s="156">
        <v>8022</v>
      </c>
      <c r="Q69"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3.0471725754468208E-2</v>
      </c>
      <c r="R69" s="156">
        <v>208</v>
      </c>
      <c r="S69" s="156">
        <v>0</v>
      </c>
      <c r="T69" s="156">
        <v>0</v>
      </c>
      <c r="U69" s="156">
        <v>0</v>
      </c>
      <c r="V69" s="156">
        <v>0</v>
      </c>
      <c r="W69" s="158">
        <v>4.5209275193233188E-3</v>
      </c>
      <c r="X69" s="158">
        <v>8.9106023042146709E-2</v>
      </c>
      <c r="Y69" s="156" t="s">
        <v>1257</v>
      </c>
      <c r="Z69" s="159">
        <v>38810</v>
      </c>
      <c r="AA69" s="156" t="s">
        <v>1280</v>
      </c>
      <c r="AB69" s="156" t="s">
        <v>1263</v>
      </c>
      <c r="AC69" s="157">
        <v>1.0022399874355168</v>
      </c>
    </row>
    <row r="70" spans="1:29" x14ac:dyDescent="0.2">
      <c r="A70" s="153" t="s">
        <v>382</v>
      </c>
      <c r="B70" s="153" t="s">
        <v>383</v>
      </c>
      <c r="C70" s="154" t="s">
        <v>200</v>
      </c>
      <c r="D70" s="155">
        <v>8928</v>
      </c>
      <c r="E70"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27329</v>
      </c>
      <c r="F70" s="157">
        <f>IF(Cons_Unit_Costs[[#This Row],[Closing social housing units managed]]&gt;0,Cons_Unit_Costs[[#This Row],[Headline Social Housing Cost]]/Cons_Unit_Costs[[#This Row],[Closing social housing units managed]],"")</f>
        <v>3.0610439068100357</v>
      </c>
      <c r="G70" s="157">
        <f>IF(Cons_Unit_Costs[[#This Row],[Closing social housing units managed]]&gt;0,Cons_Unit_Costs[[#This Row],[Management]]/Cons_Unit_Costs[[#This Row],[Closing social housing units managed]],"")</f>
        <v>1.2300627240143369</v>
      </c>
      <c r="H70" s="156">
        <v>10982</v>
      </c>
      <c r="I70" s="157">
        <f>IF(Cons_Unit_Costs[[#This Row],[Closing social housing units managed]]&gt;0,Cons_Unit_Costs[[#This Row],[Service charge costs]]/Cons_Unit_Costs[[#This Row],[Closing social housing units managed]],"")</f>
        <v>0.11267921146953405</v>
      </c>
      <c r="J70" s="156">
        <v>1006</v>
      </c>
      <c r="K70" s="157">
        <f>IF(Cons_Unit_Costs[[#This Row],[Closing social housing units managed]]&gt;0,(Cons_Unit_Costs[[#This Row],[Routine maintenance]]+Cons_Unit_Costs[[#This Row],[Planned maintenance]])/Cons_Unit_Costs[[#This Row],[Closing social housing units managed]],"")</f>
        <v>0.90490591397849462</v>
      </c>
      <c r="L70" s="156">
        <v>4483</v>
      </c>
      <c r="M70" s="156">
        <v>3596</v>
      </c>
      <c r="N70" s="157">
        <f>IF(Cons_Unit_Costs[[#This Row],[Closing social housing units managed]]&gt;0,(Cons_Unit_Costs[[#This Row],[Major repairs expenditure]]+Cons_Unit_Costs[[#This Row],[Capitalised major repairs expenditure for period]])/Cons_Unit_Costs[[#This Row],[Closing social housing units managed]],"")</f>
        <v>0.47793458781362008</v>
      </c>
      <c r="O70" s="156">
        <v>2043</v>
      </c>
      <c r="P70" s="156">
        <v>2224</v>
      </c>
      <c r="Q70"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0.33546146953405021</v>
      </c>
      <c r="R70" s="156">
        <v>2187</v>
      </c>
      <c r="S70" s="156">
        <v>0</v>
      </c>
      <c r="T70" s="156">
        <v>808</v>
      </c>
      <c r="U70" s="156">
        <v>0</v>
      </c>
      <c r="V70" s="156">
        <v>0</v>
      </c>
      <c r="W70" s="158">
        <v>2.533876831552275E-3</v>
      </c>
      <c r="X70" s="158">
        <v>0.34229370937534426</v>
      </c>
      <c r="Y70" s="156" t="s">
        <v>1257</v>
      </c>
      <c r="Z70" s="159">
        <v>37676</v>
      </c>
      <c r="AA70" s="156" t="s">
        <v>1268</v>
      </c>
      <c r="AB70" s="156" t="s">
        <v>1261</v>
      </c>
      <c r="AC70" s="157">
        <v>0.92038375847935383</v>
      </c>
    </row>
    <row r="71" spans="1:29" x14ac:dyDescent="0.2">
      <c r="A71" s="153" t="s">
        <v>386</v>
      </c>
      <c r="B71" s="153" t="s">
        <v>76</v>
      </c>
      <c r="C71" s="154" t="s">
        <v>200</v>
      </c>
      <c r="D71" s="155">
        <v>2868</v>
      </c>
      <c r="E71"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15930</v>
      </c>
      <c r="F71" s="157">
        <f>IF(Cons_Unit_Costs[[#This Row],[Closing social housing units managed]]&gt;0,Cons_Unit_Costs[[#This Row],[Headline Social Housing Cost]]/Cons_Unit_Costs[[#This Row],[Closing social housing units managed]],"")</f>
        <v>5.5543933054393309</v>
      </c>
      <c r="G71" s="157">
        <f>IF(Cons_Unit_Costs[[#This Row],[Closing social housing units managed]]&gt;0,Cons_Unit_Costs[[#This Row],[Management]]/Cons_Unit_Costs[[#This Row],[Closing social housing units managed]],"")</f>
        <v>1.1335425383542539</v>
      </c>
      <c r="H71" s="156">
        <v>3251</v>
      </c>
      <c r="I71" s="157">
        <f>IF(Cons_Unit_Costs[[#This Row],[Closing social housing units managed]]&gt;0,Cons_Unit_Costs[[#This Row],[Service charge costs]]/Cons_Unit_Costs[[#This Row],[Closing social housing units managed]],"")</f>
        <v>0.81799163179916323</v>
      </c>
      <c r="J71" s="156">
        <v>2346</v>
      </c>
      <c r="K71" s="157">
        <f>IF(Cons_Unit_Costs[[#This Row],[Closing social housing units managed]]&gt;0,(Cons_Unit_Costs[[#This Row],[Routine maintenance]]+Cons_Unit_Costs[[#This Row],[Planned maintenance]])/Cons_Unit_Costs[[#This Row],[Closing social housing units managed]],"")</f>
        <v>1.3622733612273361</v>
      </c>
      <c r="L71" s="156">
        <v>3215</v>
      </c>
      <c r="M71" s="156">
        <v>692</v>
      </c>
      <c r="N71" s="157">
        <f>IF(Cons_Unit_Costs[[#This Row],[Closing social housing units managed]]&gt;0,(Cons_Unit_Costs[[#This Row],[Major repairs expenditure]]+Cons_Unit_Costs[[#This Row],[Capitalised major repairs expenditure for period]])/Cons_Unit_Costs[[#This Row],[Closing social housing units managed]],"")</f>
        <v>1.0404463040446303</v>
      </c>
      <c r="O71" s="156">
        <v>161</v>
      </c>
      <c r="P71" s="156">
        <v>2823</v>
      </c>
      <c r="Q71"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1.2001394700139469</v>
      </c>
      <c r="R71" s="156">
        <v>0</v>
      </c>
      <c r="S71" s="156">
        <v>2902</v>
      </c>
      <c r="T71" s="156">
        <v>0</v>
      </c>
      <c r="U71" s="156">
        <v>540</v>
      </c>
      <c r="V71" s="156">
        <v>0</v>
      </c>
      <c r="W71" s="158">
        <v>3.802416488983653E-2</v>
      </c>
      <c r="X71" s="158">
        <v>0.17057569296375266</v>
      </c>
      <c r="Y71" s="156" t="s">
        <v>1256</v>
      </c>
      <c r="Z71" s="159"/>
      <c r="AA71" s="156" t="s">
        <v>1279</v>
      </c>
      <c r="AB71" s="156" t="s">
        <v>1267</v>
      </c>
      <c r="AC71" s="157">
        <v>1.2487725728903867</v>
      </c>
    </row>
    <row r="72" spans="1:29" x14ac:dyDescent="0.2">
      <c r="A72" s="153" t="s">
        <v>391</v>
      </c>
      <c r="B72" s="153" t="s">
        <v>390</v>
      </c>
      <c r="C72" s="154" t="s">
        <v>200</v>
      </c>
      <c r="D72" s="155">
        <v>29623</v>
      </c>
      <c r="E72"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196100</v>
      </c>
      <c r="F72" s="157">
        <f>IF(Cons_Unit_Costs[[#This Row],[Closing social housing units managed]]&gt;0,Cons_Unit_Costs[[#This Row],[Headline Social Housing Cost]]/Cons_Unit_Costs[[#This Row],[Closing social housing units managed]],"")</f>
        <v>6.6198561928231445</v>
      </c>
      <c r="G72" s="157">
        <f>IF(Cons_Unit_Costs[[#This Row],[Closing social housing units managed]]&gt;0,Cons_Unit_Costs[[#This Row],[Management]]/Cons_Unit_Costs[[#This Row],[Closing social housing units managed]],"")</f>
        <v>2.5858285791445836</v>
      </c>
      <c r="H72" s="156">
        <v>76600</v>
      </c>
      <c r="I72" s="157">
        <f>IF(Cons_Unit_Costs[[#This Row],[Closing social housing units managed]]&gt;0,Cons_Unit_Costs[[#This Row],[Service charge costs]]/Cons_Unit_Costs[[#This Row],[Closing social housing units managed]],"")</f>
        <v>0.92158120379434894</v>
      </c>
      <c r="J72" s="156">
        <v>27300</v>
      </c>
      <c r="K72" s="157">
        <f>IF(Cons_Unit_Costs[[#This Row],[Closing social housing units managed]]&gt;0,(Cons_Unit_Costs[[#This Row],[Routine maintenance]]+Cons_Unit_Costs[[#This Row],[Planned maintenance]])/Cons_Unit_Costs[[#This Row],[Closing social housing units managed]],"")</f>
        <v>0.84393883131350644</v>
      </c>
      <c r="L72" s="156">
        <v>16400</v>
      </c>
      <c r="M72" s="156">
        <v>8600</v>
      </c>
      <c r="N72" s="157">
        <f>IF(Cons_Unit_Costs[[#This Row],[Closing social housing units managed]]&gt;0,(Cons_Unit_Costs[[#This Row],[Major repairs expenditure]]+Cons_Unit_Costs[[#This Row],[Capitalised major repairs expenditure for period]])/Cons_Unit_Costs[[#This Row],[Closing social housing units managed]],"")</f>
        <v>0.84393883131350644</v>
      </c>
      <c r="O72" s="156">
        <v>0</v>
      </c>
      <c r="P72" s="156">
        <v>25000</v>
      </c>
      <c r="Q72"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1.4245687472571988</v>
      </c>
      <c r="R72" s="156">
        <v>42200</v>
      </c>
      <c r="S72" s="156">
        <v>0</v>
      </c>
      <c r="T72" s="156">
        <v>0</v>
      </c>
      <c r="U72" s="156">
        <v>0</v>
      </c>
      <c r="V72" s="156">
        <v>0</v>
      </c>
      <c r="W72" s="158">
        <v>8.7703435804701621E-2</v>
      </c>
      <c r="X72" s="158">
        <v>4.7811934900542495E-2</v>
      </c>
      <c r="Y72" s="156" t="s">
        <v>1256</v>
      </c>
      <c r="Z72" s="159"/>
      <c r="AA72" s="156" t="s">
        <v>1279</v>
      </c>
      <c r="AB72" s="156" t="s">
        <v>1267</v>
      </c>
      <c r="AC72" s="157">
        <v>1.1842078517965553</v>
      </c>
    </row>
    <row r="73" spans="1:29" x14ac:dyDescent="0.2">
      <c r="A73" s="153" t="s">
        <v>79</v>
      </c>
      <c r="B73" s="153" t="s">
        <v>78</v>
      </c>
      <c r="C73" s="154" t="s">
        <v>200</v>
      </c>
      <c r="D73" s="155">
        <v>33570</v>
      </c>
      <c r="E73"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96473</v>
      </c>
      <c r="F73" s="157">
        <f>IF(Cons_Unit_Costs[[#This Row],[Closing social housing units managed]]&gt;0,Cons_Unit_Costs[[#This Row],[Headline Social Housing Cost]]/Cons_Unit_Costs[[#This Row],[Closing social housing units managed]],"")</f>
        <v>2.8737861185582365</v>
      </c>
      <c r="G73" s="157">
        <f>IF(Cons_Unit_Costs[[#This Row],[Closing social housing units managed]]&gt;0,Cons_Unit_Costs[[#This Row],[Management]]/Cons_Unit_Costs[[#This Row],[Closing social housing units managed]],"")</f>
        <v>1.0999106344950849</v>
      </c>
      <c r="H73" s="156">
        <v>36924</v>
      </c>
      <c r="I73" s="157">
        <f>IF(Cons_Unit_Costs[[#This Row],[Closing social housing units managed]]&gt;0,Cons_Unit_Costs[[#This Row],[Service charge costs]]/Cons_Unit_Costs[[#This Row],[Closing social housing units managed]],"")</f>
        <v>7.0211498361632416E-2</v>
      </c>
      <c r="J73" s="156">
        <v>2357</v>
      </c>
      <c r="K73" s="157">
        <f>IF(Cons_Unit_Costs[[#This Row],[Closing social housing units managed]]&gt;0,(Cons_Unit_Costs[[#This Row],[Routine maintenance]]+Cons_Unit_Costs[[#This Row],[Planned maintenance]])/Cons_Unit_Costs[[#This Row],[Closing social housing units managed]],"")</f>
        <v>0.78495680667262435</v>
      </c>
      <c r="L73" s="156">
        <v>26351</v>
      </c>
      <c r="M73" s="156">
        <v>0</v>
      </c>
      <c r="N73" s="157">
        <f>IF(Cons_Unit_Costs[[#This Row],[Closing social housing units managed]]&gt;0,(Cons_Unit_Costs[[#This Row],[Major repairs expenditure]]+Cons_Unit_Costs[[#This Row],[Capitalised major repairs expenditure for period]])/Cons_Unit_Costs[[#This Row],[Closing social housing units managed]],"")</f>
        <v>0.85531724754244864</v>
      </c>
      <c r="O73" s="156">
        <v>9806</v>
      </c>
      <c r="P73" s="156">
        <v>18907</v>
      </c>
      <c r="Q73"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6.3389931486446227E-2</v>
      </c>
      <c r="R73" s="156">
        <v>-1870</v>
      </c>
      <c r="S73" s="156">
        <v>1870</v>
      </c>
      <c r="T73" s="156">
        <v>2128</v>
      </c>
      <c r="U73" s="156">
        <v>0</v>
      </c>
      <c r="V73" s="156">
        <v>0</v>
      </c>
      <c r="W73" s="158">
        <v>5.0529355149181903E-3</v>
      </c>
      <c r="X73" s="158">
        <v>6.5653787982950639E-3</v>
      </c>
      <c r="Y73" s="156" t="s">
        <v>1257</v>
      </c>
      <c r="Z73" s="159">
        <v>36976</v>
      </c>
      <c r="AA73" s="156" t="s">
        <v>1268</v>
      </c>
      <c r="AB73" s="156" t="s">
        <v>1266</v>
      </c>
      <c r="AC73" s="157">
        <v>0.90266851909138157</v>
      </c>
    </row>
    <row r="74" spans="1:29" x14ac:dyDescent="0.2">
      <c r="A74" s="160" t="s">
        <v>395</v>
      </c>
      <c r="B74" s="153" t="s">
        <v>396</v>
      </c>
      <c r="C74" s="154" t="s">
        <v>200</v>
      </c>
      <c r="D74" s="155">
        <v>4791</v>
      </c>
      <c r="E7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18989</v>
      </c>
      <c r="F74" s="157">
        <f>IF(Cons_Unit_Costs[[#This Row],[Closing social housing units managed]]&gt;0,Cons_Unit_Costs[[#This Row],[Headline Social Housing Cost]]/Cons_Unit_Costs[[#This Row],[Closing social housing units managed]],"")</f>
        <v>3.9634731788770612</v>
      </c>
      <c r="G74" s="157">
        <f>IF(Cons_Unit_Costs[[#This Row],[Closing social housing units managed]]&gt;0,Cons_Unit_Costs[[#This Row],[Management]]/Cons_Unit_Costs[[#This Row],[Closing social housing units managed]],"")</f>
        <v>1.5495721143811312</v>
      </c>
      <c r="H74" s="156">
        <v>7424</v>
      </c>
      <c r="I74" s="157">
        <f>IF(Cons_Unit_Costs[[#This Row],[Closing social housing units managed]]&gt;0,Cons_Unit_Costs[[#This Row],[Service charge costs]]/Cons_Unit_Costs[[#This Row],[Closing social housing units managed]],"")</f>
        <v>0.27134209977040286</v>
      </c>
      <c r="J74" s="156">
        <v>1300</v>
      </c>
      <c r="K74" s="157">
        <f>IF(Cons_Unit_Costs[[#This Row],[Closing social housing units managed]]&gt;0,(Cons_Unit_Costs[[#This Row],[Routine maintenance]]+Cons_Unit_Costs[[#This Row],[Planned maintenance]])/Cons_Unit_Costs[[#This Row],[Closing social housing units managed]],"")</f>
        <v>0.88895846378626586</v>
      </c>
      <c r="L74" s="156">
        <v>3793</v>
      </c>
      <c r="M74" s="156">
        <v>466</v>
      </c>
      <c r="N74" s="157">
        <f>IF(Cons_Unit_Costs[[#This Row],[Closing social housing units managed]]&gt;0,(Cons_Unit_Costs[[#This Row],[Major repairs expenditure]]+Cons_Unit_Costs[[#This Row],[Capitalised major repairs expenditure for period]])/Cons_Unit_Costs[[#This Row],[Closing social housing units managed]],"")</f>
        <v>1.1352536005009393</v>
      </c>
      <c r="O74" s="156">
        <v>84</v>
      </c>
      <c r="P74" s="156">
        <v>5355</v>
      </c>
      <c r="Q7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0.11834690043832186</v>
      </c>
      <c r="R74" s="156">
        <v>372</v>
      </c>
      <c r="S74" s="156">
        <v>0</v>
      </c>
      <c r="T74" s="156">
        <v>195</v>
      </c>
      <c r="U74" s="156">
        <v>0</v>
      </c>
      <c r="V74" s="156">
        <v>0</v>
      </c>
      <c r="W74" s="158">
        <v>6.2472110664881751E-3</v>
      </c>
      <c r="X74" s="158">
        <v>0.10553324408746095</v>
      </c>
      <c r="Y74" s="156" t="s">
        <v>1257</v>
      </c>
      <c r="Z74" s="159">
        <v>42079</v>
      </c>
      <c r="AA74" s="156" t="s">
        <v>1269</v>
      </c>
      <c r="AB74" s="156" t="s">
        <v>1265</v>
      </c>
      <c r="AC74" s="157">
        <v>0.96617455710897804</v>
      </c>
    </row>
    <row r="75" spans="1:29" x14ac:dyDescent="0.2">
      <c r="A75" s="160" t="s">
        <v>399</v>
      </c>
      <c r="B75" s="153" t="s">
        <v>400</v>
      </c>
      <c r="C75" s="154" t="s">
        <v>200</v>
      </c>
      <c r="D75" s="155">
        <v>1775</v>
      </c>
      <c r="E7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9734</v>
      </c>
      <c r="F75" s="157">
        <f>IF(Cons_Unit_Costs[[#This Row],[Closing social housing units managed]]&gt;0,Cons_Unit_Costs[[#This Row],[Headline Social Housing Cost]]/Cons_Unit_Costs[[#This Row],[Closing social housing units managed]],"")</f>
        <v>5.4839436619718311</v>
      </c>
      <c r="G75" s="157">
        <f>IF(Cons_Unit_Costs[[#This Row],[Closing social housing units managed]]&gt;0,Cons_Unit_Costs[[#This Row],[Management]]/Cons_Unit_Costs[[#This Row],[Closing social housing units managed]],"")</f>
        <v>2.1030985915492959</v>
      </c>
      <c r="H75" s="156">
        <v>3733</v>
      </c>
      <c r="I75" s="157">
        <f>IF(Cons_Unit_Costs[[#This Row],[Closing social housing units managed]]&gt;0,Cons_Unit_Costs[[#This Row],[Service charge costs]]/Cons_Unit_Costs[[#This Row],[Closing social housing units managed]],"")</f>
        <v>0.26084507042253519</v>
      </c>
      <c r="J75" s="156">
        <v>463</v>
      </c>
      <c r="K75" s="157">
        <f>IF(Cons_Unit_Costs[[#This Row],[Closing social housing units managed]]&gt;0,(Cons_Unit_Costs[[#This Row],[Routine maintenance]]+Cons_Unit_Costs[[#This Row],[Planned maintenance]])/Cons_Unit_Costs[[#This Row],[Closing social housing units managed]],"")</f>
        <v>0.8546478873239437</v>
      </c>
      <c r="L75" s="156">
        <v>644</v>
      </c>
      <c r="M75" s="156">
        <v>873</v>
      </c>
      <c r="N75" s="157">
        <f>IF(Cons_Unit_Costs[[#This Row],[Closing social housing units managed]]&gt;0,(Cons_Unit_Costs[[#This Row],[Major repairs expenditure]]+Cons_Unit_Costs[[#This Row],[Capitalised major repairs expenditure for period]])/Cons_Unit_Costs[[#This Row],[Closing social housing units managed]],"")</f>
        <v>0.36394366197183098</v>
      </c>
      <c r="O75" s="156">
        <v>145</v>
      </c>
      <c r="P75" s="156">
        <v>501</v>
      </c>
      <c r="Q7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1.9014084507042253</v>
      </c>
      <c r="R75" s="156">
        <v>3375</v>
      </c>
      <c r="S75" s="156">
        <v>0</v>
      </c>
      <c r="T75" s="156">
        <v>0</v>
      </c>
      <c r="U75" s="156">
        <v>0</v>
      </c>
      <c r="V75" s="156">
        <v>0</v>
      </c>
      <c r="W75" s="158">
        <v>0.96106914584543868</v>
      </c>
      <c r="X75" s="158">
        <v>3.7768739105171409E-2</v>
      </c>
      <c r="Y75" s="156" t="s">
        <v>1256</v>
      </c>
      <c r="Z75" s="159"/>
      <c r="AA75" s="156" t="s">
        <v>1279</v>
      </c>
      <c r="AB75" s="156" t="s">
        <v>1258</v>
      </c>
      <c r="AC75" s="157">
        <v>0.98977341922715956</v>
      </c>
    </row>
    <row r="76" spans="1:29" x14ac:dyDescent="0.2">
      <c r="A76" s="153" t="s">
        <v>82</v>
      </c>
      <c r="B76" s="153" t="s">
        <v>80</v>
      </c>
      <c r="C76" s="154" t="s">
        <v>200</v>
      </c>
      <c r="D76" s="155">
        <v>6764</v>
      </c>
      <c r="E7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22357</v>
      </c>
      <c r="F76" s="157">
        <f>IF(Cons_Unit_Costs[[#This Row],[Closing social housing units managed]]&gt;0,Cons_Unit_Costs[[#This Row],[Headline Social Housing Cost]]/Cons_Unit_Costs[[#This Row],[Closing social housing units managed]],"")</f>
        <v>3.3052927261975165</v>
      </c>
      <c r="G76" s="157">
        <f>IF(Cons_Unit_Costs[[#This Row],[Closing social housing units managed]]&gt;0,Cons_Unit_Costs[[#This Row],[Management]]/Cons_Unit_Costs[[#This Row],[Closing social housing units managed]],"")</f>
        <v>0.88187463039621528</v>
      </c>
      <c r="H76" s="156">
        <v>5965</v>
      </c>
      <c r="I76" s="157">
        <f>IF(Cons_Unit_Costs[[#This Row],[Closing social housing units managed]]&gt;0,Cons_Unit_Costs[[#This Row],[Service charge costs]]/Cons_Unit_Costs[[#This Row],[Closing social housing units managed]],"")</f>
        <v>0.26330573625073922</v>
      </c>
      <c r="J76" s="156">
        <v>1781</v>
      </c>
      <c r="K76" s="157">
        <f>IF(Cons_Unit_Costs[[#This Row],[Closing social housing units managed]]&gt;0,(Cons_Unit_Costs[[#This Row],[Routine maintenance]]+Cons_Unit_Costs[[#This Row],[Planned maintenance]])/Cons_Unit_Costs[[#This Row],[Closing social housing units managed]],"")</f>
        <v>0.97619751626256657</v>
      </c>
      <c r="L76" s="156">
        <v>4743</v>
      </c>
      <c r="M76" s="156">
        <v>1860</v>
      </c>
      <c r="N76" s="157">
        <f>IF(Cons_Unit_Costs[[#This Row],[Closing social housing units managed]]&gt;0,(Cons_Unit_Costs[[#This Row],[Major repairs expenditure]]+Cons_Unit_Costs[[#This Row],[Capitalised major repairs expenditure for period]])/Cons_Unit_Costs[[#This Row],[Closing social housing units managed]],"")</f>
        <v>1.023211117681845</v>
      </c>
      <c r="O76" s="156">
        <v>2679</v>
      </c>
      <c r="P76" s="156">
        <v>4242</v>
      </c>
      <c r="Q7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0.16070372560615021</v>
      </c>
      <c r="R76" s="156">
        <v>179</v>
      </c>
      <c r="S76" s="156">
        <v>735</v>
      </c>
      <c r="T76" s="156">
        <v>173</v>
      </c>
      <c r="U76" s="156">
        <v>0</v>
      </c>
      <c r="V76" s="156">
        <v>0</v>
      </c>
      <c r="W76" s="158">
        <v>0</v>
      </c>
      <c r="X76" s="158">
        <v>0.14429331756357186</v>
      </c>
      <c r="Y76" s="156" t="s">
        <v>1257</v>
      </c>
      <c r="Z76" s="159">
        <v>38019</v>
      </c>
      <c r="AA76" s="156" t="s">
        <v>1268</v>
      </c>
      <c r="AB76" s="156" t="s">
        <v>1259</v>
      </c>
      <c r="AC76" s="157">
        <v>1.0118524159776632</v>
      </c>
    </row>
    <row r="77" spans="1:29" x14ac:dyDescent="0.2">
      <c r="A77" s="153" t="s">
        <v>401</v>
      </c>
      <c r="B77" s="153" t="s">
        <v>402</v>
      </c>
      <c r="C77" s="154" t="s">
        <v>200</v>
      </c>
      <c r="D77" s="155">
        <v>11320</v>
      </c>
      <c r="E7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37384</v>
      </c>
      <c r="F77" s="157">
        <f>IF(Cons_Unit_Costs[[#This Row],[Closing social housing units managed]]&gt;0,Cons_Unit_Costs[[#This Row],[Headline Social Housing Cost]]/Cons_Unit_Costs[[#This Row],[Closing social housing units managed]],"")</f>
        <v>3.3024734982332156</v>
      </c>
      <c r="G77" s="157">
        <f>IF(Cons_Unit_Costs[[#This Row],[Closing social housing units managed]]&gt;0,Cons_Unit_Costs[[#This Row],[Management]]/Cons_Unit_Costs[[#This Row],[Closing social housing units managed]],"")</f>
        <v>0.6234098939929329</v>
      </c>
      <c r="H77" s="156">
        <v>7057</v>
      </c>
      <c r="I77" s="157">
        <f>IF(Cons_Unit_Costs[[#This Row],[Closing social housing units managed]]&gt;0,Cons_Unit_Costs[[#This Row],[Service charge costs]]/Cons_Unit_Costs[[#This Row],[Closing social housing units managed]],"")</f>
        <v>0.29558303886925796</v>
      </c>
      <c r="J77" s="156">
        <v>3346</v>
      </c>
      <c r="K77" s="157">
        <f>IF(Cons_Unit_Costs[[#This Row],[Closing social housing units managed]]&gt;0,(Cons_Unit_Costs[[#This Row],[Routine maintenance]]+Cons_Unit_Costs[[#This Row],[Planned maintenance]])/Cons_Unit_Costs[[#This Row],[Closing social housing units managed]],"")</f>
        <v>1.0667844522968197</v>
      </c>
      <c r="L77" s="156">
        <v>8555</v>
      </c>
      <c r="M77" s="156">
        <v>3521</v>
      </c>
      <c r="N77" s="157">
        <f>IF(Cons_Unit_Costs[[#This Row],[Closing social housing units managed]]&gt;0,(Cons_Unit_Costs[[#This Row],[Major repairs expenditure]]+Cons_Unit_Costs[[#This Row],[Capitalised major repairs expenditure for period]])/Cons_Unit_Costs[[#This Row],[Closing social housing units managed]],"")</f>
        <v>1.2164310954063604</v>
      </c>
      <c r="O77" s="156">
        <v>5507</v>
      </c>
      <c r="P77" s="156">
        <v>8263</v>
      </c>
      <c r="Q7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0.10026501766784453</v>
      </c>
      <c r="R77" s="156">
        <v>594</v>
      </c>
      <c r="S77" s="156">
        <v>0</v>
      </c>
      <c r="T77" s="156">
        <v>491</v>
      </c>
      <c r="U77" s="156">
        <v>50</v>
      </c>
      <c r="V77" s="156">
        <v>0</v>
      </c>
      <c r="W77" s="158">
        <v>3.6788145084862584E-2</v>
      </c>
      <c r="X77" s="158">
        <v>0.18954079434823815</v>
      </c>
      <c r="Y77" s="156" t="s">
        <v>1258</v>
      </c>
      <c r="Z77" s="159">
        <v>37200</v>
      </c>
      <c r="AA77" s="156" t="s">
        <v>1268</v>
      </c>
      <c r="AB77" s="156" t="s">
        <v>1263</v>
      </c>
      <c r="AC77" s="157">
        <v>0.97446121182932421</v>
      </c>
    </row>
    <row r="78" spans="1:29" x14ac:dyDescent="0.2">
      <c r="A78" s="153" t="s">
        <v>86</v>
      </c>
      <c r="B78" s="153" t="s">
        <v>85</v>
      </c>
      <c r="C78" s="154" t="s">
        <v>200</v>
      </c>
      <c r="D78" s="155">
        <v>17618</v>
      </c>
      <c r="E7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54073</v>
      </c>
      <c r="F78" s="157">
        <f>IF(Cons_Unit_Costs[[#This Row],[Closing social housing units managed]]&gt;0,Cons_Unit_Costs[[#This Row],[Headline Social Housing Cost]]/Cons_Unit_Costs[[#This Row],[Closing social housing units managed]],"")</f>
        <v>3.0691906005221932</v>
      </c>
      <c r="G78" s="157">
        <f>IF(Cons_Unit_Costs[[#This Row],[Closing social housing units managed]]&gt;0,Cons_Unit_Costs[[#This Row],[Management]]/Cons_Unit_Costs[[#This Row],[Closing social housing units managed]],"")</f>
        <v>1.0245203768872744</v>
      </c>
      <c r="H78" s="156">
        <v>18050</v>
      </c>
      <c r="I78" s="157">
        <f>IF(Cons_Unit_Costs[[#This Row],[Closing social housing units managed]]&gt;0,Cons_Unit_Costs[[#This Row],[Service charge costs]]/Cons_Unit_Costs[[#This Row],[Closing social housing units managed]],"")</f>
        <v>0.34850720853672379</v>
      </c>
      <c r="J78" s="156">
        <v>6140</v>
      </c>
      <c r="K78" s="157">
        <f>IF(Cons_Unit_Costs[[#This Row],[Closing social housing units managed]]&gt;0,(Cons_Unit_Costs[[#This Row],[Routine maintenance]]+Cons_Unit_Costs[[#This Row],[Planned maintenance]])/Cons_Unit_Costs[[#This Row],[Closing social housing units managed]],"")</f>
        <v>0.56476331025087978</v>
      </c>
      <c r="L78" s="156">
        <v>7090</v>
      </c>
      <c r="M78" s="156">
        <v>2860</v>
      </c>
      <c r="N78" s="157">
        <f>IF(Cons_Unit_Costs[[#This Row],[Closing social housing units managed]]&gt;0,(Cons_Unit_Costs[[#This Row],[Major repairs expenditure]]+Cons_Unit_Costs[[#This Row],[Capitalised major repairs expenditure for period]])/Cons_Unit_Costs[[#This Row],[Closing social housing units managed]],"")</f>
        <v>0.8523668974912022</v>
      </c>
      <c r="O78" s="156">
        <v>4758</v>
      </c>
      <c r="P78" s="156">
        <v>10259</v>
      </c>
      <c r="Q7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0.27903280735611308</v>
      </c>
      <c r="R78" s="156">
        <v>264</v>
      </c>
      <c r="S78" s="156">
        <v>3259</v>
      </c>
      <c r="T78" s="156">
        <v>1393</v>
      </c>
      <c r="U78" s="156">
        <v>0</v>
      </c>
      <c r="V78" s="156">
        <v>0</v>
      </c>
      <c r="W78" s="158">
        <v>6.2261610949068881E-2</v>
      </c>
      <c r="X78" s="158">
        <v>1.7332286291227284E-2</v>
      </c>
      <c r="Y78" s="156" t="s">
        <v>1256</v>
      </c>
      <c r="Z78" s="159"/>
      <c r="AA78" s="156" t="s">
        <v>1279</v>
      </c>
      <c r="AB78" s="156" t="s">
        <v>1262</v>
      </c>
      <c r="AC78" s="157">
        <v>0.91999722305934639</v>
      </c>
    </row>
    <row r="79" spans="1:29" x14ac:dyDescent="0.2">
      <c r="A79" s="153" t="s">
        <v>403</v>
      </c>
      <c r="B79" s="153" t="s">
        <v>404</v>
      </c>
      <c r="C79" s="154" t="s">
        <v>200</v>
      </c>
      <c r="D79" s="155">
        <v>7924</v>
      </c>
      <c r="E79"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23553</v>
      </c>
      <c r="F79" s="157">
        <f>IF(Cons_Unit_Costs[[#This Row],[Closing social housing units managed]]&gt;0,Cons_Unit_Costs[[#This Row],[Headline Social Housing Cost]]/Cons_Unit_Costs[[#This Row],[Closing social housing units managed]],"")</f>
        <v>2.9723624432104998</v>
      </c>
      <c r="G79" s="157">
        <f>IF(Cons_Unit_Costs[[#This Row],[Closing social housing units managed]]&gt;0,Cons_Unit_Costs[[#This Row],[Management]]/Cons_Unit_Costs[[#This Row],[Closing social housing units managed]],"")</f>
        <v>0.97677940434124177</v>
      </c>
      <c r="H79" s="156">
        <v>7740</v>
      </c>
      <c r="I79" s="157">
        <f>IF(Cons_Unit_Costs[[#This Row],[Closing social housing units managed]]&gt;0,Cons_Unit_Costs[[#This Row],[Service charge costs]]/Cons_Unit_Costs[[#This Row],[Closing social housing units managed]],"")</f>
        <v>0.11055022715800102</v>
      </c>
      <c r="J79" s="156">
        <v>876</v>
      </c>
      <c r="K79" s="157">
        <f>IF(Cons_Unit_Costs[[#This Row],[Closing social housing units managed]]&gt;0,(Cons_Unit_Costs[[#This Row],[Routine maintenance]]+Cons_Unit_Costs[[#This Row],[Planned maintenance]])/Cons_Unit_Costs[[#This Row],[Closing social housing units managed]],"")</f>
        <v>1.0248611812216053</v>
      </c>
      <c r="L79" s="156">
        <v>4465</v>
      </c>
      <c r="M79" s="156">
        <v>3656</v>
      </c>
      <c r="N79" s="157">
        <f>IF(Cons_Unit_Costs[[#This Row],[Closing social housing units managed]]&gt;0,(Cons_Unit_Costs[[#This Row],[Major repairs expenditure]]+Cons_Unit_Costs[[#This Row],[Capitalised major repairs expenditure for period]])/Cons_Unit_Costs[[#This Row],[Closing social housing units managed]],"")</f>
        <v>0.77751135790005044</v>
      </c>
      <c r="O79" s="156">
        <v>2834</v>
      </c>
      <c r="P79" s="156">
        <v>3327</v>
      </c>
      <c r="Q79"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8.2660272589601208E-2</v>
      </c>
      <c r="R79" s="156">
        <v>0</v>
      </c>
      <c r="S79" s="156">
        <v>202</v>
      </c>
      <c r="T79" s="156">
        <v>178</v>
      </c>
      <c r="U79" s="156">
        <v>275</v>
      </c>
      <c r="V79" s="156">
        <v>0</v>
      </c>
      <c r="W79" s="158">
        <v>0</v>
      </c>
      <c r="X79" s="158">
        <v>5.1362948006057549E-2</v>
      </c>
      <c r="Y79" s="156" t="s">
        <v>1257</v>
      </c>
      <c r="Z79" s="159">
        <v>39398</v>
      </c>
      <c r="AA79" s="156" t="s">
        <v>1280</v>
      </c>
      <c r="AB79" s="156" t="s">
        <v>1263</v>
      </c>
      <c r="AC79" s="157">
        <v>1.0022399874355168</v>
      </c>
    </row>
    <row r="80" spans="1:29" x14ac:dyDescent="0.2">
      <c r="A80" s="153" t="s">
        <v>407</v>
      </c>
      <c r="B80" s="153" t="s">
        <v>406</v>
      </c>
      <c r="C80" s="154" t="s">
        <v>865</v>
      </c>
      <c r="D80" s="155">
        <v>11295</v>
      </c>
      <c r="E80"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38622</v>
      </c>
      <c r="F80" s="157">
        <f>IF(Cons_Unit_Costs[[#This Row],[Closing social housing units managed]]&gt;0,Cons_Unit_Costs[[#This Row],[Headline Social Housing Cost]]/Cons_Unit_Costs[[#This Row],[Closing social housing units managed]],"")</f>
        <v>3.4193891102257634</v>
      </c>
      <c r="G80" s="157">
        <f>IF(Cons_Unit_Costs[[#This Row],[Closing social housing units managed]]&gt;0,Cons_Unit_Costs[[#This Row],[Management]]/Cons_Unit_Costs[[#This Row],[Closing social housing units managed]],"")</f>
        <v>1.1140327578574591</v>
      </c>
      <c r="H80" s="156">
        <v>12583</v>
      </c>
      <c r="I80" s="157">
        <f>IF(Cons_Unit_Costs[[#This Row],[Closing social housing units managed]]&gt;0,Cons_Unit_Costs[[#This Row],[Service charge costs]]/Cons_Unit_Costs[[#This Row],[Closing social housing units managed]],"")</f>
        <v>0.26551571491810538</v>
      </c>
      <c r="J80" s="156">
        <v>2999</v>
      </c>
      <c r="K80" s="157">
        <f>IF(Cons_Unit_Costs[[#This Row],[Closing social housing units managed]]&gt;0,(Cons_Unit_Costs[[#This Row],[Routine maintenance]]+Cons_Unit_Costs[[#This Row],[Planned maintenance]])/Cons_Unit_Costs[[#This Row],[Closing social housing units managed]],"")</f>
        <v>1.170075254537406</v>
      </c>
      <c r="L80" s="156">
        <v>8692</v>
      </c>
      <c r="M80" s="156">
        <v>4524</v>
      </c>
      <c r="N80" s="157">
        <f>IF(Cons_Unit_Costs[[#This Row],[Closing social housing units managed]]&gt;0,(Cons_Unit_Costs[[#This Row],[Major repairs expenditure]]+Cons_Unit_Costs[[#This Row],[Capitalised major repairs expenditure for period]])/Cons_Unit_Costs[[#This Row],[Closing social housing units managed]],"")</f>
        <v>0.54980079681274896</v>
      </c>
      <c r="O80" s="156">
        <v>0</v>
      </c>
      <c r="P80" s="156">
        <v>6210</v>
      </c>
      <c r="Q80"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0.31996458610004425</v>
      </c>
      <c r="R80" s="156">
        <v>0</v>
      </c>
      <c r="S80" s="156">
        <v>2093</v>
      </c>
      <c r="T80" s="156">
        <v>1521</v>
      </c>
      <c r="U80" s="156">
        <v>0</v>
      </c>
      <c r="V80" s="156">
        <v>0</v>
      </c>
      <c r="W80" s="158">
        <v>3.9633638634471273E-2</v>
      </c>
      <c r="X80" s="158">
        <v>6.7943380516236468E-2</v>
      </c>
      <c r="Y80" s="156" t="s">
        <v>1258</v>
      </c>
      <c r="Z80" s="159">
        <v>35044</v>
      </c>
      <c r="AA80" s="156" t="s">
        <v>1268</v>
      </c>
      <c r="AB80" s="156" t="s">
        <v>1265</v>
      </c>
      <c r="AC80" s="157">
        <v>0.97926651773950923</v>
      </c>
    </row>
    <row r="81" spans="1:29" x14ac:dyDescent="0.2">
      <c r="A81" s="153" t="s">
        <v>412</v>
      </c>
      <c r="B81" s="153" t="s">
        <v>413</v>
      </c>
      <c r="C81" s="154" t="s">
        <v>200</v>
      </c>
      <c r="D81" s="155">
        <v>3292</v>
      </c>
      <c r="E81"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15375</v>
      </c>
      <c r="F81" s="157">
        <f>IF(Cons_Unit_Costs[[#This Row],[Closing social housing units managed]]&gt;0,Cons_Unit_Costs[[#This Row],[Headline Social Housing Cost]]/Cons_Unit_Costs[[#This Row],[Closing social housing units managed]],"")</f>
        <v>4.67041312272175</v>
      </c>
      <c r="G81" s="157">
        <f>IF(Cons_Unit_Costs[[#This Row],[Closing social housing units managed]]&gt;0,Cons_Unit_Costs[[#This Row],[Management]]/Cons_Unit_Costs[[#This Row],[Closing social housing units managed]],"")</f>
        <v>1.1278857837181044</v>
      </c>
      <c r="H81" s="156">
        <v>3713</v>
      </c>
      <c r="I81" s="157">
        <f>IF(Cons_Unit_Costs[[#This Row],[Closing social housing units managed]]&gt;0,Cons_Unit_Costs[[#This Row],[Service charge costs]]/Cons_Unit_Costs[[#This Row],[Closing social housing units managed]],"")</f>
        <v>1.1239368165249088</v>
      </c>
      <c r="J81" s="156">
        <v>3700</v>
      </c>
      <c r="K81" s="157">
        <f>IF(Cons_Unit_Costs[[#This Row],[Closing social housing units managed]]&gt;0,(Cons_Unit_Costs[[#This Row],[Routine maintenance]]+Cons_Unit_Costs[[#This Row],[Planned maintenance]])/Cons_Unit_Costs[[#This Row],[Closing social housing units managed]],"")</f>
        <v>1.4310449574726609</v>
      </c>
      <c r="L81" s="156">
        <v>3056</v>
      </c>
      <c r="M81" s="156">
        <v>1655</v>
      </c>
      <c r="N81" s="157">
        <f>IF(Cons_Unit_Costs[[#This Row],[Closing social housing units managed]]&gt;0,(Cons_Unit_Costs[[#This Row],[Major repairs expenditure]]+Cons_Unit_Costs[[#This Row],[Capitalised major repairs expenditure for period]])/Cons_Unit_Costs[[#This Row],[Closing social housing units managed]],"")</f>
        <v>0.92952612393681655</v>
      </c>
      <c r="O81" s="156">
        <v>589</v>
      </c>
      <c r="P81" s="156">
        <v>2471</v>
      </c>
      <c r="Q81"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5.8019441069258812E-2</v>
      </c>
      <c r="R81" s="156">
        <v>191</v>
      </c>
      <c r="S81" s="156">
        <v>0</v>
      </c>
      <c r="T81" s="156">
        <v>0</v>
      </c>
      <c r="U81" s="156">
        <v>0</v>
      </c>
      <c r="V81" s="156">
        <v>0</v>
      </c>
      <c r="W81" s="158">
        <v>0.39034952056913086</v>
      </c>
      <c r="X81" s="158">
        <v>7.6708939065883081E-2</v>
      </c>
      <c r="Y81" s="156" t="s">
        <v>1256</v>
      </c>
      <c r="Z81" s="159"/>
      <c r="AA81" s="156" t="s">
        <v>1279</v>
      </c>
      <c r="AB81" s="156" t="s">
        <v>1258</v>
      </c>
      <c r="AC81" s="157">
        <v>1.0426297712842691</v>
      </c>
    </row>
    <row r="82" spans="1:29" x14ac:dyDescent="0.2">
      <c r="A82" s="153" t="s">
        <v>414</v>
      </c>
      <c r="B82" s="153" t="s">
        <v>415</v>
      </c>
      <c r="C82" s="154" t="s">
        <v>200</v>
      </c>
      <c r="D82" s="155">
        <v>6893</v>
      </c>
      <c r="E82"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22760</v>
      </c>
      <c r="F82" s="157">
        <f>IF(Cons_Unit_Costs[[#This Row],[Closing social housing units managed]]&gt;0,Cons_Unit_Costs[[#This Row],[Headline Social Housing Cost]]/Cons_Unit_Costs[[#This Row],[Closing social housing units managed]],"")</f>
        <v>3.3019004787465547</v>
      </c>
      <c r="G82" s="157">
        <f>IF(Cons_Unit_Costs[[#This Row],[Closing social housing units managed]]&gt;0,Cons_Unit_Costs[[#This Row],[Management]]/Cons_Unit_Costs[[#This Row],[Closing social housing units managed]],"")</f>
        <v>1.0665892934861454</v>
      </c>
      <c r="H82" s="156">
        <v>7352</v>
      </c>
      <c r="I82" s="157">
        <f>IF(Cons_Unit_Costs[[#This Row],[Closing social housing units managed]]&gt;0,Cons_Unit_Costs[[#This Row],[Service charge costs]]/Cons_Unit_Costs[[#This Row],[Closing social housing units managed]],"")</f>
        <v>0.21703177136225155</v>
      </c>
      <c r="J82" s="156">
        <v>1496</v>
      </c>
      <c r="K82" s="157">
        <f>IF(Cons_Unit_Costs[[#This Row],[Closing social housing units managed]]&gt;0,(Cons_Unit_Costs[[#This Row],[Routine maintenance]]+Cons_Unit_Costs[[#This Row],[Planned maintenance]])/Cons_Unit_Costs[[#This Row],[Closing social housing units managed]],"")</f>
        <v>0.83693602205135642</v>
      </c>
      <c r="L82" s="156">
        <v>4489</v>
      </c>
      <c r="M82" s="156">
        <v>1280</v>
      </c>
      <c r="N82" s="157">
        <f>IF(Cons_Unit_Costs[[#This Row],[Closing social housing units managed]]&gt;0,(Cons_Unit_Costs[[#This Row],[Major repairs expenditure]]+Cons_Unit_Costs[[#This Row],[Capitalised major repairs expenditure for period]])/Cons_Unit_Costs[[#This Row],[Closing social housing units managed]],"")</f>
        <v>1.1077905121137386</v>
      </c>
      <c r="O82" s="156">
        <v>3064</v>
      </c>
      <c r="P82" s="156">
        <v>4572</v>
      </c>
      <c r="Q82"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7.3552879733062529E-2</v>
      </c>
      <c r="R82" s="156">
        <v>507</v>
      </c>
      <c r="S82" s="156">
        <v>0</v>
      </c>
      <c r="T82" s="156">
        <v>0</v>
      </c>
      <c r="U82" s="156">
        <v>0</v>
      </c>
      <c r="V82" s="156">
        <v>0</v>
      </c>
      <c r="W82" s="158">
        <v>1.8610061064262867E-2</v>
      </c>
      <c r="X82" s="158">
        <v>0</v>
      </c>
      <c r="Y82" s="156" t="s">
        <v>1257</v>
      </c>
      <c r="Z82" s="159">
        <v>38691</v>
      </c>
      <c r="AA82" s="156" t="s">
        <v>1280</v>
      </c>
      <c r="AB82" s="156" t="s">
        <v>1262</v>
      </c>
      <c r="AC82" s="157">
        <v>0.9156653862445665</v>
      </c>
    </row>
    <row r="83" spans="1:29" x14ac:dyDescent="0.2">
      <c r="A83" s="153" t="s">
        <v>417</v>
      </c>
      <c r="B83" s="153" t="s">
        <v>418</v>
      </c>
      <c r="C83" s="154" t="s">
        <v>200</v>
      </c>
      <c r="D83" s="155">
        <v>13813</v>
      </c>
      <c r="E83"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77684</v>
      </c>
      <c r="F83" s="157">
        <f>IF(Cons_Unit_Costs[[#This Row],[Closing social housing units managed]]&gt;0,Cons_Unit_Costs[[#This Row],[Headline Social Housing Cost]]/Cons_Unit_Costs[[#This Row],[Closing social housing units managed]],"")</f>
        <v>5.6239774125823496</v>
      </c>
      <c r="G83" s="157">
        <f>IF(Cons_Unit_Costs[[#This Row],[Closing social housing units managed]]&gt;0,Cons_Unit_Costs[[#This Row],[Management]]/Cons_Unit_Costs[[#This Row],[Closing social housing units managed]],"")</f>
        <v>1.5302975457901977</v>
      </c>
      <c r="H83" s="156">
        <v>21138</v>
      </c>
      <c r="I83" s="157">
        <f>IF(Cons_Unit_Costs[[#This Row],[Closing social housing units managed]]&gt;0,Cons_Unit_Costs[[#This Row],[Service charge costs]]/Cons_Unit_Costs[[#This Row],[Closing social housing units managed]],"")</f>
        <v>1.8129298486932599</v>
      </c>
      <c r="J83" s="156">
        <v>25042</v>
      </c>
      <c r="K83" s="157">
        <f>IF(Cons_Unit_Costs[[#This Row],[Closing social housing units managed]]&gt;0,(Cons_Unit_Costs[[#This Row],[Routine maintenance]]+Cons_Unit_Costs[[#This Row],[Planned maintenance]])/Cons_Unit_Costs[[#This Row],[Closing social housing units managed]],"")</f>
        <v>0.97531311083761674</v>
      </c>
      <c r="L83" s="156">
        <v>7884</v>
      </c>
      <c r="M83" s="156">
        <v>5588</v>
      </c>
      <c r="N83" s="157">
        <f>IF(Cons_Unit_Costs[[#This Row],[Closing social housing units managed]]&gt;0,(Cons_Unit_Costs[[#This Row],[Major repairs expenditure]]+Cons_Unit_Costs[[#This Row],[Capitalised major repairs expenditure for period]])/Cons_Unit_Costs[[#This Row],[Closing social housing units managed]],"")</f>
        <v>0.8137261999565627</v>
      </c>
      <c r="O83" s="156">
        <v>0</v>
      </c>
      <c r="P83" s="156">
        <v>11240</v>
      </c>
      <c r="Q83"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0.49171070730471295</v>
      </c>
      <c r="R83" s="156">
        <v>4432</v>
      </c>
      <c r="S83" s="156">
        <v>965</v>
      </c>
      <c r="T83" s="156">
        <v>1395</v>
      </c>
      <c r="U83" s="156">
        <v>0</v>
      </c>
      <c r="V83" s="156">
        <v>0</v>
      </c>
      <c r="W83" s="158">
        <v>0</v>
      </c>
      <c r="X83" s="158">
        <v>0.95677090703268719</v>
      </c>
      <c r="Y83" s="156" t="s">
        <v>1256</v>
      </c>
      <c r="Z83" s="159"/>
      <c r="AA83" s="156" t="s">
        <v>1279</v>
      </c>
      <c r="AB83" s="156" t="s">
        <v>1258</v>
      </c>
      <c r="AC83" s="157">
        <v>1.0105462693416993</v>
      </c>
    </row>
    <row r="84" spans="1:29" x14ac:dyDescent="0.2">
      <c r="A84" s="153" t="s">
        <v>420</v>
      </c>
      <c r="B84" s="153" t="s">
        <v>421</v>
      </c>
      <c r="C84" s="154" t="s">
        <v>200</v>
      </c>
      <c r="D84" s="155">
        <v>5174</v>
      </c>
      <c r="E8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12548</v>
      </c>
      <c r="F84" s="157">
        <f>IF(Cons_Unit_Costs[[#This Row],[Closing social housing units managed]]&gt;0,Cons_Unit_Costs[[#This Row],[Headline Social Housing Cost]]/Cons_Unit_Costs[[#This Row],[Closing social housing units managed]],"")</f>
        <v>2.4252029377657518</v>
      </c>
      <c r="G84" s="157">
        <f>IF(Cons_Unit_Costs[[#This Row],[Closing social housing units managed]]&gt;0,Cons_Unit_Costs[[#This Row],[Management]]/Cons_Unit_Costs[[#This Row],[Closing social housing units managed]],"")</f>
        <v>0.62794742945496718</v>
      </c>
      <c r="H84" s="156">
        <v>3249</v>
      </c>
      <c r="I84" s="157">
        <f>IF(Cons_Unit_Costs[[#This Row],[Closing social housing units managed]]&gt;0,Cons_Unit_Costs[[#This Row],[Service charge costs]]/Cons_Unit_Costs[[#This Row],[Closing social housing units managed]],"")</f>
        <v>0.18515655199072284</v>
      </c>
      <c r="J84" s="156">
        <v>958</v>
      </c>
      <c r="K84" s="157">
        <f>IF(Cons_Unit_Costs[[#This Row],[Closing social housing units managed]]&gt;0,(Cons_Unit_Costs[[#This Row],[Routine maintenance]]+Cons_Unit_Costs[[#This Row],[Planned maintenance]])/Cons_Unit_Costs[[#This Row],[Closing social housing units managed]],"")</f>
        <v>0.76652493235407804</v>
      </c>
      <c r="L84" s="156">
        <v>3295</v>
      </c>
      <c r="M84" s="156">
        <v>671</v>
      </c>
      <c r="N84" s="157">
        <f>IF(Cons_Unit_Costs[[#This Row],[Closing social housing units managed]]&gt;0,(Cons_Unit_Costs[[#This Row],[Major repairs expenditure]]+Cons_Unit_Costs[[#This Row],[Capitalised major repairs expenditure for period]])/Cons_Unit_Costs[[#This Row],[Closing social housing units managed]],"")</f>
        <v>0.69907228449942016</v>
      </c>
      <c r="O84" s="156">
        <v>1008</v>
      </c>
      <c r="P84" s="156">
        <v>2609</v>
      </c>
      <c r="Q8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0.14650173946656359</v>
      </c>
      <c r="R84" s="156">
        <v>139</v>
      </c>
      <c r="S84" s="156">
        <v>14</v>
      </c>
      <c r="T84" s="156">
        <v>58</v>
      </c>
      <c r="U84" s="156">
        <v>311</v>
      </c>
      <c r="V84" s="156">
        <v>236</v>
      </c>
      <c r="W84" s="158">
        <v>0</v>
      </c>
      <c r="X84" s="158">
        <v>0</v>
      </c>
      <c r="Y84" s="156" t="s">
        <v>1256</v>
      </c>
      <c r="Z84" s="159"/>
      <c r="AA84" s="156" t="s">
        <v>1279</v>
      </c>
      <c r="AB84" s="156" t="s">
        <v>1258</v>
      </c>
      <c r="AC84" s="157">
        <v>1.0071805595883383</v>
      </c>
    </row>
    <row r="85" spans="1:29" x14ac:dyDescent="0.2">
      <c r="A85" s="153" t="s">
        <v>431</v>
      </c>
      <c r="B85" s="153" t="s">
        <v>430</v>
      </c>
      <c r="C85" s="154" t="s">
        <v>200</v>
      </c>
      <c r="D85" s="155">
        <v>5300</v>
      </c>
      <c r="E8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16855</v>
      </c>
      <c r="F85" s="157">
        <f>IF(Cons_Unit_Costs[[#This Row],[Closing social housing units managed]]&gt;0,Cons_Unit_Costs[[#This Row],[Headline Social Housing Cost]]/Cons_Unit_Costs[[#This Row],[Closing social housing units managed]],"")</f>
        <v>3.1801886792452829</v>
      </c>
      <c r="G85" s="157">
        <f>IF(Cons_Unit_Costs[[#This Row],[Closing social housing units managed]]&gt;0,Cons_Unit_Costs[[#This Row],[Management]]/Cons_Unit_Costs[[#This Row],[Closing social housing units managed]],"")</f>
        <v>1.0052830188679245</v>
      </c>
      <c r="H85" s="156">
        <v>5328</v>
      </c>
      <c r="I85" s="157">
        <f>IF(Cons_Unit_Costs[[#This Row],[Closing social housing units managed]]&gt;0,Cons_Unit_Costs[[#This Row],[Service charge costs]]/Cons_Unit_Costs[[#This Row],[Closing social housing units managed]],"")</f>
        <v>0.15358490566037736</v>
      </c>
      <c r="J85" s="156">
        <v>814</v>
      </c>
      <c r="K85" s="157">
        <f>IF(Cons_Unit_Costs[[#This Row],[Closing social housing units managed]]&gt;0,(Cons_Unit_Costs[[#This Row],[Routine maintenance]]+Cons_Unit_Costs[[#This Row],[Planned maintenance]])/Cons_Unit_Costs[[#This Row],[Closing social housing units managed]],"")</f>
        <v>0.7381132075471698</v>
      </c>
      <c r="L85" s="156">
        <v>3808</v>
      </c>
      <c r="M85" s="156">
        <v>104</v>
      </c>
      <c r="N85" s="157">
        <f>IF(Cons_Unit_Costs[[#This Row],[Closing social housing units managed]]&gt;0,(Cons_Unit_Costs[[#This Row],[Major repairs expenditure]]+Cons_Unit_Costs[[#This Row],[Capitalised major repairs expenditure for period]])/Cons_Unit_Costs[[#This Row],[Closing social housing units managed]],"")</f>
        <v>1.1420754716981132</v>
      </c>
      <c r="O85" s="156">
        <v>0</v>
      </c>
      <c r="P85" s="156">
        <v>6053</v>
      </c>
      <c r="Q8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0.14113207547169812</v>
      </c>
      <c r="R85" s="156">
        <v>198</v>
      </c>
      <c r="S85" s="156">
        <v>404</v>
      </c>
      <c r="T85" s="156">
        <v>0</v>
      </c>
      <c r="U85" s="156">
        <v>146</v>
      </c>
      <c r="V85" s="156">
        <v>0</v>
      </c>
      <c r="W85" s="158">
        <v>6.1786182362853397E-3</v>
      </c>
      <c r="X85" s="158">
        <v>0.17131623291518441</v>
      </c>
      <c r="Y85" s="156" t="s">
        <v>1257</v>
      </c>
      <c r="Z85" s="159">
        <v>37585</v>
      </c>
      <c r="AA85" s="156" t="s">
        <v>1268</v>
      </c>
      <c r="AB85" s="156" t="s">
        <v>1260</v>
      </c>
      <c r="AC85" s="157">
        <v>0.91571558169387279</v>
      </c>
    </row>
    <row r="86" spans="1:29" x14ac:dyDescent="0.2">
      <c r="A86" s="153" t="s">
        <v>89</v>
      </c>
      <c r="B86" s="153" t="s">
        <v>87</v>
      </c>
      <c r="C86" s="154" t="s">
        <v>200</v>
      </c>
      <c r="D86" s="155">
        <v>3795</v>
      </c>
      <c r="E8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18844</v>
      </c>
      <c r="F86" s="157">
        <f>IF(Cons_Unit_Costs[[#This Row],[Closing social housing units managed]]&gt;0,Cons_Unit_Costs[[#This Row],[Headline Social Housing Cost]]/Cons_Unit_Costs[[#This Row],[Closing social housing units managed]],"")</f>
        <v>4.9654808959156789</v>
      </c>
      <c r="G86" s="157">
        <f>IF(Cons_Unit_Costs[[#This Row],[Closing social housing units managed]]&gt;0,Cons_Unit_Costs[[#This Row],[Management]]/Cons_Unit_Costs[[#This Row],[Closing social housing units managed]],"")</f>
        <v>0.83873517786561269</v>
      </c>
      <c r="H86" s="156">
        <v>3183</v>
      </c>
      <c r="I86" s="157">
        <f>IF(Cons_Unit_Costs[[#This Row],[Closing social housing units managed]]&gt;0,Cons_Unit_Costs[[#This Row],[Service charge costs]]/Cons_Unit_Costs[[#This Row],[Closing social housing units managed]],"")</f>
        <v>0.49090909090909091</v>
      </c>
      <c r="J86" s="156">
        <v>1863</v>
      </c>
      <c r="K86" s="157">
        <f>IF(Cons_Unit_Costs[[#This Row],[Closing social housing units managed]]&gt;0,(Cons_Unit_Costs[[#This Row],[Routine maintenance]]+Cons_Unit_Costs[[#This Row],[Planned maintenance]])/Cons_Unit_Costs[[#This Row],[Closing social housing units managed]],"")</f>
        <v>1.2358366271409749</v>
      </c>
      <c r="L86" s="156">
        <v>3338</v>
      </c>
      <c r="M86" s="156">
        <v>1352</v>
      </c>
      <c r="N86" s="157">
        <f>IF(Cons_Unit_Costs[[#This Row],[Closing social housing units managed]]&gt;0,(Cons_Unit_Costs[[#This Row],[Major repairs expenditure]]+Cons_Unit_Costs[[#This Row],[Capitalised major repairs expenditure for period]])/Cons_Unit_Costs[[#This Row],[Closing social housing units managed]],"")</f>
        <v>1.4274044795783927</v>
      </c>
      <c r="O86" s="156">
        <v>2183</v>
      </c>
      <c r="P86" s="156">
        <v>3234</v>
      </c>
      <c r="Q8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0.97259552042160735</v>
      </c>
      <c r="R86" s="156">
        <v>67</v>
      </c>
      <c r="S86" s="156">
        <v>978</v>
      </c>
      <c r="T86" s="156">
        <v>1269</v>
      </c>
      <c r="U86" s="156">
        <v>957</v>
      </c>
      <c r="V86" s="156">
        <v>420</v>
      </c>
      <c r="W86" s="158">
        <v>6.6145960458872347E-2</v>
      </c>
      <c r="X86" s="158">
        <v>9.0309982914327548E-3</v>
      </c>
      <c r="Y86" s="156" t="s">
        <v>1256</v>
      </c>
      <c r="Z86" s="159"/>
      <c r="AA86" s="156" t="s">
        <v>1279</v>
      </c>
      <c r="AB86" s="156" t="s">
        <v>1267</v>
      </c>
      <c r="AC86" s="157">
        <v>1.2482727604104311</v>
      </c>
    </row>
    <row r="87" spans="1:29" x14ac:dyDescent="0.2">
      <c r="A87" s="153" t="s">
        <v>432</v>
      </c>
      <c r="B87" s="153" t="s">
        <v>433</v>
      </c>
      <c r="C87" s="154" t="s">
        <v>200</v>
      </c>
      <c r="D87" s="155">
        <v>4825</v>
      </c>
      <c r="E8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31213</v>
      </c>
      <c r="F87" s="157">
        <f>IF(Cons_Unit_Costs[[#This Row],[Closing social housing units managed]]&gt;0,Cons_Unit_Costs[[#This Row],[Headline Social Housing Cost]]/Cons_Unit_Costs[[#This Row],[Closing social housing units managed]],"")</f>
        <v>6.4690155440414507</v>
      </c>
      <c r="G87" s="157">
        <f>IF(Cons_Unit_Costs[[#This Row],[Closing social housing units managed]]&gt;0,Cons_Unit_Costs[[#This Row],[Management]]/Cons_Unit_Costs[[#This Row],[Closing social housing units managed]],"")</f>
        <v>0.87025906735751291</v>
      </c>
      <c r="H87" s="156">
        <v>4199</v>
      </c>
      <c r="I87" s="157">
        <f>IF(Cons_Unit_Costs[[#This Row],[Closing social housing units managed]]&gt;0,Cons_Unit_Costs[[#This Row],[Service charge costs]]/Cons_Unit_Costs[[#This Row],[Closing social housing units managed]],"")</f>
        <v>0.73906735751295338</v>
      </c>
      <c r="J87" s="156">
        <v>3566</v>
      </c>
      <c r="K87" s="157">
        <f>IF(Cons_Unit_Costs[[#This Row],[Closing social housing units managed]]&gt;0,(Cons_Unit_Costs[[#This Row],[Routine maintenance]]+Cons_Unit_Costs[[#This Row],[Planned maintenance]])/Cons_Unit_Costs[[#This Row],[Closing social housing units managed]],"")</f>
        <v>0.63005181347150263</v>
      </c>
      <c r="L87" s="156">
        <v>2639</v>
      </c>
      <c r="M87" s="156">
        <v>401</v>
      </c>
      <c r="N87" s="157">
        <f>IF(Cons_Unit_Costs[[#This Row],[Closing social housing units managed]]&gt;0,(Cons_Unit_Costs[[#This Row],[Major repairs expenditure]]+Cons_Unit_Costs[[#This Row],[Capitalised major repairs expenditure for period]])/Cons_Unit_Costs[[#This Row],[Closing social housing units managed]],"")</f>
        <v>0.38922279792746112</v>
      </c>
      <c r="O87" s="156">
        <v>813</v>
      </c>
      <c r="P87" s="156">
        <v>1065</v>
      </c>
      <c r="Q8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3.8404145077720209</v>
      </c>
      <c r="R87" s="156">
        <v>16332</v>
      </c>
      <c r="S87" s="156">
        <v>1305</v>
      </c>
      <c r="T87" s="156">
        <v>784</v>
      </c>
      <c r="U87" s="156">
        <v>109</v>
      </c>
      <c r="V87" s="156">
        <v>0</v>
      </c>
      <c r="W87" s="158">
        <v>0.11965065502183406</v>
      </c>
      <c r="X87" s="158">
        <v>3.2314410480349345E-2</v>
      </c>
      <c r="Y87" s="156" t="s">
        <v>1256</v>
      </c>
      <c r="Z87" s="159"/>
      <c r="AA87" s="156" t="s">
        <v>1279</v>
      </c>
      <c r="AB87" s="156" t="s">
        <v>1263</v>
      </c>
      <c r="AC87" s="157">
        <v>1.0038157953932458</v>
      </c>
    </row>
    <row r="88" spans="1:29" x14ac:dyDescent="0.2">
      <c r="A88" s="153" t="s">
        <v>436</v>
      </c>
      <c r="B88" s="153" t="s">
        <v>437</v>
      </c>
      <c r="C88" s="154" t="s">
        <v>200</v>
      </c>
      <c r="D88" s="155">
        <v>50420</v>
      </c>
      <c r="E8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220260</v>
      </c>
      <c r="F88" s="157">
        <f>IF(Cons_Unit_Costs[[#This Row],[Closing social housing units managed]]&gt;0,Cons_Unit_Costs[[#This Row],[Headline Social Housing Cost]]/Cons_Unit_Costs[[#This Row],[Closing social housing units managed]],"")</f>
        <v>4.3685045616818723</v>
      </c>
      <c r="G88" s="157">
        <f>IF(Cons_Unit_Costs[[#This Row],[Closing social housing units managed]]&gt;0,Cons_Unit_Costs[[#This Row],[Management]]/Cons_Unit_Costs[[#This Row],[Closing social housing units managed]],"")</f>
        <v>1.1060690202300674</v>
      </c>
      <c r="H88" s="156">
        <v>55768</v>
      </c>
      <c r="I88" s="157">
        <f>IF(Cons_Unit_Costs[[#This Row],[Closing social housing units managed]]&gt;0,Cons_Unit_Costs[[#This Row],[Service charge costs]]/Cons_Unit_Costs[[#This Row],[Closing social housing units managed]],"")</f>
        <v>0.58226894089646963</v>
      </c>
      <c r="J88" s="156">
        <v>29358</v>
      </c>
      <c r="K88" s="157">
        <f>IF(Cons_Unit_Costs[[#This Row],[Closing social housing units managed]]&gt;0,(Cons_Unit_Costs[[#This Row],[Routine maintenance]]+Cons_Unit_Costs[[#This Row],[Planned maintenance]])/Cons_Unit_Costs[[#This Row],[Closing social housing units managed]],"")</f>
        <v>1.1478976596588655</v>
      </c>
      <c r="L88" s="156">
        <v>35931</v>
      </c>
      <c r="M88" s="156">
        <v>21946</v>
      </c>
      <c r="N88" s="157">
        <f>IF(Cons_Unit_Costs[[#This Row],[Closing social housing units managed]]&gt;0,(Cons_Unit_Costs[[#This Row],[Major repairs expenditure]]+Cons_Unit_Costs[[#This Row],[Capitalised major repairs expenditure for period]])/Cons_Unit_Costs[[#This Row],[Closing social housing units managed]],"")</f>
        <v>0.32189607298690998</v>
      </c>
      <c r="O88" s="156">
        <v>2949</v>
      </c>
      <c r="P88" s="156">
        <v>13281</v>
      </c>
      <c r="Q8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1.2103728679095598</v>
      </c>
      <c r="R88" s="156">
        <v>4985</v>
      </c>
      <c r="S88" s="156">
        <v>46479</v>
      </c>
      <c r="T88" s="156">
        <v>2781</v>
      </c>
      <c r="U88" s="156">
        <v>5858</v>
      </c>
      <c r="V88" s="156">
        <v>924</v>
      </c>
      <c r="W88" s="158">
        <v>0.12201154163231658</v>
      </c>
      <c r="X88" s="158">
        <v>4.0200459929708852E-2</v>
      </c>
      <c r="Y88" s="156" t="s">
        <v>1256</v>
      </c>
      <c r="Z88" s="159"/>
      <c r="AA88" s="156" t="s">
        <v>1279</v>
      </c>
      <c r="AB88" s="156" t="s">
        <v>1258</v>
      </c>
      <c r="AC88" s="157">
        <v>0.96368735938593797</v>
      </c>
    </row>
    <row r="89" spans="1:29" x14ac:dyDescent="0.2">
      <c r="A89" s="153" t="s">
        <v>439</v>
      </c>
      <c r="B89" s="153" t="s">
        <v>440</v>
      </c>
      <c r="C89" s="154" t="s">
        <v>200</v>
      </c>
      <c r="D89" s="155">
        <v>19581</v>
      </c>
      <c r="E89"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106436</v>
      </c>
      <c r="F89" s="157">
        <f>IF(Cons_Unit_Costs[[#This Row],[Closing social housing units managed]]&gt;0,Cons_Unit_Costs[[#This Row],[Headline Social Housing Cost]]/Cons_Unit_Costs[[#This Row],[Closing social housing units managed]],"")</f>
        <v>5.4356774424186716</v>
      </c>
      <c r="G89" s="157">
        <f>IF(Cons_Unit_Costs[[#This Row],[Closing social housing units managed]]&gt;0,Cons_Unit_Costs[[#This Row],[Management]]/Cons_Unit_Costs[[#This Row],[Closing social housing units managed]],"")</f>
        <v>1.3543741381951893</v>
      </c>
      <c r="H89" s="156">
        <v>26520</v>
      </c>
      <c r="I89" s="157">
        <f>IF(Cons_Unit_Costs[[#This Row],[Closing social housing units managed]]&gt;0,Cons_Unit_Costs[[#This Row],[Service charge costs]]/Cons_Unit_Costs[[#This Row],[Closing social housing units managed]],"")</f>
        <v>1.8747765691231295</v>
      </c>
      <c r="J89" s="156">
        <v>36710</v>
      </c>
      <c r="K89" s="157">
        <f>IF(Cons_Unit_Costs[[#This Row],[Closing social housing units managed]]&gt;0,(Cons_Unit_Costs[[#This Row],[Routine maintenance]]+Cons_Unit_Costs[[#This Row],[Planned maintenance]])/Cons_Unit_Costs[[#This Row],[Closing social housing units managed]],"")</f>
        <v>0.89520453500842656</v>
      </c>
      <c r="L89" s="156">
        <v>11369</v>
      </c>
      <c r="M89" s="156">
        <v>6160</v>
      </c>
      <c r="N89" s="157">
        <f>IF(Cons_Unit_Costs[[#This Row],[Closing social housing units managed]]&gt;0,(Cons_Unit_Costs[[#This Row],[Major repairs expenditure]]+Cons_Unit_Costs[[#This Row],[Capitalised major repairs expenditure for period]])/Cons_Unit_Costs[[#This Row],[Closing social housing units managed]],"")</f>
        <v>1.3974771462131659</v>
      </c>
      <c r="O89" s="156">
        <v>1129</v>
      </c>
      <c r="P89" s="156">
        <v>26235</v>
      </c>
      <c r="Q89"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-8.6154946121239973E-2</v>
      </c>
      <c r="R89" s="156">
        <v>-4500</v>
      </c>
      <c r="S89" s="156">
        <v>2813</v>
      </c>
      <c r="T89" s="156">
        <v>0</v>
      </c>
      <c r="U89" s="156">
        <v>0</v>
      </c>
      <c r="V89" s="156">
        <v>0</v>
      </c>
      <c r="W89" s="158">
        <v>6.8295391449194895E-3</v>
      </c>
      <c r="X89" s="158">
        <v>0.80955024986118818</v>
      </c>
      <c r="Y89" s="156" t="s">
        <v>1256</v>
      </c>
      <c r="Z89" s="159"/>
      <c r="AA89" s="156" t="s">
        <v>1279</v>
      </c>
      <c r="AB89" s="156" t="s">
        <v>1258</v>
      </c>
      <c r="AC89" s="157">
        <v>0.97186856103161023</v>
      </c>
    </row>
    <row r="90" spans="1:29" x14ac:dyDescent="0.2">
      <c r="A90" s="153" t="s">
        <v>91</v>
      </c>
      <c r="B90" s="153" t="s">
        <v>90</v>
      </c>
      <c r="C90" s="154" t="s">
        <v>200</v>
      </c>
      <c r="D90" s="155">
        <v>5438</v>
      </c>
      <c r="E90"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15980</v>
      </c>
      <c r="F90" s="157">
        <f>IF(Cons_Unit_Costs[[#This Row],[Closing social housing units managed]]&gt;0,Cons_Unit_Costs[[#This Row],[Headline Social Housing Cost]]/Cons_Unit_Costs[[#This Row],[Closing social housing units managed]],"")</f>
        <v>2.9385803604266276</v>
      </c>
      <c r="G90" s="157">
        <f>IF(Cons_Unit_Costs[[#This Row],[Closing social housing units managed]]&gt;0,Cons_Unit_Costs[[#This Row],[Management]]/Cons_Unit_Costs[[#This Row],[Closing social housing units managed]],"")</f>
        <v>1.0965428466347922</v>
      </c>
      <c r="H90" s="156">
        <v>5963</v>
      </c>
      <c r="I90" s="157">
        <f>IF(Cons_Unit_Costs[[#This Row],[Closing social housing units managed]]&gt;0,Cons_Unit_Costs[[#This Row],[Service charge costs]]/Cons_Unit_Costs[[#This Row],[Closing social housing units managed]],"")</f>
        <v>0.29514527399779333</v>
      </c>
      <c r="J90" s="156">
        <v>1605</v>
      </c>
      <c r="K90" s="157">
        <f>IF(Cons_Unit_Costs[[#This Row],[Closing social housing units managed]]&gt;0,(Cons_Unit_Costs[[#This Row],[Routine maintenance]]+Cons_Unit_Costs[[#This Row],[Planned maintenance]])/Cons_Unit_Costs[[#This Row],[Closing social housing units managed]],"")</f>
        <v>1.0334681868333946</v>
      </c>
      <c r="L90" s="156">
        <v>3020</v>
      </c>
      <c r="M90" s="156">
        <v>2600</v>
      </c>
      <c r="N90" s="157">
        <f>IF(Cons_Unit_Costs[[#This Row],[Closing social housing units managed]]&gt;0,(Cons_Unit_Costs[[#This Row],[Major repairs expenditure]]+Cons_Unit_Costs[[#This Row],[Capitalised major repairs expenditure for period]])/Cons_Unit_Costs[[#This Row],[Closing social housing units managed]],"")</f>
        <v>0.40639941154836334</v>
      </c>
      <c r="O90" s="156">
        <v>0</v>
      </c>
      <c r="P90" s="156">
        <v>2210</v>
      </c>
      <c r="Q90"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0.10702464141228393</v>
      </c>
      <c r="R90" s="156">
        <v>456</v>
      </c>
      <c r="S90" s="156">
        <v>126</v>
      </c>
      <c r="T90" s="156">
        <v>0</v>
      </c>
      <c r="U90" s="156">
        <v>0</v>
      </c>
      <c r="V90" s="156">
        <v>0</v>
      </c>
      <c r="W90" s="158">
        <v>5.5946646906261575E-2</v>
      </c>
      <c r="X90" s="158">
        <v>0.18358651352352723</v>
      </c>
      <c r="Y90" s="156" t="s">
        <v>1257</v>
      </c>
      <c r="Z90" s="159">
        <v>34821</v>
      </c>
      <c r="AA90" s="156" t="s">
        <v>1268</v>
      </c>
      <c r="AB90" s="156" t="s">
        <v>1259</v>
      </c>
      <c r="AC90" s="157">
        <v>1.0118209273495495</v>
      </c>
    </row>
    <row r="91" spans="1:29" x14ac:dyDescent="0.2">
      <c r="A91" s="153" t="s">
        <v>445</v>
      </c>
      <c r="B91" s="153" t="s">
        <v>446</v>
      </c>
      <c r="C91" s="154" t="s">
        <v>200</v>
      </c>
      <c r="D91" s="155">
        <v>1646</v>
      </c>
      <c r="E91"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5624</v>
      </c>
      <c r="F91" s="157">
        <f>IF(Cons_Unit_Costs[[#This Row],[Closing social housing units managed]]&gt;0,Cons_Unit_Costs[[#This Row],[Headline Social Housing Cost]]/Cons_Unit_Costs[[#This Row],[Closing social housing units managed]],"")</f>
        <v>3.416767922235723</v>
      </c>
      <c r="G91" s="157">
        <f>IF(Cons_Unit_Costs[[#This Row],[Closing social housing units managed]]&gt;0,Cons_Unit_Costs[[#This Row],[Management]]/Cons_Unit_Costs[[#This Row],[Closing social housing units managed]],"")</f>
        <v>0.99635479951397332</v>
      </c>
      <c r="H91" s="156">
        <v>1640</v>
      </c>
      <c r="I91" s="157">
        <f>IF(Cons_Unit_Costs[[#This Row],[Closing social housing units managed]]&gt;0,Cons_Unit_Costs[[#This Row],[Service charge costs]]/Cons_Unit_Costs[[#This Row],[Closing social housing units managed]],"")</f>
        <v>0.31470230862697446</v>
      </c>
      <c r="J91" s="156">
        <v>518</v>
      </c>
      <c r="K91" s="157">
        <f>IF(Cons_Unit_Costs[[#This Row],[Closing social housing units managed]]&gt;0,(Cons_Unit_Costs[[#This Row],[Routine maintenance]]+Cons_Unit_Costs[[#This Row],[Planned maintenance]])/Cons_Unit_Costs[[#This Row],[Closing social housing units managed]],"")</f>
        <v>0.71810449574726609</v>
      </c>
      <c r="L91" s="156">
        <v>1182</v>
      </c>
      <c r="M91" s="156">
        <v>0</v>
      </c>
      <c r="N91" s="157">
        <f>IF(Cons_Unit_Costs[[#This Row],[Closing social housing units managed]]&gt;0,(Cons_Unit_Costs[[#This Row],[Major repairs expenditure]]+Cons_Unit_Costs[[#This Row],[Capitalised major repairs expenditure for period]])/Cons_Unit_Costs[[#This Row],[Closing social housing units managed]],"")</f>
        <v>1.1275820170109356</v>
      </c>
      <c r="O91" s="156">
        <v>660</v>
      </c>
      <c r="P91" s="156">
        <v>1196</v>
      </c>
      <c r="Q91"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0.2600243013365735</v>
      </c>
      <c r="R91" s="156">
        <v>428</v>
      </c>
      <c r="S91" s="156">
        <v>0</v>
      </c>
      <c r="T91" s="156">
        <v>0</v>
      </c>
      <c r="U91" s="156">
        <v>0</v>
      </c>
      <c r="V91" s="156">
        <v>0</v>
      </c>
      <c r="W91" s="158">
        <v>4.9844236760124613E-3</v>
      </c>
      <c r="X91" s="158">
        <v>8.4735202492211836E-2</v>
      </c>
      <c r="Y91" s="156" t="s">
        <v>1256</v>
      </c>
      <c r="Z91" s="159"/>
      <c r="AA91" s="156" t="s">
        <v>1279</v>
      </c>
      <c r="AB91" s="156" t="s">
        <v>1263</v>
      </c>
      <c r="AC91" s="157">
        <v>1.0022399874355168</v>
      </c>
    </row>
    <row r="92" spans="1:29" x14ac:dyDescent="0.2">
      <c r="A92" s="153" t="s">
        <v>448</v>
      </c>
      <c r="B92" s="153" t="s">
        <v>449</v>
      </c>
      <c r="C92" s="154" t="s">
        <v>200</v>
      </c>
      <c r="D92" s="155">
        <v>1318</v>
      </c>
      <c r="E92"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3680</v>
      </c>
      <c r="F92" s="157">
        <f>IF(Cons_Unit_Costs[[#This Row],[Closing social housing units managed]]&gt;0,Cons_Unit_Costs[[#This Row],[Headline Social Housing Cost]]/Cons_Unit_Costs[[#This Row],[Closing social housing units managed]],"")</f>
        <v>2.7921092564491654</v>
      </c>
      <c r="G92" s="157">
        <f>IF(Cons_Unit_Costs[[#This Row],[Closing social housing units managed]]&gt;0,Cons_Unit_Costs[[#This Row],[Management]]/Cons_Unit_Costs[[#This Row],[Closing social housing units managed]],"")</f>
        <v>1.0523520485584219</v>
      </c>
      <c r="H92" s="156">
        <v>1387</v>
      </c>
      <c r="I92" s="157">
        <f>IF(Cons_Unit_Costs[[#This Row],[Closing social housing units managed]]&gt;0,Cons_Unit_Costs[[#This Row],[Service charge costs]]/Cons_Unit_Costs[[#This Row],[Closing social housing units managed]],"")</f>
        <v>0.37860394537177544</v>
      </c>
      <c r="J92" s="156">
        <v>499</v>
      </c>
      <c r="K92" s="157">
        <f>IF(Cons_Unit_Costs[[#This Row],[Closing social housing units managed]]&gt;0,(Cons_Unit_Costs[[#This Row],[Routine maintenance]]+Cons_Unit_Costs[[#This Row],[Planned maintenance]])/Cons_Unit_Costs[[#This Row],[Closing social housing units managed]],"")</f>
        <v>1.0091047040971168</v>
      </c>
      <c r="L92" s="156">
        <v>1070</v>
      </c>
      <c r="M92" s="156">
        <v>260</v>
      </c>
      <c r="N92" s="157">
        <f>IF(Cons_Unit_Costs[[#This Row],[Closing social housing units managed]]&gt;0,(Cons_Unit_Costs[[#This Row],[Major repairs expenditure]]+Cons_Unit_Costs[[#This Row],[Capitalised major repairs expenditure for period]])/Cons_Unit_Costs[[#This Row],[Closing social housing units managed]],"")</f>
        <v>0.2488619119878604</v>
      </c>
      <c r="O92" s="156">
        <v>0</v>
      </c>
      <c r="P92" s="156">
        <v>328</v>
      </c>
      <c r="Q92"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0.10318664643399089</v>
      </c>
      <c r="R92" s="156">
        <v>133</v>
      </c>
      <c r="S92" s="156">
        <v>0</v>
      </c>
      <c r="T92" s="156">
        <v>3</v>
      </c>
      <c r="U92" s="156">
        <v>0</v>
      </c>
      <c r="V92" s="156">
        <v>0</v>
      </c>
      <c r="W92" s="158">
        <v>0</v>
      </c>
      <c r="X92" s="158">
        <v>5.5045871559633031E-2</v>
      </c>
      <c r="Y92" s="156" t="s">
        <v>1256</v>
      </c>
      <c r="Z92" s="159"/>
      <c r="AA92" s="156" t="s">
        <v>1279</v>
      </c>
      <c r="AB92" s="156" t="s">
        <v>1263</v>
      </c>
      <c r="AC92" s="157">
        <v>1.0022399874355168</v>
      </c>
    </row>
    <row r="93" spans="1:29" x14ac:dyDescent="0.2">
      <c r="A93" s="153" t="s">
        <v>93</v>
      </c>
      <c r="B93" s="153" t="s">
        <v>92</v>
      </c>
      <c r="C93" s="154" t="s">
        <v>200</v>
      </c>
      <c r="D93" s="155">
        <v>48045</v>
      </c>
      <c r="E93"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173490</v>
      </c>
      <c r="F93" s="157">
        <f>IF(Cons_Unit_Costs[[#This Row],[Closing social housing units managed]]&gt;0,Cons_Unit_Costs[[#This Row],[Headline Social Housing Cost]]/Cons_Unit_Costs[[#This Row],[Closing social housing units managed]],"")</f>
        <v>3.6109896971589137</v>
      </c>
      <c r="G93" s="157">
        <f>IF(Cons_Unit_Costs[[#This Row],[Closing social housing units managed]]&gt;0,Cons_Unit_Costs[[#This Row],[Management]]/Cons_Unit_Costs[[#This Row],[Closing social housing units managed]],"")</f>
        <v>0.56109896971589135</v>
      </c>
      <c r="H93" s="156">
        <v>26958</v>
      </c>
      <c r="I93" s="157">
        <f>IF(Cons_Unit_Costs[[#This Row],[Closing social housing units managed]]&gt;0,Cons_Unit_Costs[[#This Row],[Service charge costs]]/Cons_Unit_Costs[[#This Row],[Closing social housing units managed]],"")</f>
        <v>0.5528150692059528</v>
      </c>
      <c r="J93" s="156">
        <v>26560</v>
      </c>
      <c r="K93" s="157">
        <f>IF(Cons_Unit_Costs[[#This Row],[Closing social housing units managed]]&gt;0,(Cons_Unit_Costs[[#This Row],[Routine maintenance]]+Cons_Unit_Costs[[#This Row],[Planned maintenance]])/Cons_Unit_Costs[[#This Row],[Closing social housing units managed]],"")</f>
        <v>0.7639920907482568</v>
      </c>
      <c r="L93" s="156">
        <v>21158</v>
      </c>
      <c r="M93" s="156">
        <v>15548</v>
      </c>
      <c r="N93" s="157">
        <f>IF(Cons_Unit_Costs[[#This Row],[Closing social housing units managed]]&gt;0,(Cons_Unit_Costs[[#This Row],[Major repairs expenditure]]+Cons_Unit_Costs[[#This Row],[Capitalised major repairs expenditure for period]])/Cons_Unit_Costs[[#This Row],[Closing social housing units managed]],"")</f>
        <v>0.54954729940680613</v>
      </c>
      <c r="O93" s="156">
        <v>2010</v>
      </c>
      <c r="P93" s="156">
        <v>24393</v>
      </c>
      <c r="Q93"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1.1835362680820065</v>
      </c>
      <c r="R93" s="156">
        <v>136</v>
      </c>
      <c r="S93" s="156">
        <v>29756</v>
      </c>
      <c r="T93" s="156">
        <v>26971</v>
      </c>
      <c r="U93" s="156">
        <v>0</v>
      </c>
      <c r="V93" s="156">
        <v>0</v>
      </c>
      <c r="W93" s="158">
        <v>4.8827166552164097E-2</v>
      </c>
      <c r="X93" s="158">
        <v>3.2976739621160073E-2</v>
      </c>
      <c r="Y93" s="156" t="s">
        <v>1258</v>
      </c>
      <c r="Z93" s="159">
        <v>36963</v>
      </c>
      <c r="AA93" s="156" t="s">
        <v>1268</v>
      </c>
      <c r="AB93" s="156" t="s">
        <v>1259</v>
      </c>
      <c r="AC93" s="157">
        <v>1.1172470088073985</v>
      </c>
    </row>
    <row r="94" spans="1:29" x14ac:dyDescent="0.2">
      <c r="A94" s="153" t="s">
        <v>95</v>
      </c>
      <c r="B94" s="153" t="s">
        <v>94</v>
      </c>
      <c r="C94" s="154" t="s">
        <v>201</v>
      </c>
      <c r="D94" s="155">
        <v>2764</v>
      </c>
      <c r="E9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11275</v>
      </c>
      <c r="F94" s="157">
        <f>IF(Cons_Unit_Costs[[#This Row],[Closing social housing units managed]]&gt;0,Cons_Unit_Costs[[#This Row],[Headline Social Housing Cost]]/Cons_Unit_Costs[[#This Row],[Closing social housing units managed]],"")</f>
        <v>4.0792329956584661</v>
      </c>
      <c r="G94" s="157">
        <f>IF(Cons_Unit_Costs[[#This Row],[Closing social housing units managed]]&gt;0,Cons_Unit_Costs[[#This Row],[Management]]/Cons_Unit_Costs[[#This Row],[Closing social housing units managed]],"")</f>
        <v>1.5347322720694645</v>
      </c>
      <c r="H94" s="156">
        <v>4242</v>
      </c>
      <c r="I94" s="157">
        <f>IF(Cons_Unit_Costs[[#This Row],[Closing social housing units managed]]&gt;0,Cons_Unit_Costs[[#This Row],[Service charge costs]]/Cons_Unit_Costs[[#This Row],[Closing social housing units managed]],"")</f>
        <v>0.26519536903039076</v>
      </c>
      <c r="J94" s="156">
        <v>733</v>
      </c>
      <c r="K94" s="157">
        <f>IF(Cons_Unit_Costs[[#This Row],[Closing social housing units managed]]&gt;0,(Cons_Unit_Costs[[#This Row],[Routine maintenance]]+Cons_Unit_Costs[[#This Row],[Planned maintenance]])/Cons_Unit_Costs[[#This Row],[Closing social housing units managed]],"")</f>
        <v>1.116136034732272</v>
      </c>
      <c r="L94" s="156">
        <v>2297</v>
      </c>
      <c r="M94" s="156">
        <v>788</v>
      </c>
      <c r="N94" s="157">
        <f>IF(Cons_Unit_Costs[[#This Row],[Closing social housing units managed]]&gt;0,(Cons_Unit_Costs[[#This Row],[Major repairs expenditure]]+Cons_Unit_Costs[[#This Row],[Capitalised major repairs expenditure for period]])/Cons_Unit_Costs[[#This Row],[Closing social housing units managed]],"")</f>
        <v>0.3751808972503618</v>
      </c>
      <c r="O94" s="156">
        <v>55</v>
      </c>
      <c r="P94" s="156">
        <v>982</v>
      </c>
      <c r="Q9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0.7879884225759769</v>
      </c>
      <c r="R94" s="156">
        <v>0</v>
      </c>
      <c r="S94" s="156">
        <v>0</v>
      </c>
      <c r="T94" s="156">
        <v>1004</v>
      </c>
      <c r="U94" s="156">
        <v>1174</v>
      </c>
      <c r="V94" s="156">
        <v>0</v>
      </c>
      <c r="W94" s="158">
        <v>0.12234580384226491</v>
      </c>
      <c r="X94" s="158">
        <v>5.4600606673407485E-2</v>
      </c>
      <c r="Y94" s="156" t="s">
        <v>1256</v>
      </c>
      <c r="Z94" s="159"/>
      <c r="AA94" s="156" t="s">
        <v>1279</v>
      </c>
      <c r="AB94" s="156" t="s">
        <v>1262</v>
      </c>
      <c r="AC94" s="157">
        <v>0.9156653862445665</v>
      </c>
    </row>
    <row r="95" spans="1:29" x14ac:dyDescent="0.2">
      <c r="A95" s="160" t="s">
        <v>455</v>
      </c>
      <c r="B95" s="153" t="s">
        <v>456</v>
      </c>
      <c r="C95" s="154" t="s">
        <v>200</v>
      </c>
      <c r="D95" s="155">
        <v>1285</v>
      </c>
      <c r="E9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14404</v>
      </c>
      <c r="F95" s="157">
        <f>IF(Cons_Unit_Costs[[#This Row],[Closing social housing units managed]]&gt;0,Cons_Unit_Costs[[#This Row],[Headline Social Housing Cost]]/Cons_Unit_Costs[[#This Row],[Closing social housing units managed]],"")</f>
        <v>11.209338521400777</v>
      </c>
      <c r="G95" s="157">
        <f>IF(Cons_Unit_Costs[[#This Row],[Closing social housing units managed]]&gt;0,Cons_Unit_Costs[[#This Row],[Management]]/Cons_Unit_Costs[[#This Row],[Closing social housing units managed]],"")</f>
        <v>1.3618677042801557</v>
      </c>
      <c r="H95" s="156">
        <v>1750</v>
      </c>
      <c r="I95" s="157">
        <f>IF(Cons_Unit_Costs[[#This Row],[Closing social housing units managed]]&gt;0,Cons_Unit_Costs[[#This Row],[Service charge costs]]/Cons_Unit_Costs[[#This Row],[Closing social housing units managed]],"")</f>
        <v>1.0910505836575874</v>
      </c>
      <c r="J95" s="156">
        <v>1402</v>
      </c>
      <c r="K95" s="157">
        <f>IF(Cons_Unit_Costs[[#This Row],[Closing social housing units managed]]&gt;0,(Cons_Unit_Costs[[#This Row],[Routine maintenance]]+Cons_Unit_Costs[[#This Row],[Planned maintenance]])/Cons_Unit_Costs[[#This Row],[Closing social housing units managed]],"")</f>
        <v>1.0770428015564202</v>
      </c>
      <c r="L95" s="156">
        <v>808</v>
      </c>
      <c r="M95" s="156">
        <v>576</v>
      </c>
      <c r="N95" s="157">
        <f>IF(Cons_Unit_Costs[[#This Row],[Closing social housing units managed]]&gt;0,(Cons_Unit_Costs[[#This Row],[Major repairs expenditure]]+Cons_Unit_Costs[[#This Row],[Capitalised major repairs expenditure for period]])/Cons_Unit_Costs[[#This Row],[Closing social housing units managed]],"")</f>
        <v>0</v>
      </c>
      <c r="O95" s="156">
        <v>0</v>
      </c>
      <c r="P95" s="156">
        <v>0</v>
      </c>
      <c r="Q9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7.679377431906615</v>
      </c>
      <c r="R95" s="156">
        <v>9868</v>
      </c>
      <c r="S95" s="156">
        <v>0</v>
      </c>
      <c r="T95" s="156">
        <v>0</v>
      </c>
      <c r="U95" s="156">
        <v>0</v>
      </c>
      <c r="V95" s="156">
        <v>0</v>
      </c>
      <c r="W95" s="158">
        <v>0.92373540856031133</v>
      </c>
      <c r="X95" s="158">
        <v>7.6264591439688723E-2</v>
      </c>
      <c r="Y95" s="156" t="s">
        <v>1256</v>
      </c>
      <c r="Z95" s="159"/>
      <c r="AA95" s="156" t="s">
        <v>1279</v>
      </c>
      <c r="AB95" s="156" t="s">
        <v>1258</v>
      </c>
      <c r="AC95" s="157">
        <v>0.95115903228665066</v>
      </c>
    </row>
    <row r="96" spans="1:29" x14ac:dyDescent="0.2">
      <c r="A96" s="153" t="s">
        <v>97</v>
      </c>
      <c r="B96" s="153" t="s">
        <v>96</v>
      </c>
      <c r="C96" s="154" t="s">
        <v>200</v>
      </c>
      <c r="D96" s="155">
        <v>21566</v>
      </c>
      <c r="E9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62788</v>
      </c>
      <c r="F96" s="157">
        <f>IF(Cons_Unit_Costs[[#This Row],[Closing social housing units managed]]&gt;0,Cons_Unit_Costs[[#This Row],[Headline Social Housing Cost]]/Cons_Unit_Costs[[#This Row],[Closing social housing units managed]],"")</f>
        <v>2.9114346656774552</v>
      </c>
      <c r="G96" s="157">
        <f>IF(Cons_Unit_Costs[[#This Row],[Closing social housing units managed]]&gt;0,Cons_Unit_Costs[[#This Row],[Management]]/Cons_Unit_Costs[[#This Row],[Closing social housing units managed]],"")</f>
        <v>1.0459055921357692</v>
      </c>
      <c r="H96" s="156">
        <v>22556</v>
      </c>
      <c r="I96" s="157">
        <f>IF(Cons_Unit_Costs[[#This Row],[Closing social housing units managed]]&gt;0,Cons_Unit_Costs[[#This Row],[Service charge costs]]/Cons_Unit_Costs[[#This Row],[Closing social housing units managed]],"")</f>
        <v>0.15241583974775108</v>
      </c>
      <c r="J96" s="156">
        <v>3287</v>
      </c>
      <c r="K96" s="157">
        <f>IF(Cons_Unit_Costs[[#This Row],[Closing social housing units managed]]&gt;0,(Cons_Unit_Costs[[#This Row],[Routine maintenance]]+Cons_Unit_Costs[[#This Row],[Planned maintenance]])/Cons_Unit_Costs[[#This Row],[Closing social housing units managed]],"")</f>
        <v>1.0957062042103312</v>
      </c>
      <c r="L96" s="156">
        <v>19626</v>
      </c>
      <c r="M96" s="156">
        <v>4004</v>
      </c>
      <c r="N96" s="157">
        <f>IF(Cons_Unit_Costs[[#This Row],[Closing social housing units managed]]&gt;0,(Cons_Unit_Costs[[#This Row],[Major repairs expenditure]]+Cons_Unit_Costs[[#This Row],[Capitalised major repairs expenditure for period]])/Cons_Unit_Costs[[#This Row],[Closing social housing units managed]],"")</f>
        <v>0.48298247241027542</v>
      </c>
      <c r="O96" s="156">
        <v>2153</v>
      </c>
      <c r="P96" s="156">
        <v>8263</v>
      </c>
      <c r="Q9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0.13442455717332838</v>
      </c>
      <c r="R96" s="156">
        <v>1045</v>
      </c>
      <c r="S96" s="156">
        <v>1065</v>
      </c>
      <c r="T96" s="156">
        <v>770</v>
      </c>
      <c r="U96" s="156">
        <v>19</v>
      </c>
      <c r="V96" s="156">
        <v>0</v>
      </c>
      <c r="W96" s="158">
        <v>4.4524006242541081E-3</v>
      </c>
      <c r="X96" s="158">
        <v>4.3743688607362524E-2</v>
      </c>
      <c r="Y96" s="156" t="s">
        <v>1258</v>
      </c>
      <c r="Z96" s="159">
        <v>37676</v>
      </c>
      <c r="AA96" s="156" t="s">
        <v>1268</v>
      </c>
      <c r="AB96" s="156" t="s">
        <v>1264</v>
      </c>
      <c r="AC96" s="157">
        <v>0.94807909763407594</v>
      </c>
    </row>
    <row r="97" spans="1:29" x14ac:dyDescent="0.2">
      <c r="A97" s="153" t="s">
        <v>457</v>
      </c>
      <c r="B97" s="153" t="s">
        <v>458</v>
      </c>
      <c r="C97" s="154" t="s">
        <v>200</v>
      </c>
      <c r="D97" s="155">
        <v>1253</v>
      </c>
      <c r="E9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4429</v>
      </c>
      <c r="F97" s="157">
        <f>IF(Cons_Unit_Costs[[#This Row],[Closing social housing units managed]]&gt;0,Cons_Unit_Costs[[#This Row],[Headline Social Housing Cost]]/Cons_Unit_Costs[[#This Row],[Closing social housing units managed]],"")</f>
        <v>3.5347166799680765</v>
      </c>
      <c r="G97" s="157">
        <f>IF(Cons_Unit_Costs[[#This Row],[Closing social housing units managed]]&gt;0,Cons_Unit_Costs[[#This Row],[Management]]/Cons_Unit_Costs[[#This Row],[Closing social housing units managed]],"")</f>
        <v>0.74381484437350354</v>
      </c>
      <c r="H97" s="156">
        <v>932</v>
      </c>
      <c r="I97" s="157">
        <f>IF(Cons_Unit_Costs[[#This Row],[Closing social housing units managed]]&gt;0,Cons_Unit_Costs[[#This Row],[Service charge costs]]/Cons_Unit_Costs[[#This Row],[Closing social housing units managed]],"")</f>
        <v>0.5131683958499601</v>
      </c>
      <c r="J97" s="156">
        <v>643</v>
      </c>
      <c r="K97" s="157">
        <f>IF(Cons_Unit_Costs[[#This Row],[Closing social housing units managed]]&gt;0,(Cons_Unit_Costs[[#This Row],[Routine maintenance]]+Cons_Unit_Costs[[#This Row],[Planned maintenance]])/Cons_Unit_Costs[[#This Row],[Closing social housing units managed]],"")</f>
        <v>1.3152434158020749</v>
      </c>
      <c r="L97" s="156">
        <v>1264</v>
      </c>
      <c r="M97" s="156">
        <v>384</v>
      </c>
      <c r="N97" s="157">
        <f>IF(Cons_Unit_Costs[[#This Row],[Closing social housing units managed]]&gt;0,(Cons_Unit_Costs[[#This Row],[Major repairs expenditure]]+Cons_Unit_Costs[[#This Row],[Capitalised major repairs expenditure for period]])/Cons_Unit_Costs[[#This Row],[Closing social housing units managed]],"")</f>
        <v>0.79569034317637666</v>
      </c>
      <c r="O97" s="156">
        <v>36</v>
      </c>
      <c r="P97" s="156">
        <v>961</v>
      </c>
      <c r="Q9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0.16679968076616122</v>
      </c>
      <c r="R97" s="156">
        <v>18</v>
      </c>
      <c r="S97" s="156">
        <v>0</v>
      </c>
      <c r="T97" s="156">
        <v>191</v>
      </c>
      <c r="U97" s="156">
        <v>0</v>
      </c>
      <c r="V97" s="156">
        <v>0</v>
      </c>
      <c r="W97" s="158">
        <v>4.7885075818036712E-3</v>
      </c>
      <c r="X97" s="158">
        <v>0</v>
      </c>
      <c r="Y97" s="156" t="s">
        <v>1256</v>
      </c>
      <c r="Z97" s="159"/>
      <c r="AA97" s="156" t="s">
        <v>1279</v>
      </c>
      <c r="AB97" s="156" t="s">
        <v>1267</v>
      </c>
      <c r="AC97" s="157">
        <v>1.2352436677108278</v>
      </c>
    </row>
    <row r="98" spans="1:29" x14ac:dyDescent="0.2">
      <c r="A98" s="153" t="s">
        <v>459</v>
      </c>
      <c r="B98" s="153" t="s">
        <v>460</v>
      </c>
      <c r="C98" s="154" t="s">
        <v>200</v>
      </c>
      <c r="D98" s="155">
        <v>7534</v>
      </c>
      <c r="E9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23806</v>
      </c>
      <c r="F98" s="157">
        <f>IF(Cons_Unit_Costs[[#This Row],[Closing social housing units managed]]&gt;0,Cons_Unit_Costs[[#This Row],[Headline Social Housing Cost]]/Cons_Unit_Costs[[#This Row],[Closing social housing units managed]],"")</f>
        <v>3.1598088664719937</v>
      </c>
      <c r="G98" s="157">
        <f>IF(Cons_Unit_Costs[[#This Row],[Closing social housing units managed]]&gt;0,Cons_Unit_Costs[[#This Row],[Management]]/Cons_Unit_Costs[[#This Row],[Closing social housing units managed]],"")</f>
        <v>0.73015662330767184</v>
      </c>
      <c r="H98" s="156">
        <v>5501</v>
      </c>
      <c r="I98" s="157">
        <f>IF(Cons_Unit_Costs[[#This Row],[Closing social housing units managed]]&gt;0,Cons_Unit_Costs[[#This Row],[Service charge costs]]/Cons_Unit_Costs[[#This Row],[Closing social housing units managed]],"")</f>
        <v>0.37722325457924077</v>
      </c>
      <c r="J98" s="156">
        <v>2842</v>
      </c>
      <c r="K98" s="157">
        <f>IF(Cons_Unit_Costs[[#This Row],[Closing social housing units managed]]&gt;0,(Cons_Unit_Costs[[#This Row],[Routine maintenance]]+Cons_Unit_Costs[[#This Row],[Planned maintenance]])/Cons_Unit_Costs[[#This Row],[Closing social housing units managed]],"")</f>
        <v>1.1217148924873905</v>
      </c>
      <c r="L98" s="156">
        <v>3104</v>
      </c>
      <c r="M98" s="156">
        <v>5347</v>
      </c>
      <c r="N98" s="157">
        <f>IF(Cons_Unit_Costs[[#This Row],[Closing social housing units managed]]&gt;0,(Cons_Unit_Costs[[#This Row],[Major repairs expenditure]]+Cons_Unit_Costs[[#This Row],[Capitalised major repairs expenditure for period]])/Cons_Unit_Costs[[#This Row],[Closing social housing units managed]],"")</f>
        <v>0.7213963366073799</v>
      </c>
      <c r="O98" s="156">
        <v>0</v>
      </c>
      <c r="P98" s="156">
        <v>5435</v>
      </c>
      <c r="Q9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0.20931775949031059</v>
      </c>
      <c r="R98" s="156">
        <v>638</v>
      </c>
      <c r="S98" s="156">
        <v>730</v>
      </c>
      <c r="T98" s="156">
        <v>0</v>
      </c>
      <c r="U98" s="156">
        <v>0</v>
      </c>
      <c r="V98" s="156">
        <v>209</v>
      </c>
      <c r="W98" s="158">
        <v>3.523676880222841E-2</v>
      </c>
      <c r="X98" s="158">
        <v>6.5738161559888583E-2</v>
      </c>
      <c r="Y98" s="156" t="s">
        <v>1256</v>
      </c>
      <c r="Z98" s="159"/>
      <c r="AA98" s="156" t="s">
        <v>1279</v>
      </c>
      <c r="AB98" s="156" t="s">
        <v>1262</v>
      </c>
      <c r="AC98" s="157">
        <v>0.91566538624456661</v>
      </c>
    </row>
    <row r="99" spans="1:29" x14ac:dyDescent="0.2">
      <c r="A99" s="153" t="s">
        <v>462</v>
      </c>
      <c r="B99" s="153" t="s">
        <v>463</v>
      </c>
      <c r="C99" s="154" t="s">
        <v>200</v>
      </c>
      <c r="D99" s="155">
        <v>2279</v>
      </c>
      <c r="E99"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10643</v>
      </c>
      <c r="F99" s="157">
        <f>IF(Cons_Unit_Costs[[#This Row],[Closing social housing units managed]]&gt;0,Cons_Unit_Costs[[#This Row],[Headline Social Housing Cost]]/Cons_Unit_Costs[[#This Row],[Closing social housing units managed]],"")</f>
        <v>4.6700307152259759</v>
      </c>
      <c r="G99" s="157">
        <f>IF(Cons_Unit_Costs[[#This Row],[Closing social housing units managed]]&gt;0,Cons_Unit_Costs[[#This Row],[Management]]/Cons_Unit_Costs[[#This Row],[Closing social housing units managed]],"")</f>
        <v>0.86792452830188682</v>
      </c>
      <c r="H99" s="156">
        <v>1978</v>
      </c>
      <c r="I99" s="157">
        <f>IF(Cons_Unit_Costs[[#This Row],[Closing social housing units managed]]&gt;0,Cons_Unit_Costs[[#This Row],[Service charge costs]]/Cons_Unit_Costs[[#This Row],[Closing social housing units managed]],"")</f>
        <v>0.98903027643703378</v>
      </c>
      <c r="J99" s="156">
        <v>2254</v>
      </c>
      <c r="K99" s="157">
        <f>IF(Cons_Unit_Costs[[#This Row],[Closing social housing units managed]]&gt;0,(Cons_Unit_Costs[[#This Row],[Routine maintenance]]+Cons_Unit_Costs[[#This Row],[Planned maintenance]])/Cons_Unit_Costs[[#This Row],[Closing social housing units managed]],"")</f>
        <v>1.9916630100921457</v>
      </c>
      <c r="L99" s="156">
        <v>3912</v>
      </c>
      <c r="M99" s="156">
        <v>627</v>
      </c>
      <c r="N99" s="157">
        <f>IF(Cons_Unit_Costs[[#This Row],[Closing social housing units managed]]&gt;0,(Cons_Unit_Costs[[#This Row],[Major repairs expenditure]]+Cons_Unit_Costs[[#This Row],[Capitalised major repairs expenditure for period]])/Cons_Unit_Costs[[#This Row],[Closing social housing units managed]],"")</f>
        <v>0.44668714348398419</v>
      </c>
      <c r="O99" s="156">
        <v>20</v>
      </c>
      <c r="P99" s="156">
        <v>998</v>
      </c>
      <c r="Q99"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0.37472575691092586</v>
      </c>
      <c r="R99" s="156">
        <v>0</v>
      </c>
      <c r="S99" s="156">
        <v>0</v>
      </c>
      <c r="T99" s="156">
        <v>795</v>
      </c>
      <c r="U99" s="156">
        <v>59</v>
      </c>
      <c r="V99" s="156">
        <v>0</v>
      </c>
      <c r="W99" s="158">
        <v>3.1592803861342694E-2</v>
      </c>
      <c r="X99" s="158">
        <v>1.7990346643264588E-2</v>
      </c>
      <c r="Y99" s="156" t="s">
        <v>1256</v>
      </c>
      <c r="Z99" s="159"/>
      <c r="AA99" s="156" t="s">
        <v>1279</v>
      </c>
      <c r="AB99" s="156" t="s">
        <v>1267</v>
      </c>
      <c r="AC99" s="157">
        <v>1.2488627787394371</v>
      </c>
    </row>
    <row r="100" spans="1:29" x14ac:dyDescent="0.2">
      <c r="A100" s="153" t="s">
        <v>467</v>
      </c>
      <c r="B100" s="153" t="s">
        <v>466</v>
      </c>
      <c r="C100" s="154" t="s">
        <v>200</v>
      </c>
      <c r="D100" s="155">
        <v>16318</v>
      </c>
      <c r="E100"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52529</v>
      </c>
      <c r="F100" s="157">
        <f>IF(Cons_Unit_Costs[[#This Row],[Closing social housing units managed]]&gt;0,Cons_Unit_Costs[[#This Row],[Headline Social Housing Cost]]/Cons_Unit_Costs[[#This Row],[Closing social housing units managed]],"")</f>
        <v>3.2190832209829634</v>
      </c>
      <c r="G100" s="157">
        <f>IF(Cons_Unit_Costs[[#This Row],[Closing social housing units managed]]&gt;0,Cons_Unit_Costs[[#This Row],[Management]]/Cons_Unit_Costs[[#This Row],[Closing social housing units managed]],"")</f>
        <v>0.60730481676676062</v>
      </c>
      <c r="H100" s="156">
        <v>9910</v>
      </c>
      <c r="I100" s="157">
        <f>IF(Cons_Unit_Costs[[#This Row],[Closing social housing units managed]]&gt;0,Cons_Unit_Costs[[#This Row],[Service charge costs]]/Cons_Unit_Costs[[#This Row],[Closing social housing units managed]],"")</f>
        <v>0.39863953915921069</v>
      </c>
      <c r="J100" s="156">
        <v>6505</v>
      </c>
      <c r="K100" s="157">
        <f>IF(Cons_Unit_Costs[[#This Row],[Closing social housing units managed]]&gt;0,(Cons_Unit_Costs[[#This Row],[Routine maintenance]]+Cons_Unit_Costs[[#This Row],[Planned maintenance]])/Cons_Unit_Costs[[#This Row],[Closing social housing units managed]],"")</f>
        <v>1.2697634514033582</v>
      </c>
      <c r="L100" s="156">
        <v>14875</v>
      </c>
      <c r="M100" s="156">
        <v>5845</v>
      </c>
      <c r="N100" s="157">
        <f>IF(Cons_Unit_Costs[[#This Row],[Closing social housing units managed]]&gt;0,(Cons_Unit_Costs[[#This Row],[Major repairs expenditure]]+Cons_Unit_Costs[[#This Row],[Capitalised major repairs expenditure for period]])/Cons_Unit_Costs[[#This Row],[Closing social housing units managed]],"")</f>
        <v>0.57647996077950725</v>
      </c>
      <c r="O100" s="156">
        <v>0</v>
      </c>
      <c r="P100" s="156">
        <v>9407</v>
      </c>
      <c r="Q100"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0.36689545287412673</v>
      </c>
      <c r="R100" s="156">
        <v>182</v>
      </c>
      <c r="S100" s="156">
        <v>1955</v>
      </c>
      <c r="T100" s="156">
        <v>1171</v>
      </c>
      <c r="U100" s="156">
        <v>2208</v>
      </c>
      <c r="V100" s="156">
        <v>471</v>
      </c>
      <c r="W100" s="158">
        <v>2.9801324503311258E-2</v>
      </c>
      <c r="X100" s="158">
        <v>2.9801324503311258E-2</v>
      </c>
      <c r="Y100" s="156" t="s">
        <v>1258</v>
      </c>
      <c r="Z100" s="159">
        <v>39482</v>
      </c>
      <c r="AA100" s="156" t="s">
        <v>1280</v>
      </c>
      <c r="AB100" s="156" t="s">
        <v>1266</v>
      </c>
      <c r="AC100" s="157">
        <v>0.90266476487424829</v>
      </c>
    </row>
    <row r="101" spans="1:29" x14ac:dyDescent="0.2">
      <c r="A101" s="153" t="s">
        <v>470</v>
      </c>
      <c r="B101" s="153" t="s">
        <v>469</v>
      </c>
      <c r="C101" s="154" t="s">
        <v>200</v>
      </c>
      <c r="D101" s="155">
        <v>5031</v>
      </c>
      <c r="E101"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17265</v>
      </c>
      <c r="F101" s="157">
        <f>IF(Cons_Unit_Costs[[#This Row],[Closing social housing units managed]]&gt;0,Cons_Unit_Costs[[#This Row],[Headline Social Housing Cost]]/Cons_Unit_Costs[[#This Row],[Closing social housing units managed]],"")</f>
        <v>3.4317233154442457</v>
      </c>
      <c r="G101" s="157">
        <f>IF(Cons_Unit_Costs[[#This Row],[Closing social housing units managed]]&gt;0,Cons_Unit_Costs[[#This Row],[Management]]/Cons_Unit_Costs[[#This Row],[Closing social housing units managed]],"")</f>
        <v>0.97078115682766841</v>
      </c>
      <c r="H101" s="156">
        <v>4884</v>
      </c>
      <c r="I101" s="157">
        <f>IF(Cons_Unit_Costs[[#This Row],[Closing social housing units managed]]&gt;0,Cons_Unit_Costs[[#This Row],[Service charge costs]]/Cons_Unit_Costs[[#This Row],[Closing social housing units managed]],"")</f>
        <v>1.0240508845160008</v>
      </c>
      <c r="J101" s="156">
        <v>5152</v>
      </c>
      <c r="K101" s="157">
        <f>IF(Cons_Unit_Costs[[#This Row],[Closing social housing units managed]]&gt;0,(Cons_Unit_Costs[[#This Row],[Routine maintenance]]+Cons_Unit_Costs[[#This Row],[Planned maintenance]])/Cons_Unit_Costs[[#This Row],[Closing social housing units managed]],"")</f>
        <v>0.872192407076128</v>
      </c>
      <c r="L101" s="156">
        <v>1537</v>
      </c>
      <c r="M101" s="156">
        <v>2851</v>
      </c>
      <c r="N101" s="157">
        <f>IF(Cons_Unit_Costs[[#This Row],[Closing social housing units managed]]&gt;0,(Cons_Unit_Costs[[#This Row],[Major repairs expenditure]]+Cons_Unit_Costs[[#This Row],[Capitalised major repairs expenditure for period]])/Cons_Unit_Costs[[#This Row],[Closing social housing units managed]],"")</f>
        <v>0.54323196183661304</v>
      </c>
      <c r="O101" s="156">
        <v>0</v>
      </c>
      <c r="P101" s="156">
        <v>2733</v>
      </c>
      <c r="Q101"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2.1466905187835419E-2</v>
      </c>
      <c r="R101" s="156">
        <v>0</v>
      </c>
      <c r="S101" s="156">
        <v>0</v>
      </c>
      <c r="T101" s="156">
        <v>41</v>
      </c>
      <c r="U101" s="156">
        <v>67</v>
      </c>
      <c r="V101" s="156">
        <v>0</v>
      </c>
      <c r="W101" s="158">
        <v>2.0040899795501024E-2</v>
      </c>
      <c r="X101" s="158">
        <v>0.51247443762781186</v>
      </c>
      <c r="Y101" s="156" t="s">
        <v>1256</v>
      </c>
      <c r="Z101" s="159"/>
      <c r="AA101" s="156" t="s">
        <v>1279</v>
      </c>
      <c r="AB101" s="156" t="s">
        <v>1258</v>
      </c>
      <c r="AC101" s="157">
        <v>0.92180867609721673</v>
      </c>
    </row>
    <row r="102" spans="1:29" x14ac:dyDescent="0.2">
      <c r="A102" s="153" t="s">
        <v>473</v>
      </c>
      <c r="B102" s="153" t="s">
        <v>474</v>
      </c>
      <c r="C102" s="154" t="s">
        <v>200</v>
      </c>
      <c r="D102" s="155">
        <v>11265</v>
      </c>
      <c r="E102"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43270</v>
      </c>
      <c r="F102" s="157">
        <f>IF(Cons_Unit_Costs[[#This Row],[Closing social housing units managed]]&gt;0,Cons_Unit_Costs[[#This Row],[Headline Social Housing Cost]]/Cons_Unit_Costs[[#This Row],[Closing social housing units managed]],"")</f>
        <v>3.8411007545494895</v>
      </c>
      <c r="G102" s="157">
        <f>IF(Cons_Unit_Costs[[#This Row],[Closing social housing units managed]]&gt;0,Cons_Unit_Costs[[#This Row],[Management]]/Cons_Unit_Costs[[#This Row],[Closing social housing units managed]],"")</f>
        <v>0.20585885486018643</v>
      </c>
      <c r="H102" s="156">
        <v>2319</v>
      </c>
      <c r="I102" s="157">
        <f>IF(Cons_Unit_Costs[[#This Row],[Closing social housing units managed]]&gt;0,Cons_Unit_Costs[[#This Row],[Service charge costs]]/Cons_Unit_Costs[[#This Row],[Closing social housing units managed]],"")</f>
        <v>0.32339103417665332</v>
      </c>
      <c r="J102" s="156">
        <v>3643</v>
      </c>
      <c r="K102" s="157">
        <f>IF(Cons_Unit_Costs[[#This Row],[Closing social housing units managed]]&gt;0,(Cons_Unit_Costs[[#This Row],[Routine maintenance]]+Cons_Unit_Costs[[#This Row],[Planned maintenance]])/Cons_Unit_Costs[[#This Row],[Closing social housing units managed]],"")</f>
        <v>0.95952063914780295</v>
      </c>
      <c r="L102" s="156">
        <v>10809</v>
      </c>
      <c r="M102" s="156">
        <v>0</v>
      </c>
      <c r="N102" s="157">
        <f>IF(Cons_Unit_Costs[[#This Row],[Closing social housing units managed]]&gt;0,(Cons_Unit_Costs[[#This Row],[Major repairs expenditure]]+Cons_Unit_Costs[[#This Row],[Capitalised major repairs expenditure for period]])/Cons_Unit_Costs[[#This Row],[Closing social housing units managed]],"")</f>
        <v>0.90616955170883262</v>
      </c>
      <c r="O102" s="156">
        <v>1643</v>
      </c>
      <c r="P102" s="156">
        <v>8565</v>
      </c>
      <c r="Q102"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1.4461606746560143</v>
      </c>
      <c r="R102" s="156">
        <v>13242</v>
      </c>
      <c r="S102" s="156">
        <v>0</v>
      </c>
      <c r="T102" s="156">
        <v>0</v>
      </c>
      <c r="U102" s="156">
        <v>507</v>
      </c>
      <c r="V102" s="156">
        <v>2542</v>
      </c>
      <c r="W102" s="158">
        <v>9.3119596541786739E-2</v>
      </c>
      <c r="X102" s="158">
        <v>3.5662824207492796E-2</v>
      </c>
      <c r="Y102" s="156" t="s">
        <v>1256</v>
      </c>
      <c r="Z102" s="159"/>
      <c r="AA102" s="156" t="s">
        <v>1279</v>
      </c>
      <c r="AB102" s="156" t="s">
        <v>1265</v>
      </c>
      <c r="AC102" s="157">
        <v>0.96664377494299569</v>
      </c>
    </row>
    <row r="103" spans="1:29" x14ac:dyDescent="0.2">
      <c r="A103" s="153" t="s">
        <v>475</v>
      </c>
      <c r="B103" s="153" t="s">
        <v>476</v>
      </c>
      <c r="C103" s="154" t="s">
        <v>200</v>
      </c>
      <c r="D103" s="155">
        <v>13282</v>
      </c>
      <c r="E103"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36578</v>
      </c>
      <c r="F103" s="157">
        <f>IF(Cons_Unit_Costs[[#This Row],[Closing social housing units managed]]&gt;0,Cons_Unit_Costs[[#This Row],[Headline Social Housing Cost]]/Cons_Unit_Costs[[#This Row],[Closing social housing units managed]],"")</f>
        <v>2.7539527179641619</v>
      </c>
      <c r="G103" s="157">
        <f>IF(Cons_Unit_Costs[[#This Row],[Closing social housing units managed]]&gt;0,Cons_Unit_Costs[[#This Row],[Management]]/Cons_Unit_Costs[[#This Row],[Closing social housing units managed]],"")</f>
        <v>0.89090498418912811</v>
      </c>
      <c r="H103" s="156">
        <v>11833</v>
      </c>
      <c r="I103" s="157">
        <f>IF(Cons_Unit_Costs[[#This Row],[Closing social housing units managed]]&gt;0,Cons_Unit_Costs[[#This Row],[Service charge costs]]/Cons_Unit_Costs[[#This Row],[Closing social housing units managed]],"")</f>
        <v>0.15268784821563017</v>
      </c>
      <c r="J103" s="156">
        <v>2028</v>
      </c>
      <c r="K103" s="157">
        <f>IF(Cons_Unit_Costs[[#This Row],[Closing social housing units managed]]&gt;0,(Cons_Unit_Costs[[#This Row],[Routine maintenance]]+Cons_Unit_Costs[[#This Row],[Planned maintenance]])/Cons_Unit_Costs[[#This Row],[Closing social housing units managed]],"")</f>
        <v>0.85845505195000749</v>
      </c>
      <c r="L103" s="156">
        <v>11402</v>
      </c>
      <c r="M103" s="156">
        <v>0</v>
      </c>
      <c r="N103" s="157">
        <f>IF(Cons_Unit_Costs[[#This Row],[Closing social housing units managed]]&gt;0,(Cons_Unit_Costs[[#This Row],[Major repairs expenditure]]+Cons_Unit_Costs[[#This Row],[Capitalised major repairs expenditure for period]])/Cons_Unit_Costs[[#This Row],[Closing social housing units managed]],"")</f>
        <v>0.61301008884204189</v>
      </c>
      <c r="O103" s="156">
        <v>3373</v>
      </c>
      <c r="P103" s="156">
        <v>4769</v>
      </c>
      <c r="Q103"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0.23889474476735431</v>
      </c>
      <c r="R103" s="156">
        <v>2416</v>
      </c>
      <c r="S103" s="156">
        <v>257</v>
      </c>
      <c r="T103" s="156">
        <v>500</v>
      </c>
      <c r="U103" s="156">
        <v>0</v>
      </c>
      <c r="V103" s="156">
        <v>0</v>
      </c>
      <c r="W103" s="158">
        <v>2.8055808310585382E-3</v>
      </c>
      <c r="X103" s="158">
        <v>4.8680618744313009E-2</v>
      </c>
      <c r="Y103" s="156" t="s">
        <v>1257</v>
      </c>
      <c r="Z103" s="159">
        <v>37452</v>
      </c>
      <c r="AA103" s="156" t="s">
        <v>1268</v>
      </c>
      <c r="AB103" s="156" t="s">
        <v>1262</v>
      </c>
      <c r="AC103" s="157">
        <v>0.91566538624456661</v>
      </c>
    </row>
    <row r="104" spans="1:29" x14ac:dyDescent="0.2">
      <c r="A104" s="153" t="s">
        <v>480</v>
      </c>
      <c r="B104" s="153" t="s">
        <v>481</v>
      </c>
      <c r="C104" s="154" t="s">
        <v>200</v>
      </c>
      <c r="D104" s="155">
        <v>1446</v>
      </c>
      <c r="E10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4763</v>
      </c>
      <c r="F104" s="157">
        <f>IF(Cons_Unit_Costs[[#This Row],[Closing social housing units managed]]&gt;0,Cons_Unit_Costs[[#This Row],[Headline Social Housing Cost]]/Cons_Unit_Costs[[#This Row],[Closing social housing units managed]],"")</f>
        <v>3.2939142461964037</v>
      </c>
      <c r="G104" s="157">
        <f>IF(Cons_Unit_Costs[[#This Row],[Closing social housing units managed]]&gt;0,Cons_Unit_Costs[[#This Row],[Management]]/Cons_Unit_Costs[[#This Row],[Closing social housing units managed]],"")</f>
        <v>1.7413554633471646</v>
      </c>
      <c r="H104" s="156">
        <v>2518</v>
      </c>
      <c r="I104" s="157">
        <f>IF(Cons_Unit_Costs[[#This Row],[Closing social housing units managed]]&gt;0,Cons_Unit_Costs[[#This Row],[Service charge costs]]/Cons_Unit_Costs[[#This Row],[Closing social housing units managed]],"")</f>
        <v>0.2648686030428769</v>
      </c>
      <c r="J104" s="156">
        <v>383</v>
      </c>
      <c r="K104" s="157">
        <f>IF(Cons_Unit_Costs[[#This Row],[Closing social housing units managed]]&gt;0,(Cons_Unit_Costs[[#This Row],[Routine maintenance]]+Cons_Unit_Costs[[#This Row],[Planned maintenance]])/Cons_Unit_Costs[[#This Row],[Closing social housing units managed]],"")</f>
        <v>0.72614107883817425</v>
      </c>
      <c r="L104" s="156">
        <v>489</v>
      </c>
      <c r="M104" s="156">
        <v>561</v>
      </c>
      <c r="N104" s="157">
        <f>IF(Cons_Unit_Costs[[#This Row],[Closing social housing units managed]]&gt;0,(Cons_Unit_Costs[[#This Row],[Major repairs expenditure]]+Cons_Unit_Costs[[#This Row],[Capitalised major repairs expenditure for period]])/Cons_Unit_Costs[[#This Row],[Closing social housing units managed]],"")</f>
        <v>0.48340248962655602</v>
      </c>
      <c r="O104" s="156">
        <v>85</v>
      </c>
      <c r="P104" s="156">
        <v>614</v>
      </c>
      <c r="Q10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7.8146611341632088E-2</v>
      </c>
      <c r="R104" s="156">
        <v>15</v>
      </c>
      <c r="S104" s="156">
        <v>11</v>
      </c>
      <c r="T104" s="156">
        <v>87</v>
      </c>
      <c r="U104" s="156">
        <v>0</v>
      </c>
      <c r="V104" s="156">
        <v>0</v>
      </c>
      <c r="W104" s="158">
        <v>0</v>
      </c>
      <c r="X104" s="158">
        <v>9.6818810511756573E-2</v>
      </c>
      <c r="Y104" s="156" t="s">
        <v>1256</v>
      </c>
      <c r="Z104" s="159"/>
      <c r="AA104" s="156" t="s">
        <v>1279</v>
      </c>
      <c r="AB104" s="156" t="s">
        <v>1264</v>
      </c>
      <c r="AC104" s="157">
        <v>0.94793796391249596</v>
      </c>
    </row>
    <row r="105" spans="1:29" x14ac:dyDescent="0.2">
      <c r="A105" s="153" t="s">
        <v>101</v>
      </c>
      <c r="B105" s="153" t="s">
        <v>100</v>
      </c>
      <c r="C105" s="154" t="s">
        <v>200</v>
      </c>
      <c r="D105" s="155">
        <v>3663</v>
      </c>
      <c r="E10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11676</v>
      </c>
      <c r="F105" s="157">
        <f>IF(Cons_Unit_Costs[[#This Row],[Closing social housing units managed]]&gt;0,Cons_Unit_Costs[[#This Row],[Headline Social Housing Cost]]/Cons_Unit_Costs[[#This Row],[Closing social housing units managed]],"")</f>
        <v>3.1875511875511875</v>
      </c>
      <c r="G105" s="157">
        <f>IF(Cons_Unit_Costs[[#This Row],[Closing social housing units managed]]&gt;0,Cons_Unit_Costs[[#This Row],[Management]]/Cons_Unit_Costs[[#This Row],[Closing social housing units managed]],"")</f>
        <v>0.94348894348894352</v>
      </c>
      <c r="H105" s="156">
        <v>3456</v>
      </c>
      <c r="I105" s="157">
        <f>IF(Cons_Unit_Costs[[#This Row],[Closing social housing units managed]]&gt;0,Cons_Unit_Costs[[#This Row],[Service charge costs]]/Cons_Unit_Costs[[#This Row],[Closing social housing units managed]],"")</f>
        <v>0.23314223314223315</v>
      </c>
      <c r="J105" s="156">
        <v>854</v>
      </c>
      <c r="K105" s="157">
        <f>IF(Cons_Unit_Costs[[#This Row],[Closing social housing units managed]]&gt;0,(Cons_Unit_Costs[[#This Row],[Routine maintenance]]+Cons_Unit_Costs[[#This Row],[Planned maintenance]])/Cons_Unit_Costs[[#This Row],[Closing social housing units managed]],"")</f>
        <v>0.9232869232869233</v>
      </c>
      <c r="L105" s="156">
        <v>2669</v>
      </c>
      <c r="M105" s="156">
        <v>713</v>
      </c>
      <c r="N105" s="157">
        <f>IF(Cons_Unit_Costs[[#This Row],[Closing social housing units managed]]&gt;0,(Cons_Unit_Costs[[#This Row],[Major repairs expenditure]]+Cons_Unit_Costs[[#This Row],[Capitalised major repairs expenditure for period]])/Cons_Unit_Costs[[#This Row],[Closing social housing units managed]],"")</f>
        <v>0.81053781053781049</v>
      </c>
      <c r="O105" s="156">
        <v>890</v>
      </c>
      <c r="P105" s="156">
        <v>2079</v>
      </c>
      <c r="Q10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0.27709527709527709</v>
      </c>
      <c r="R105" s="156">
        <v>434</v>
      </c>
      <c r="S105" s="156">
        <v>0</v>
      </c>
      <c r="T105" s="156">
        <v>432</v>
      </c>
      <c r="U105" s="156">
        <v>147</v>
      </c>
      <c r="V105" s="156">
        <v>2</v>
      </c>
      <c r="W105" s="158">
        <v>5.0038890329271453E-2</v>
      </c>
      <c r="X105" s="158">
        <v>7.0002592688618095E-2</v>
      </c>
      <c r="Y105" s="156" t="s">
        <v>1256</v>
      </c>
      <c r="Z105" s="159"/>
      <c r="AA105" s="156" t="s">
        <v>1279</v>
      </c>
      <c r="AB105" s="156" t="s">
        <v>1264</v>
      </c>
      <c r="AC105" s="157">
        <v>0.94806345645516765</v>
      </c>
    </row>
    <row r="106" spans="1:29" x14ac:dyDescent="0.2">
      <c r="A106" s="153" t="s">
        <v>487</v>
      </c>
      <c r="B106" s="153" t="s">
        <v>102</v>
      </c>
      <c r="C106" s="154" t="s">
        <v>200</v>
      </c>
      <c r="D106" s="155">
        <v>15334</v>
      </c>
      <c r="E10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40502</v>
      </c>
      <c r="F106" s="157">
        <f>IF(Cons_Unit_Costs[[#This Row],[Closing social housing units managed]]&gt;0,Cons_Unit_Costs[[#This Row],[Headline Social Housing Cost]]/Cons_Unit_Costs[[#This Row],[Closing social housing units managed]],"")</f>
        <v>2.6413199426111906</v>
      </c>
      <c r="G106" s="157">
        <f>IF(Cons_Unit_Costs[[#This Row],[Closing social housing units managed]]&gt;0,Cons_Unit_Costs[[#This Row],[Management]]/Cons_Unit_Costs[[#This Row],[Closing social housing units managed]],"")</f>
        <v>0.86572322942480762</v>
      </c>
      <c r="H106" s="156">
        <v>13275</v>
      </c>
      <c r="I106" s="157">
        <f>IF(Cons_Unit_Costs[[#This Row],[Closing social housing units managed]]&gt;0,Cons_Unit_Costs[[#This Row],[Service charge costs]]/Cons_Unit_Costs[[#This Row],[Closing social housing units managed]],"")</f>
        <v>0.22512064692839442</v>
      </c>
      <c r="J106" s="156">
        <v>3452</v>
      </c>
      <c r="K106" s="157">
        <f>IF(Cons_Unit_Costs[[#This Row],[Closing social housing units managed]]&gt;0,(Cons_Unit_Costs[[#This Row],[Routine maintenance]]+Cons_Unit_Costs[[#This Row],[Planned maintenance]])/Cons_Unit_Costs[[#This Row],[Closing social housing units managed]],"")</f>
        <v>0.83272466414503721</v>
      </c>
      <c r="L106" s="156">
        <v>11684</v>
      </c>
      <c r="M106" s="156">
        <v>1085</v>
      </c>
      <c r="N106" s="157">
        <f>IF(Cons_Unit_Costs[[#This Row],[Closing social housing units managed]]&gt;0,(Cons_Unit_Costs[[#This Row],[Major repairs expenditure]]+Cons_Unit_Costs[[#This Row],[Capitalised major repairs expenditure for period]])/Cons_Unit_Costs[[#This Row],[Closing social housing units managed]],"")</f>
        <v>0.69446980566062344</v>
      </c>
      <c r="O106" s="156">
        <v>0</v>
      </c>
      <c r="P106" s="156">
        <v>10649</v>
      </c>
      <c r="Q10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2.3281596452328159E-2</v>
      </c>
      <c r="R106" s="156">
        <v>357</v>
      </c>
      <c r="S106" s="156">
        <v>0</v>
      </c>
      <c r="T106" s="156">
        <v>0</v>
      </c>
      <c r="U106" s="156">
        <v>0</v>
      </c>
      <c r="V106" s="156">
        <v>0</v>
      </c>
      <c r="W106" s="158">
        <v>4.165039698034622E-3</v>
      </c>
      <c r="X106" s="158">
        <v>4.698685409345308E-2</v>
      </c>
      <c r="Y106" s="156" t="s">
        <v>1257</v>
      </c>
      <c r="Z106" s="159">
        <v>39538</v>
      </c>
      <c r="AA106" s="156" t="s">
        <v>1280</v>
      </c>
      <c r="AB106" s="156" t="s">
        <v>1262</v>
      </c>
      <c r="AC106" s="157">
        <v>0.9156653862445665</v>
      </c>
    </row>
    <row r="107" spans="1:29" x14ac:dyDescent="0.2">
      <c r="A107" s="153" t="s">
        <v>488</v>
      </c>
      <c r="B107" s="153" t="s">
        <v>489</v>
      </c>
      <c r="C107" s="154" t="s">
        <v>200</v>
      </c>
      <c r="D107" s="155">
        <v>8373</v>
      </c>
      <c r="E10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17593</v>
      </c>
      <c r="F107" s="157">
        <f>IF(Cons_Unit_Costs[[#This Row],[Closing social housing units managed]]&gt;0,Cons_Unit_Costs[[#This Row],[Headline Social Housing Cost]]/Cons_Unit_Costs[[#This Row],[Closing social housing units managed]],"")</f>
        <v>2.1011584856085035</v>
      </c>
      <c r="G107" s="157">
        <f>IF(Cons_Unit_Costs[[#This Row],[Closing social housing units managed]]&gt;0,Cons_Unit_Costs[[#This Row],[Management]]/Cons_Unit_Costs[[#This Row],[Closing social housing units managed]],"")</f>
        <v>0.91663680879015885</v>
      </c>
      <c r="H107" s="156">
        <v>7675</v>
      </c>
      <c r="I107" s="157">
        <f>IF(Cons_Unit_Costs[[#This Row],[Closing social housing units managed]]&gt;0,Cons_Unit_Costs[[#This Row],[Service charge costs]]/Cons_Unit_Costs[[#This Row],[Closing social housing units managed]],"")</f>
        <v>9.0767944583781193E-3</v>
      </c>
      <c r="J107" s="156">
        <v>76</v>
      </c>
      <c r="K107" s="157">
        <f>IF(Cons_Unit_Costs[[#This Row],[Closing social housing units managed]]&gt;0,(Cons_Unit_Costs[[#This Row],[Routine maintenance]]+Cons_Unit_Costs[[#This Row],[Planned maintenance]])/Cons_Unit_Costs[[#This Row],[Closing social housing units managed]],"")</f>
        <v>0.91042637047653174</v>
      </c>
      <c r="L107" s="156">
        <v>7335</v>
      </c>
      <c r="M107" s="156">
        <v>288</v>
      </c>
      <c r="N107" s="157">
        <f>IF(Cons_Unit_Costs[[#This Row],[Closing social housing units managed]]&gt;0,(Cons_Unit_Costs[[#This Row],[Major repairs expenditure]]+Cons_Unit_Costs[[#This Row],[Capitalised major repairs expenditure for period]])/Cons_Unit_Costs[[#This Row],[Closing social housing units managed]],"")</f>
        <v>0.1443926907918309</v>
      </c>
      <c r="O107" s="156">
        <v>0</v>
      </c>
      <c r="P107" s="156">
        <v>1209</v>
      </c>
      <c r="Q10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0.12062582109160397</v>
      </c>
      <c r="R107" s="156">
        <v>536</v>
      </c>
      <c r="S107" s="156">
        <v>0</v>
      </c>
      <c r="T107" s="156">
        <v>474</v>
      </c>
      <c r="U107" s="156">
        <v>0</v>
      </c>
      <c r="V107" s="156">
        <v>0</v>
      </c>
      <c r="W107" s="158">
        <v>0</v>
      </c>
      <c r="X107" s="158">
        <v>0</v>
      </c>
      <c r="Y107" s="156" t="s">
        <v>1257</v>
      </c>
      <c r="Z107" s="159">
        <v>39902</v>
      </c>
      <c r="AA107" s="156" t="s">
        <v>1280</v>
      </c>
      <c r="AB107" s="156" t="s">
        <v>1266</v>
      </c>
      <c r="AC107" s="157">
        <v>0.9026647648742484</v>
      </c>
    </row>
    <row r="108" spans="1:29" x14ac:dyDescent="0.2">
      <c r="A108" s="153" t="s">
        <v>105</v>
      </c>
      <c r="B108" s="153" t="s">
        <v>104</v>
      </c>
      <c r="C108" s="154" t="s">
        <v>200</v>
      </c>
      <c r="D108" s="155">
        <v>1908</v>
      </c>
      <c r="E10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4786</v>
      </c>
      <c r="F108" s="157">
        <f>IF(Cons_Unit_Costs[[#This Row],[Closing social housing units managed]]&gt;0,Cons_Unit_Costs[[#This Row],[Headline Social Housing Cost]]/Cons_Unit_Costs[[#This Row],[Closing social housing units managed]],"")</f>
        <v>2.508385744234801</v>
      </c>
      <c r="G108" s="157">
        <f>IF(Cons_Unit_Costs[[#This Row],[Closing social housing units managed]]&gt;0,Cons_Unit_Costs[[#This Row],[Management]]/Cons_Unit_Costs[[#This Row],[Closing social housing units managed]],"")</f>
        <v>1.3113207547169812</v>
      </c>
      <c r="H108" s="156">
        <v>2502</v>
      </c>
      <c r="I108" s="157">
        <f>IF(Cons_Unit_Costs[[#This Row],[Closing social housing units managed]]&gt;0,Cons_Unit_Costs[[#This Row],[Service charge costs]]/Cons_Unit_Costs[[#This Row],[Closing social housing units managed]],"")</f>
        <v>0.20754716981132076</v>
      </c>
      <c r="J108" s="156">
        <v>396</v>
      </c>
      <c r="K108" s="157">
        <f>IF(Cons_Unit_Costs[[#This Row],[Closing social housing units managed]]&gt;0,(Cons_Unit_Costs[[#This Row],[Routine maintenance]]+Cons_Unit_Costs[[#This Row],[Planned maintenance]])/Cons_Unit_Costs[[#This Row],[Closing social housing units managed]],"")</f>
        <v>0.43186582809224316</v>
      </c>
      <c r="L108" s="156">
        <v>475</v>
      </c>
      <c r="M108" s="156">
        <v>349</v>
      </c>
      <c r="N108" s="157">
        <f>IF(Cons_Unit_Costs[[#This Row],[Closing social housing units managed]]&gt;0,(Cons_Unit_Costs[[#This Row],[Major repairs expenditure]]+Cons_Unit_Costs[[#This Row],[Capitalised major repairs expenditure for period]])/Cons_Unit_Costs[[#This Row],[Closing social housing units managed]],"")</f>
        <v>0.44077568134171907</v>
      </c>
      <c r="O108" s="156">
        <v>44</v>
      </c>
      <c r="P108" s="156">
        <v>797</v>
      </c>
      <c r="Q10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0.11687631027253668</v>
      </c>
      <c r="R108" s="156">
        <v>223</v>
      </c>
      <c r="S108" s="156">
        <v>0</v>
      </c>
      <c r="T108" s="156">
        <v>0</v>
      </c>
      <c r="U108" s="156">
        <v>0</v>
      </c>
      <c r="V108" s="156">
        <v>0</v>
      </c>
      <c r="W108" s="158">
        <v>0</v>
      </c>
      <c r="X108" s="158">
        <v>0</v>
      </c>
      <c r="Y108" s="156" t="s">
        <v>1256</v>
      </c>
      <c r="Z108" s="159"/>
      <c r="AA108" s="156" t="s">
        <v>1279</v>
      </c>
      <c r="AB108" s="156" t="s">
        <v>1267</v>
      </c>
      <c r="AC108" s="157">
        <v>1.2315674999700374</v>
      </c>
    </row>
    <row r="109" spans="1:29" x14ac:dyDescent="0.2">
      <c r="A109" s="153" t="s">
        <v>492</v>
      </c>
      <c r="B109" s="153" t="s">
        <v>491</v>
      </c>
      <c r="C109" s="154" t="s">
        <v>200</v>
      </c>
      <c r="D109" s="155">
        <v>78179</v>
      </c>
      <c r="E109"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220350</v>
      </c>
      <c r="F109" s="157">
        <f>IF(Cons_Unit_Costs[[#This Row],[Closing social housing units managed]]&gt;0,Cons_Unit_Costs[[#This Row],[Headline Social Housing Cost]]/Cons_Unit_Costs[[#This Row],[Closing social housing units managed]],"")</f>
        <v>2.8185318307985519</v>
      </c>
      <c r="G109" s="157">
        <f>IF(Cons_Unit_Costs[[#This Row],[Closing social housing units managed]]&gt;0,Cons_Unit_Costs[[#This Row],[Management]]/Cons_Unit_Costs[[#This Row],[Closing social housing units managed]],"")</f>
        <v>0.53578326660612186</v>
      </c>
      <c r="H109" s="156">
        <v>41887</v>
      </c>
      <c r="I109" s="157">
        <f>IF(Cons_Unit_Costs[[#This Row],[Closing social housing units managed]]&gt;0,Cons_Unit_Costs[[#This Row],[Service charge costs]]/Cons_Unit_Costs[[#This Row],[Closing social housing units managed]],"")</f>
        <v>0.50031338338940123</v>
      </c>
      <c r="J109" s="156">
        <v>39114</v>
      </c>
      <c r="K109" s="157">
        <f>IF(Cons_Unit_Costs[[#This Row],[Closing social housing units managed]]&gt;0,(Cons_Unit_Costs[[#This Row],[Routine maintenance]]+Cons_Unit_Costs[[#This Row],[Planned maintenance]])/Cons_Unit_Costs[[#This Row],[Closing social housing units managed]],"")</f>
        <v>1.0554624643446451</v>
      </c>
      <c r="L109" s="156">
        <v>52362</v>
      </c>
      <c r="M109" s="156">
        <v>30153</v>
      </c>
      <c r="N109" s="157">
        <f>IF(Cons_Unit_Costs[[#This Row],[Closing social housing units managed]]&gt;0,(Cons_Unit_Costs[[#This Row],[Major repairs expenditure]]+Cons_Unit_Costs[[#This Row],[Capitalised major repairs expenditure for period]])/Cons_Unit_Costs[[#This Row],[Closing social housing units managed]],"")</f>
        <v>0.51612325560572536</v>
      </c>
      <c r="O109" s="156">
        <v>0</v>
      </c>
      <c r="P109" s="156">
        <v>40350</v>
      </c>
      <c r="Q109"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0.21084946085265865</v>
      </c>
      <c r="R109" s="156">
        <v>3374</v>
      </c>
      <c r="S109" s="156">
        <v>0</v>
      </c>
      <c r="T109" s="156">
        <v>1982</v>
      </c>
      <c r="U109" s="156">
        <v>4029</v>
      </c>
      <c r="V109" s="156">
        <v>7099</v>
      </c>
      <c r="W109" s="158">
        <v>3.5984138041905575E-2</v>
      </c>
      <c r="X109" s="158">
        <v>3.9507529071325223E-2</v>
      </c>
      <c r="Y109" s="156" t="s">
        <v>1256</v>
      </c>
      <c r="Z109" s="159"/>
      <c r="AA109" s="156" t="s">
        <v>1279</v>
      </c>
      <c r="AB109" s="156" t="s">
        <v>1267</v>
      </c>
      <c r="AC109" s="157">
        <v>1.2137521896367218</v>
      </c>
    </row>
    <row r="110" spans="1:29" x14ac:dyDescent="0.2">
      <c r="A110" s="153" t="s">
        <v>493</v>
      </c>
      <c r="B110" s="153" t="s">
        <v>494</v>
      </c>
      <c r="C110" s="154" t="s">
        <v>200</v>
      </c>
      <c r="D110" s="155">
        <v>19111</v>
      </c>
      <c r="E110"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53333</v>
      </c>
      <c r="F110" s="157">
        <f>IF(Cons_Unit_Costs[[#This Row],[Closing social housing units managed]]&gt;0,Cons_Unit_Costs[[#This Row],[Headline Social Housing Cost]]/Cons_Unit_Costs[[#This Row],[Closing social housing units managed]],"")</f>
        <v>2.7906964575375439</v>
      </c>
      <c r="G110" s="157">
        <f>IF(Cons_Unit_Costs[[#This Row],[Closing social housing units managed]]&gt;0,Cons_Unit_Costs[[#This Row],[Management]]/Cons_Unit_Costs[[#This Row],[Closing social housing units managed]],"")</f>
        <v>0.67898069174820785</v>
      </c>
      <c r="H110" s="156">
        <v>12976</v>
      </c>
      <c r="I110" s="157">
        <f>IF(Cons_Unit_Costs[[#This Row],[Closing social housing units managed]]&gt;0,Cons_Unit_Costs[[#This Row],[Service charge costs]]/Cons_Unit_Costs[[#This Row],[Closing social housing units managed]],"")</f>
        <v>0.52482863272460889</v>
      </c>
      <c r="J110" s="156">
        <v>10030</v>
      </c>
      <c r="K110" s="157">
        <f>IF(Cons_Unit_Costs[[#This Row],[Closing social housing units managed]]&gt;0,(Cons_Unit_Costs[[#This Row],[Routine maintenance]]+Cons_Unit_Costs[[#This Row],[Planned maintenance]])/Cons_Unit_Costs[[#This Row],[Closing social housing units managed]],"")</f>
        <v>0.73130657736382187</v>
      </c>
      <c r="L110" s="156">
        <v>9802</v>
      </c>
      <c r="M110" s="156">
        <v>4174</v>
      </c>
      <c r="N110" s="157">
        <f>IF(Cons_Unit_Costs[[#This Row],[Closing social housing units managed]]&gt;0,(Cons_Unit_Costs[[#This Row],[Major repairs expenditure]]+Cons_Unit_Costs[[#This Row],[Capitalised major repairs expenditure for period]])/Cons_Unit_Costs[[#This Row],[Closing social housing units managed]],"")</f>
        <v>0.50661922453037522</v>
      </c>
      <c r="O110" s="156">
        <v>2067</v>
      </c>
      <c r="P110" s="156">
        <v>7615</v>
      </c>
      <c r="Q110"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0.34896133117053008</v>
      </c>
      <c r="R110" s="156">
        <v>66</v>
      </c>
      <c r="S110" s="156">
        <v>3133</v>
      </c>
      <c r="T110" s="156">
        <v>2313</v>
      </c>
      <c r="U110" s="156">
        <v>1157</v>
      </c>
      <c r="V110" s="156">
        <v>0</v>
      </c>
      <c r="W110" s="158">
        <v>1.4491933201245401E-2</v>
      </c>
      <c r="X110" s="158">
        <v>4.7381828474384373E-2</v>
      </c>
      <c r="Y110" s="156" t="s">
        <v>1258</v>
      </c>
      <c r="Z110" s="159">
        <v>36941</v>
      </c>
      <c r="AA110" s="156" t="s">
        <v>1268</v>
      </c>
      <c r="AB110" s="156" t="s">
        <v>1261</v>
      </c>
      <c r="AC110" s="157">
        <v>0.9269214068408379</v>
      </c>
    </row>
    <row r="111" spans="1:29" x14ac:dyDescent="0.2">
      <c r="A111" s="153" t="s">
        <v>495</v>
      </c>
      <c r="B111" s="153" t="s">
        <v>496</v>
      </c>
      <c r="C111" s="154" t="s">
        <v>200</v>
      </c>
      <c r="D111" s="155">
        <v>2352</v>
      </c>
      <c r="E111"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51812</v>
      </c>
      <c r="F111" s="157">
        <f>IF(Cons_Unit_Costs[[#This Row],[Closing social housing units managed]]&gt;0,Cons_Unit_Costs[[#This Row],[Headline Social Housing Cost]]/Cons_Unit_Costs[[#This Row],[Closing social housing units managed]],"")</f>
        <v>22.028911564625851</v>
      </c>
      <c r="G111" s="157">
        <f>IF(Cons_Unit_Costs[[#This Row],[Closing social housing units managed]]&gt;0,Cons_Unit_Costs[[#This Row],[Management]]/Cons_Unit_Costs[[#This Row],[Closing social housing units managed]],"")</f>
        <v>3.9974489795918369</v>
      </c>
      <c r="H111" s="156">
        <v>9402</v>
      </c>
      <c r="I111" s="157">
        <f>IF(Cons_Unit_Costs[[#This Row],[Closing social housing units managed]]&gt;0,Cons_Unit_Costs[[#This Row],[Service charge costs]]/Cons_Unit_Costs[[#This Row],[Closing social housing units managed]],"")</f>
        <v>3.2295918367346941</v>
      </c>
      <c r="J111" s="156">
        <v>7596</v>
      </c>
      <c r="K111" s="157">
        <f>IF(Cons_Unit_Costs[[#This Row],[Closing social housing units managed]]&gt;0,(Cons_Unit_Costs[[#This Row],[Routine maintenance]]+Cons_Unit_Costs[[#This Row],[Planned maintenance]])/Cons_Unit_Costs[[#This Row],[Closing social housing units managed]],"")</f>
        <v>0.79889455782312924</v>
      </c>
      <c r="L111" s="156">
        <v>1879</v>
      </c>
      <c r="M111" s="156">
        <v>0</v>
      </c>
      <c r="N111" s="157">
        <f>IF(Cons_Unit_Costs[[#This Row],[Closing social housing units managed]]&gt;0,(Cons_Unit_Costs[[#This Row],[Major repairs expenditure]]+Cons_Unit_Costs[[#This Row],[Capitalised major repairs expenditure for period]])/Cons_Unit_Costs[[#This Row],[Closing social housing units managed]],"")</f>
        <v>0.83163265306122447</v>
      </c>
      <c r="O111" s="156">
        <v>437</v>
      </c>
      <c r="P111" s="156">
        <v>1519</v>
      </c>
      <c r="Q111"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13.171343537414966</v>
      </c>
      <c r="R111" s="156">
        <v>0</v>
      </c>
      <c r="S111" s="156">
        <v>30979</v>
      </c>
      <c r="T111" s="156">
        <v>0</v>
      </c>
      <c r="U111" s="156">
        <v>0</v>
      </c>
      <c r="V111" s="156">
        <v>0</v>
      </c>
      <c r="W111" s="158">
        <v>0.9632202697180221</v>
      </c>
      <c r="X111" s="158">
        <v>2.5745811197384554E-2</v>
      </c>
      <c r="Y111" s="156" t="s">
        <v>1256</v>
      </c>
      <c r="Z111" s="159"/>
      <c r="AA111" s="156" t="s">
        <v>1279</v>
      </c>
      <c r="AB111" s="156" t="s">
        <v>1267</v>
      </c>
      <c r="AC111" s="157">
        <v>1.2131069050469281</v>
      </c>
    </row>
    <row r="112" spans="1:29" x14ac:dyDescent="0.2">
      <c r="A112" s="153" t="s">
        <v>498</v>
      </c>
      <c r="B112" s="153" t="s">
        <v>499</v>
      </c>
      <c r="C112" s="154" t="s">
        <v>200</v>
      </c>
      <c r="D112" s="155">
        <v>6652</v>
      </c>
      <c r="E112"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15865</v>
      </c>
      <c r="F112" s="157">
        <f>IF(Cons_Unit_Costs[[#This Row],[Closing social housing units managed]]&gt;0,Cons_Unit_Costs[[#This Row],[Headline Social Housing Cost]]/Cons_Unit_Costs[[#This Row],[Closing social housing units managed]],"")</f>
        <v>2.3849969933854478</v>
      </c>
      <c r="G112" s="157">
        <f>IF(Cons_Unit_Costs[[#This Row],[Closing social housing units managed]]&gt;0,Cons_Unit_Costs[[#This Row],[Management]]/Cons_Unit_Costs[[#This Row],[Closing social housing units managed]],"")</f>
        <v>0.54224293445580274</v>
      </c>
      <c r="H112" s="156">
        <v>3607</v>
      </c>
      <c r="I112" s="157">
        <f>IF(Cons_Unit_Costs[[#This Row],[Closing social housing units managed]]&gt;0,Cons_Unit_Costs[[#This Row],[Service charge costs]]/Cons_Unit_Costs[[#This Row],[Closing social housing units managed]],"")</f>
        <v>0.57817197835237522</v>
      </c>
      <c r="J112" s="156">
        <v>3846</v>
      </c>
      <c r="K112" s="157">
        <f>IF(Cons_Unit_Costs[[#This Row],[Closing social housing units managed]]&gt;0,(Cons_Unit_Costs[[#This Row],[Routine maintenance]]+Cons_Unit_Costs[[#This Row],[Planned maintenance]])/Cons_Unit_Costs[[#This Row],[Closing social housing units managed]],"")</f>
        <v>0.82381238725195427</v>
      </c>
      <c r="L112" s="156">
        <v>4301</v>
      </c>
      <c r="M112" s="156">
        <v>1179</v>
      </c>
      <c r="N112" s="157">
        <f>IF(Cons_Unit_Costs[[#This Row],[Closing social housing units managed]]&gt;0,(Cons_Unit_Costs[[#This Row],[Major repairs expenditure]]+Cons_Unit_Costs[[#This Row],[Capitalised major repairs expenditure for period]])/Cons_Unit_Costs[[#This Row],[Closing social housing units managed]],"")</f>
        <v>0.29404690318701143</v>
      </c>
      <c r="O112" s="156">
        <v>1018</v>
      </c>
      <c r="P112" s="156">
        <v>938</v>
      </c>
      <c r="Q112"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0.14672279013830428</v>
      </c>
      <c r="R112" s="156">
        <v>0</v>
      </c>
      <c r="S112" s="156">
        <v>0</v>
      </c>
      <c r="T112" s="156">
        <v>0</v>
      </c>
      <c r="U112" s="156">
        <v>689</v>
      </c>
      <c r="V112" s="156">
        <v>287</v>
      </c>
      <c r="W112" s="158">
        <v>1.1575466025255563E-2</v>
      </c>
      <c r="X112" s="158">
        <v>7.2760072158749245E-2</v>
      </c>
      <c r="Y112" s="156" t="s">
        <v>1258</v>
      </c>
      <c r="Z112" s="159">
        <v>36605</v>
      </c>
      <c r="AA112" s="156" t="s">
        <v>1268</v>
      </c>
      <c r="AB112" s="156" t="s">
        <v>1263</v>
      </c>
      <c r="AC112" s="157">
        <v>1.0023369511079532</v>
      </c>
    </row>
    <row r="113" spans="1:29" x14ac:dyDescent="0.2">
      <c r="A113" s="160" t="s">
        <v>109</v>
      </c>
      <c r="B113" s="153" t="s">
        <v>108</v>
      </c>
      <c r="C113" s="154" t="s">
        <v>200</v>
      </c>
      <c r="D113" s="155">
        <v>8775</v>
      </c>
      <c r="E113"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27552</v>
      </c>
      <c r="F113" s="157">
        <f>IF(Cons_Unit_Costs[[#This Row],[Closing social housing units managed]]&gt;0,Cons_Unit_Costs[[#This Row],[Headline Social Housing Cost]]/Cons_Unit_Costs[[#This Row],[Closing social housing units managed]],"")</f>
        <v>3.1398290598290597</v>
      </c>
      <c r="G113" s="157">
        <f>IF(Cons_Unit_Costs[[#This Row],[Closing social housing units managed]]&gt;0,Cons_Unit_Costs[[#This Row],[Management]]/Cons_Unit_Costs[[#This Row],[Closing social housing units managed]],"")</f>
        <v>1.0948148148148149</v>
      </c>
      <c r="H113" s="156">
        <v>9607</v>
      </c>
      <c r="I113" s="157">
        <f>IF(Cons_Unit_Costs[[#This Row],[Closing social housing units managed]]&gt;0,Cons_Unit_Costs[[#This Row],[Service charge costs]]/Cons_Unit_Costs[[#This Row],[Closing social housing units managed]],"")</f>
        <v>0.29105413105413103</v>
      </c>
      <c r="J113" s="156">
        <v>2554</v>
      </c>
      <c r="K113" s="157">
        <f>IF(Cons_Unit_Costs[[#This Row],[Closing social housing units managed]]&gt;0,(Cons_Unit_Costs[[#This Row],[Routine maintenance]]+Cons_Unit_Costs[[#This Row],[Planned maintenance]])/Cons_Unit_Costs[[#This Row],[Closing social housing units managed]],"")</f>
        <v>0.88091168091168093</v>
      </c>
      <c r="L113" s="156">
        <v>4623</v>
      </c>
      <c r="M113" s="156">
        <v>3107</v>
      </c>
      <c r="N113" s="157">
        <f>IF(Cons_Unit_Costs[[#This Row],[Closing social housing units managed]]&gt;0,(Cons_Unit_Costs[[#This Row],[Major repairs expenditure]]+Cons_Unit_Costs[[#This Row],[Capitalised major repairs expenditure for period]])/Cons_Unit_Costs[[#This Row],[Closing social housing units managed]],"")</f>
        <v>0.65059829059829055</v>
      </c>
      <c r="O113" s="156">
        <v>0</v>
      </c>
      <c r="P113" s="156">
        <v>5709</v>
      </c>
      <c r="Q113"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0.22245014245014244</v>
      </c>
      <c r="R113" s="156">
        <v>1340</v>
      </c>
      <c r="S113" s="156">
        <v>350</v>
      </c>
      <c r="T113" s="156">
        <v>262</v>
      </c>
      <c r="U113" s="156">
        <v>0</v>
      </c>
      <c r="V113" s="156">
        <v>0</v>
      </c>
      <c r="W113" s="158">
        <v>2.2423664122137404E-2</v>
      </c>
      <c r="X113" s="158">
        <v>0.22208969465648856</v>
      </c>
      <c r="Y113" s="156" t="s">
        <v>1257</v>
      </c>
      <c r="Z113" s="159">
        <v>34116</v>
      </c>
      <c r="AA113" s="156" t="s">
        <v>1268</v>
      </c>
      <c r="AB113" s="156" t="s">
        <v>1265</v>
      </c>
      <c r="AC113" s="157">
        <v>0.96617455710897804</v>
      </c>
    </row>
    <row r="114" spans="1:29" x14ac:dyDescent="0.2">
      <c r="A114" s="153" t="s">
        <v>504</v>
      </c>
      <c r="B114" s="153" t="s">
        <v>505</v>
      </c>
      <c r="C114" s="154" t="s">
        <v>200</v>
      </c>
      <c r="D114" s="155">
        <v>1430</v>
      </c>
      <c r="E11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3694</v>
      </c>
      <c r="F114" s="157">
        <f>IF(Cons_Unit_Costs[[#This Row],[Closing social housing units managed]]&gt;0,Cons_Unit_Costs[[#This Row],[Headline Social Housing Cost]]/Cons_Unit_Costs[[#This Row],[Closing social housing units managed]],"")</f>
        <v>2.5832167832167832</v>
      </c>
      <c r="G114" s="157">
        <f>IF(Cons_Unit_Costs[[#This Row],[Closing social housing units managed]]&gt;0,Cons_Unit_Costs[[#This Row],[Management]]/Cons_Unit_Costs[[#This Row],[Closing social housing units managed]],"")</f>
        <v>1.2888111888111888</v>
      </c>
      <c r="H114" s="156">
        <v>1843</v>
      </c>
      <c r="I114" s="157">
        <f>IF(Cons_Unit_Costs[[#This Row],[Closing social housing units managed]]&gt;0,Cons_Unit_Costs[[#This Row],[Service charge costs]]/Cons_Unit_Costs[[#This Row],[Closing social housing units managed]],"")</f>
        <v>0.13566433566433567</v>
      </c>
      <c r="J114" s="156">
        <v>194</v>
      </c>
      <c r="K114" s="157">
        <f>IF(Cons_Unit_Costs[[#This Row],[Closing social housing units managed]]&gt;0,(Cons_Unit_Costs[[#This Row],[Routine maintenance]]+Cons_Unit_Costs[[#This Row],[Planned maintenance]])/Cons_Unit_Costs[[#This Row],[Closing social housing units managed]],"")</f>
        <v>0.70629370629370625</v>
      </c>
      <c r="L114" s="156">
        <v>823</v>
      </c>
      <c r="M114" s="156">
        <v>187</v>
      </c>
      <c r="N114" s="157">
        <f>IF(Cons_Unit_Costs[[#This Row],[Closing social housing units managed]]&gt;0,(Cons_Unit_Costs[[#This Row],[Major repairs expenditure]]+Cons_Unit_Costs[[#This Row],[Capitalised major repairs expenditure for period]])/Cons_Unit_Costs[[#This Row],[Closing social housing units managed]],"")</f>
        <v>0.44825174825174824</v>
      </c>
      <c r="O114" s="156">
        <v>80</v>
      </c>
      <c r="P114" s="156">
        <v>561</v>
      </c>
      <c r="Q11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4.1958041958041958E-3</v>
      </c>
      <c r="R114" s="156">
        <v>6</v>
      </c>
      <c r="S114" s="156">
        <v>0</v>
      </c>
      <c r="T114" s="156">
        <v>0</v>
      </c>
      <c r="U114" s="156">
        <v>0</v>
      </c>
      <c r="V114" s="156">
        <v>0</v>
      </c>
      <c r="W114" s="158">
        <v>0</v>
      </c>
      <c r="X114" s="158">
        <v>0</v>
      </c>
      <c r="Y114" s="156" t="s">
        <v>1256</v>
      </c>
      <c r="Z114" s="159"/>
      <c r="AA114" s="156" t="s">
        <v>1279</v>
      </c>
      <c r="AB114" s="156" t="s">
        <v>1264</v>
      </c>
      <c r="AC114" s="157">
        <v>0.94807909763407583</v>
      </c>
    </row>
    <row r="115" spans="1:29" x14ac:dyDescent="0.2">
      <c r="A115" s="153" t="s">
        <v>111</v>
      </c>
      <c r="B115" s="153" t="s">
        <v>110</v>
      </c>
      <c r="C115" s="154" t="s">
        <v>200</v>
      </c>
      <c r="D115" s="155">
        <v>8010</v>
      </c>
      <c r="E11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29801</v>
      </c>
      <c r="F115" s="157">
        <f>IF(Cons_Unit_Costs[[#This Row],[Closing social housing units managed]]&gt;0,Cons_Unit_Costs[[#This Row],[Headline Social Housing Cost]]/Cons_Unit_Costs[[#This Row],[Closing social housing units managed]],"")</f>
        <v>3.720474406991261</v>
      </c>
      <c r="G115" s="157">
        <f>IF(Cons_Unit_Costs[[#This Row],[Closing social housing units managed]]&gt;0,Cons_Unit_Costs[[#This Row],[Management]]/Cons_Unit_Costs[[#This Row],[Closing social housing units managed]],"")</f>
        <v>0.94669163545568036</v>
      </c>
      <c r="H115" s="156">
        <v>7583</v>
      </c>
      <c r="I115" s="157">
        <f>IF(Cons_Unit_Costs[[#This Row],[Closing social housing units managed]]&gt;0,Cons_Unit_Costs[[#This Row],[Service charge costs]]/Cons_Unit_Costs[[#This Row],[Closing social housing units managed]],"")</f>
        <v>0.46803995006242199</v>
      </c>
      <c r="J115" s="156">
        <v>3749</v>
      </c>
      <c r="K115" s="157">
        <f>IF(Cons_Unit_Costs[[#This Row],[Closing social housing units managed]]&gt;0,(Cons_Unit_Costs[[#This Row],[Routine maintenance]]+Cons_Unit_Costs[[#This Row],[Planned maintenance]])/Cons_Unit_Costs[[#This Row],[Closing social housing units managed]],"")</f>
        <v>0.85468164794007495</v>
      </c>
      <c r="L115" s="156">
        <v>5545</v>
      </c>
      <c r="M115" s="156">
        <v>1301</v>
      </c>
      <c r="N115" s="157">
        <f>IF(Cons_Unit_Costs[[#This Row],[Closing social housing units managed]]&gt;0,(Cons_Unit_Costs[[#This Row],[Major repairs expenditure]]+Cons_Unit_Costs[[#This Row],[Capitalised major repairs expenditure for period]])/Cons_Unit_Costs[[#This Row],[Closing social housing units managed]],"")</f>
        <v>1.384019975031211</v>
      </c>
      <c r="O115" s="156">
        <v>2431</v>
      </c>
      <c r="P115" s="156">
        <v>8655</v>
      </c>
      <c r="Q11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6.7041198501872665E-2</v>
      </c>
      <c r="R115" s="156">
        <v>0</v>
      </c>
      <c r="S115" s="156">
        <v>537</v>
      </c>
      <c r="T115" s="156">
        <v>0</v>
      </c>
      <c r="U115" s="156">
        <v>0</v>
      </c>
      <c r="V115" s="156">
        <v>0</v>
      </c>
      <c r="W115" s="158">
        <v>9.2988187986931398E-3</v>
      </c>
      <c r="X115" s="158">
        <v>0.16612214124151797</v>
      </c>
      <c r="Y115" s="156" t="s">
        <v>1257</v>
      </c>
      <c r="Z115" s="159">
        <v>39125</v>
      </c>
      <c r="AA115" s="156" t="s">
        <v>1280</v>
      </c>
      <c r="AB115" s="156" t="s">
        <v>1265</v>
      </c>
      <c r="AC115" s="157">
        <v>0.96617455710897804</v>
      </c>
    </row>
    <row r="116" spans="1:29" x14ac:dyDescent="0.2">
      <c r="A116" s="153" t="s">
        <v>515</v>
      </c>
      <c r="B116" s="153" t="s">
        <v>514</v>
      </c>
      <c r="C116" s="154" t="s">
        <v>200</v>
      </c>
      <c r="D116" s="155">
        <v>31226</v>
      </c>
      <c r="E11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140862</v>
      </c>
      <c r="F116" s="157">
        <f>IF(Cons_Unit_Costs[[#This Row],[Closing social housing units managed]]&gt;0,Cons_Unit_Costs[[#This Row],[Headline Social Housing Cost]]/Cons_Unit_Costs[[#This Row],[Closing social housing units managed]],"")</f>
        <v>4.5110484852366621</v>
      </c>
      <c r="G116" s="157">
        <f>IF(Cons_Unit_Costs[[#This Row],[Closing social housing units managed]]&gt;0,Cons_Unit_Costs[[#This Row],[Management]]/Cons_Unit_Costs[[#This Row],[Closing social housing units managed]],"")</f>
        <v>1.2006661115736885</v>
      </c>
      <c r="H116" s="156">
        <v>37492</v>
      </c>
      <c r="I116" s="157">
        <f>IF(Cons_Unit_Costs[[#This Row],[Closing social housing units managed]]&gt;0,Cons_Unit_Costs[[#This Row],[Service charge costs]]/Cons_Unit_Costs[[#This Row],[Closing social housing units managed]],"")</f>
        <v>0.86584897201050404</v>
      </c>
      <c r="J116" s="156">
        <v>27037</v>
      </c>
      <c r="K116" s="157">
        <f>IF(Cons_Unit_Costs[[#This Row],[Closing social housing units managed]]&gt;0,(Cons_Unit_Costs[[#This Row],[Routine maintenance]]+Cons_Unit_Costs[[#This Row],[Planned maintenance]])/Cons_Unit_Costs[[#This Row],[Closing social housing units managed]],"")</f>
        <v>0.86389547172228276</v>
      </c>
      <c r="L116" s="156">
        <v>16592</v>
      </c>
      <c r="M116" s="156">
        <v>10384</v>
      </c>
      <c r="N116" s="157">
        <f>IF(Cons_Unit_Costs[[#This Row],[Closing social housing units managed]]&gt;0,(Cons_Unit_Costs[[#This Row],[Major repairs expenditure]]+Cons_Unit_Costs[[#This Row],[Capitalised major repairs expenditure for period]])/Cons_Unit_Costs[[#This Row],[Closing social housing units managed]],"")</f>
        <v>1.0440658425670915</v>
      </c>
      <c r="O116" s="156">
        <v>3951</v>
      </c>
      <c r="P116" s="156">
        <v>28651</v>
      </c>
      <c r="Q11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0.53657208736309481</v>
      </c>
      <c r="R116" s="156">
        <v>2834</v>
      </c>
      <c r="S116" s="156">
        <v>11702</v>
      </c>
      <c r="T116" s="156">
        <v>1414</v>
      </c>
      <c r="U116" s="156">
        <v>0</v>
      </c>
      <c r="V116" s="156">
        <v>805</v>
      </c>
      <c r="W116" s="158">
        <v>7.0777247069040386E-2</v>
      </c>
      <c r="X116" s="158">
        <v>0.10777867377954221</v>
      </c>
      <c r="Y116" s="156" t="s">
        <v>1256</v>
      </c>
      <c r="Z116" s="159"/>
      <c r="AA116" s="156" t="s">
        <v>1279</v>
      </c>
      <c r="AB116" s="156" t="s">
        <v>1267</v>
      </c>
      <c r="AC116" s="157">
        <v>1.1103226425662864</v>
      </c>
    </row>
    <row r="117" spans="1:29" x14ac:dyDescent="0.2">
      <c r="A117" s="153" t="s">
        <v>516</v>
      </c>
      <c r="B117" s="153" t="s">
        <v>517</v>
      </c>
      <c r="C117" s="154" t="s">
        <v>200</v>
      </c>
      <c r="D117" s="155">
        <v>30789</v>
      </c>
      <c r="E11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98131</v>
      </c>
      <c r="F117" s="157">
        <f>IF(Cons_Unit_Costs[[#This Row],[Closing social housing units managed]]&gt;0,Cons_Unit_Costs[[#This Row],[Headline Social Housing Cost]]/Cons_Unit_Costs[[#This Row],[Closing social housing units managed]],"")</f>
        <v>3.1872097177563417</v>
      </c>
      <c r="G117" s="157">
        <f>IF(Cons_Unit_Costs[[#This Row],[Closing social housing units managed]]&gt;0,Cons_Unit_Costs[[#This Row],[Management]]/Cons_Unit_Costs[[#This Row],[Closing social housing units managed]],"")</f>
        <v>0.99522556757283442</v>
      </c>
      <c r="H117" s="156">
        <v>30642</v>
      </c>
      <c r="I117" s="157">
        <f>IF(Cons_Unit_Costs[[#This Row],[Closing social housing units managed]]&gt;0,Cons_Unit_Costs[[#This Row],[Service charge costs]]/Cons_Unit_Costs[[#This Row],[Closing social housing units managed]],"")</f>
        <v>0.74747474747474751</v>
      </c>
      <c r="J117" s="156">
        <v>23014</v>
      </c>
      <c r="K117" s="157">
        <f>IF(Cons_Unit_Costs[[#This Row],[Closing social housing units managed]]&gt;0,(Cons_Unit_Costs[[#This Row],[Routine maintenance]]+Cons_Unit_Costs[[#This Row],[Planned maintenance]])/Cons_Unit_Costs[[#This Row],[Closing social housing units managed]],"")</f>
        <v>0.86699795381467404</v>
      </c>
      <c r="L117" s="156">
        <v>20923</v>
      </c>
      <c r="M117" s="156">
        <v>5771</v>
      </c>
      <c r="N117" s="157">
        <f>IF(Cons_Unit_Costs[[#This Row],[Closing social housing units managed]]&gt;0,(Cons_Unit_Costs[[#This Row],[Major repairs expenditure]]+Cons_Unit_Costs[[#This Row],[Capitalised major repairs expenditure for period]])/Cons_Unit_Costs[[#This Row],[Closing social housing units managed]],"")</f>
        <v>0.55623761733086496</v>
      </c>
      <c r="O117" s="156">
        <v>4102</v>
      </c>
      <c r="P117" s="156">
        <v>13024</v>
      </c>
      <c r="Q11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2.127383156322063E-2</v>
      </c>
      <c r="R117" s="156">
        <v>-103</v>
      </c>
      <c r="S117" s="156">
        <v>0</v>
      </c>
      <c r="T117" s="156">
        <v>278</v>
      </c>
      <c r="U117" s="156">
        <v>70</v>
      </c>
      <c r="V117" s="156">
        <v>410</v>
      </c>
      <c r="W117" s="158">
        <v>6.1890010326105062E-2</v>
      </c>
      <c r="X117" s="158">
        <v>9.8231238133306684E-2</v>
      </c>
      <c r="Y117" s="156" t="s">
        <v>1256</v>
      </c>
      <c r="Z117" s="159"/>
      <c r="AA117" s="156" t="s">
        <v>1279</v>
      </c>
      <c r="AB117" s="156" t="s">
        <v>1260</v>
      </c>
      <c r="AC117" s="157">
        <v>0.91736690620760641</v>
      </c>
    </row>
    <row r="118" spans="1:29" x14ac:dyDescent="0.2">
      <c r="A118" s="153" t="s">
        <v>113</v>
      </c>
      <c r="B118" s="153" t="s">
        <v>112</v>
      </c>
      <c r="C118" s="154" t="s">
        <v>200</v>
      </c>
      <c r="D118" s="155">
        <v>19476</v>
      </c>
      <c r="E11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48364</v>
      </c>
      <c r="F118" s="157">
        <f>IF(Cons_Unit_Costs[[#This Row],[Closing social housing units managed]]&gt;0,Cons_Unit_Costs[[#This Row],[Headline Social Housing Cost]]/Cons_Unit_Costs[[#This Row],[Closing social housing units managed]],"")</f>
        <v>2.483261449989731</v>
      </c>
      <c r="G118" s="157">
        <f>IF(Cons_Unit_Costs[[#This Row],[Closing social housing units managed]]&gt;0,Cons_Unit_Costs[[#This Row],[Management]]/Cons_Unit_Costs[[#This Row],[Closing social housing units managed]],"")</f>
        <v>0.79626206613267614</v>
      </c>
      <c r="H118" s="156">
        <v>15508</v>
      </c>
      <c r="I118" s="157">
        <f>IF(Cons_Unit_Costs[[#This Row],[Closing social housing units managed]]&gt;0,Cons_Unit_Costs[[#This Row],[Service charge costs]]/Cons_Unit_Costs[[#This Row],[Closing social housing units managed]],"")</f>
        <v>0.48043746149106592</v>
      </c>
      <c r="J118" s="156">
        <v>9357</v>
      </c>
      <c r="K118" s="157">
        <f>IF(Cons_Unit_Costs[[#This Row],[Closing social housing units managed]]&gt;0,(Cons_Unit_Costs[[#This Row],[Routine maintenance]]+Cons_Unit_Costs[[#This Row],[Planned maintenance]])/Cons_Unit_Costs[[#This Row],[Closing social housing units managed]],"")</f>
        <v>0.64032655576093656</v>
      </c>
      <c r="L118" s="156">
        <v>8840</v>
      </c>
      <c r="M118" s="156">
        <v>3631</v>
      </c>
      <c r="N118" s="157">
        <f>IF(Cons_Unit_Costs[[#This Row],[Closing social housing units managed]]&gt;0,(Cons_Unit_Costs[[#This Row],[Major repairs expenditure]]+Cons_Unit_Costs[[#This Row],[Capitalised major repairs expenditure for period]])/Cons_Unit_Costs[[#This Row],[Closing social housing units managed]],"")</f>
        <v>0.21842267406038202</v>
      </c>
      <c r="O118" s="156">
        <v>1801</v>
      </c>
      <c r="P118" s="156">
        <v>2453</v>
      </c>
      <c r="Q11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0.34781269254467034</v>
      </c>
      <c r="R118" s="156">
        <v>0</v>
      </c>
      <c r="S118" s="156">
        <v>0</v>
      </c>
      <c r="T118" s="156">
        <v>1749</v>
      </c>
      <c r="U118" s="156">
        <v>4414</v>
      </c>
      <c r="V118" s="156">
        <v>611</v>
      </c>
      <c r="W118" s="158">
        <v>1.1610598392378685E-2</v>
      </c>
      <c r="X118" s="158">
        <v>9.2467996427508192E-2</v>
      </c>
      <c r="Y118" s="156" t="s">
        <v>1256</v>
      </c>
      <c r="Z118" s="159"/>
      <c r="AA118" s="156" t="s">
        <v>1279</v>
      </c>
      <c r="AB118" s="156" t="s">
        <v>1259</v>
      </c>
      <c r="AC118" s="157">
        <v>1.0566075801968071</v>
      </c>
    </row>
    <row r="119" spans="1:29" x14ac:dyDescent="0.2">
      <c r="A119" s="153" t="s">
        <v>525</v>
      </c>
      <c r="B119" s="153" t="s">
        <v>526</v>
      </c>
      <c r="C119" s="154" t="s">
        <v>200</v>
      </c>
      <c r="D119" s="155">
        <v>4918</v>
      </c>
      <c r="E119"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13265</v>
      </c>
      <c r="F119" s="157">
        <f>IF(Cons_Unit_Costs[[#This Row],[Closing social housing units managed]]&gt;0,Cons_Unit_Costs[[#This Row],[Headline Social Housing Cost]]/Cons_Unit_Costs[[#This Row],[Closing social housing units managed]],"")</f>
        <v>2.6972346482309884</v>
      </c>
      <c r="G119" s="157">
        <f>IF(Cons_Unit_Costs[[#This Row],[Closing social housing units managed]]&gt;0,Cons_Unit_Costs[[#This Row],[Management]]/Cons_Unit_Costs[[#This Row],[Closing social housing units managed]],"")</f>
        <v>0.65900772671817809</v>
      </c>
      <c r="H119" s="156">
        <v>3241</v>
      </c>
      <c r="I119" s="157">
        <f>IF(Cons_Unit_Costs[[#This Row],[Closing social housing units managed]]&gt;0,Cons_Unit_Costs[[#This Row],[Service charge costs]]/Cons_Unit_Costs[[#This Row],[Closing social housing units managed]],"")</f>
        <v>0.25376169174461161</v>
      </c>
      <c r="J119" s="156">
        <v>1248</v>
      </c>
      <c r="K119" s="157">
        <f>IF(Cons_Unit_Costs[[#This Row],[Closing social housing units managed]]&gt;0,(Cons_Unit_Costs[[#This Row],[Routine maintenance]]+Cons_Unit_Costs[[#This Row],[Planned maintenance]])/Cons_Unit_Costs[[#This Row],[Closing social housing units managed]],"")</f>
        <v>1.1146807645384302</v>
      </c>
      <c r="L119" s="156">
        <v>4380</v>
      </c>
      <c r="M119" s="156">
        <v>1102</v>
      </c>
      <c r="N119" s="157">
        <f>IF(Cons_Unit_Costs[[#This Row],[Closing social housing units managed]]&gt;0,(Cons_Unit_Costs[[#This Row],[Major repairs expenditure]]+Cons_Unit_Costs[[#This Row],[Capitalised major repairs expenditure for period]])/Cons_Unit_Costs[[#This Row],[Closing social housing units managed]],"")</f>
        <v>0.55835705571370475</v>
      </c>
      <c r="O119" s="156">
        <v>127</v>
      </c>
      <c r="P119" s="156">
        <v>2619</v>
      </c>
      <c r="Q119"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0.11142740951606345</v>
      </c>
      <c r="R119" s="156">
        <v>170</v>
      </c>
      <c r="S119" s="156">
        <v>0</v>
      </c>
      <c r="T119" s="156">
        <v>378</v>
      </c>
      <c r="U119" s="156">
        <v>0</v>
      </c>
      <c r="V119" s="156">
        <v>0</v>
      </c>
      <c r="W119" s="158">
        <v>5.1548534608189568E-2</v>
      </c>
      <c r="X119" s="158">
        <v>2.7437123259197671E-2</v>
      </c>
      <c r="Y119" s="156" t="s">
        <v>1258</v>
      </c>
      <c r="Z119" s="159">
        <v>39552</v>
      </c>
      <c r="AA119" s="156" t="s">
        <v>1280</v>
      </c>
      <c r="AB119" s="156" t="s">
        <v>1262</v>
      </c>
      <c r="AC119" s="157">
        <v>0.91566538624456661</v>
      </c>
    </row>
    <row r="120" spans="1:29" x14ac:dyDescent="0.2">
      <c r="A120" s="153" t="s">
        <v>528</v>
      </c>
      <c r="B120" s="153" t="s">
        <v>529</v>
      </c>
      <c r="C120" s="154" t="s">
        <v>200</v>
      </c>
      <c r="D120" s="155">
        <v>1442</v>
      </c>
      <c r="E120"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6268</v>
      </c>
      <c r="F120" s="157">
        <f>IF(Cons_Unit_Costs[[#This Row],[Closing social housing units managed]]&gt;0,Cons_Unit_Costs[[#This Row],[Headline Social Housing Cost]]/Cons_Unit_Costs[[#This Row],[Closing social housing units managed]],"")</f>
        <v>4.3467406380027738</v>
      </c>
      <c r="G120" s="157">
        <f>IF(Cons_Unit_Costs[[#This Row],[Closing social housing units managed]]&gt;0,Cons_Unit_Costs[[#This Row],[Management]]/Cons_Unit_Costs[[#This Row],[Closing social housing units managed]],"")</f>
        <v>1.153259361997226</v>
      </c>
      <c r="H120" s="156">
        <v>1663</v>
      </c>
      <c r="I120" s="157">
        <f>IF(Cons_Unit_Costs[[#This Row],[Closing social housing units managed]]&gt;0,Cons_Unit_Costs[[#This Row],[Service charge costs]]/Cons_Unit_Costs[[#This Row],[Closing social housing units managed]],"")</f>
        <v>0.67753120665742028</v>
      </c>
      <c r="J120" s="156">
        <v>977</v>
      </c>
      <c r="K120" s="157">
        <f>IF(Cons_Unit_Costs[[#This Row],[Closing social housing units managed]]&gt;0,(Cons_Unit_Costs[[#This Row],[Routine maintenance]]+Cons_Unit_Costs[[#This Row],[Planned maintenance]])/Cons_Unit_Costs[[#This Row],[Closing social housing units managed]],"")</f>
        <v>1.1470180305131761</v>
      </c>
      <c r="L120" s="156">
        <v>756</v>
      </c>
      <c r="M120" s="156">
        <v>898</v>
      </c>
      <c r="N120" s="157">
        <f>IF(Cons_Unit_Costs[[#This Row],[Closing social housing units managed]]&gt;0,(Cons_Unit_Costs[[#This Row],[Major repairs expenditure]]+Cons_Unit_Costs[[#This Row],[Capitalised major repairs expenditure for period]])/Cons_Unit_Costs[[#This Row],[Closing social housing units managed]],"")</f>
        <v>0.91678224687933429</v>
      </c>
      <c r="O120" s="156">
        <v>483</v>
      </c>
      <c r="P120" s="156">
        <v>839</v>
      </c>
      <c r="Q120"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0.45214979195561722</v>
      </c>
      <c r="R120" s="156">
        <v>119</v>
      </c>
      <c r="S120" s="156">
        <v>135</v>
      </c>
      <c r="T120" s="156">
        <v>120</v>
      </c>
      <c r="U120" s="156">
        <v>278</v>
      </c>
      <c r="V120" s="156">
        <v>0</v>
      </c>
      <c r="W120" s="158">
        <v>2.0452885317750184E-2</v>
      </c>
      <c r="X120" s="158">
        <v>0.21256391526661797</v>
      </c>
      <c r="Y120" s="156" t="s">
        <v>1256</v>
      </c>
      <c r="Z120" s="159"/>
      <c r="AA120" s="156" t="s">
        <v>1279</v>
      </c>
      <c r="AB120" s="156" t="s">
        <v>1259</v>
      </c>
      <c r="AC120" s="157">
        <v>1.016884114747862</v>
      </c>
    </row>
    <row r="121" spans="1:29" x14ac:dyDescent="0.2">
      <c r="A121" s="153" t="s">
        <v>116</v>
      </c>
      <c r="B121" s="153" t="s">
        <v>115</v>
      </c>
      <c r="C121" s="154" t="s">
        <v>200</v>
      </c>
      <c r="D121" s="155">
        <v>5322</v>
      </c>
      <c r="E121"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17893</v>
      </c>
      <c r="F121" s="157">
        <f>IF(Cons_Unit_Costs[[#This Row],[Closing social housing units managed]]&gt;0,Cons_Unit_Costs[[#This Row],[Headline Social Housing Cost]]/Cons_Unit_Costs[[#This Row],[Closing social housing units managed]],"")</f>
        <v>3.3620819240886886</v>
      </c>
      <c r="G121" s="157">
        <f>IF(Cons_Unit_Costs[[#This Row],[Closing social housing units managed]]&gt;0,Cons_Unit_Costs[[#This Row],[Management]]/Cons_Unit_Costs[[#This Row],[Closing social housing units managed]],"")</f>
        <v>0.86715520481022168</v>
      </c>
      <c r="H121" s="156">
        <v>4615</v>
      </c>
      <c r="I121" s="157">
        <f>IF(Cons_Unit_Costs[[#This Row],[Closing social housing units managed]]&gt;0,Cons_Unit_Costs[[#This Row],[Service charge costs]]/Cons_Unit_Costs[[#This Row],[Closing social housing units managed]],"")</f>
        <v>0.57515971439308533</v>
      </c>
      <c r="J121" s="156">
        <v>3061</v>
      </c>
      <c r="K121" s="157">
        <f>IF(Cons_Unit_Costs[[#This Row],[Closing social housing units managed]]&gt;0,(Cons_Unit_Costs[[#This Row],[Routine maintenance]]+Cons_Unit_Costs[[#This Row],[Planned maintenance]])/Cons_Unit_Costs[[#This Row],[Closing social housing units managed]],"")</f>
        <v>0.8438556933483653</v>
      </c>
      <c r="L121" s="156">
        <v>3675</v>
      </c>
      <c r="M121" s="156">
        <v>816</v>
      </c>
      <c r="N121" s="157">
        <f>IF(Cons_Unit_Costs[[#This Row],[Closing social housing units managed]]&gt;0,(Cons_Unit_Costs[[#This Row],[Major repairs expenditure]]+Cons_Unit_Costs[[#This Row],[Capitalised major repairs expenditure for period]])/Cons_Unit_Costs[[#This Row],[Closing social housing units managed]],"")</f>
        <v>0.95941375422773389</v>
      </c>
      <c r="O121" s="156">
        <v>2355</v>
      </c>
      <c r="P121" s="156">
        <v>2751</v>
      </c>
      <c r="Q121"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0.11649755730928223</v>
      </c>
      <c r="R121" s="156">
        <v>33</v>
      </c>
      <c r="S121" s="156">
        <v>0</v>
      </c>
      <c r="T121" s="156">
        <v>79</v>
      </c>
      <c r="U121" s="156">
        <v>508</v>
      </c>
      <c r="V121" s="156">
        <v>0</v>
      </c>
      <c r="W121" s="158">
        <v>5.718060011322891E-2</v>
      </c>
      <c r="X121" s="158">
        <v>0.11964521607850538</v>
      </c>
      <c r="Y121" s="156" t="s">
        <v>1256</v>
      </c>
      <c r="Z121" s="159"/>
      <c r="AA121" s="156" t="s">
        <v>1279</v>
      </c>
      <c r="AB121" s="156" t="s">
        <v>1262</v>
      </c>
      <c r="AC121" s="157">
        <v>0.9312983134860281</v>
      </c>
    </row>
    <row r="122" spans="1:29" x14ac:dyDescent="0.2">
      <c r="A122" s="153" t="s">
        <v>530</v>
      </c>
      <c r="B122" s="153" t="s">
        <v>531</v>
      </c>
      <c r="C122" s="154" t="s">
        <v>200</v>
      </c>
      <c r="D122" s="155">
        <v>1083</v>
      </c>
      <c r="E122"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4079</v>
      </c>
      <c r="F122" s="157">
        <f>IF(Cons_Unit_Costs[[#This Row],[Closing social housing units managed]]&gt;0,Cons_Unit_Costs[[#This Row],[Headline Social Housing Cost]]/Cons_Unit_Costs[[#This Row],[Closing social housing units managed]],"")</f>
        <v>3.7663896583564171</v>
      </c>
      <c r="G122" s="157">
        <f>IF(Cons_Unit_Costs[[#This Row],[Closing social housing units managed]]&gt;0,Cons_Unit_Costs[[#This Row],[Management]]/Cons_Unit_Costs[[#This Row],[Closing social housing units managed]],"")</f>
        <v>1.0987996306555863</v>
      </c>
      <c r="H122" s="156">
        <v>1190</v>
      </c>
      <c r="I122" s="157">
        <f>IF(Cons_Unit_Costs[[#This Row],[Closing social housing units managed]]&gt;0,Cons_Unit_Costs[[#This Row],[Service charge costs]]/Cons_Unit_Costs[[#This Row],[Closing social housing units managed]],"")</f>
        <v>0.78670360110803328</v>
      </c>
      <c r="J122" s="156">
        <v>852</v>
      </c>
      <c r="K122" s="157">
        <f>IF(Cons_Unit_Costs[[#This Row],[Closing social housing units managed]]&gt;0,(Cons_Unit_Costs[[#This Row],[Routine maintenance]]+Cons_Unit_Costs[[#This Row],[Planned maintenance]])/Cons_Unit_Costs[[#This Row],[Closing social housing units managed]],"")</f>
        <v>1.1237303785780239</v>
      </c>
      <c r="L122" s="156">
        <v>647</v>
      </c>
      <c r="M122" s="156">
        <v>570</v>
      </c>
      <c r="N122" s="157">
        <f>IF(Cons_Unit_Costs[[#This Row],[Closing social housing units managed]]&gt;0,(Cons_Unit_Costs[[#This Row],[Major repairs expenditure]]+Cons_Unit_Costs[[#This Row],[Capitalised major repairs expenditure for period]])/Cons_Unit_Costs[[#This Row],[Closing social housing units managed]],"")</f>
        <v>0.38965835641735919</v>
      </c>
      <c r="O122" s="156">
        <v>0</v>
      </c>
      <c r="P122" s="156">
        <v>422</v>
      </c>
      <c r="Q122"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0.36749769159741458</v>
      </c>
      <c r="R122" s="156">
        <v>191</v>
      </c>
      <c r="S122" s="156">
        <v>0</v>
      </c>
      <c r="T122" s="156">
        <v>207</v>
      </c>
      <c r="U122" s="156">
        <v>0</v>
      </c>
      <c r="V122" s="156">
        <v>0</v>
      </c>
      <c r="W122" s="158">
        <v>3.2377428307123035E-2</v>
      </c>
      <c r="X122" s="158">
        <v>0.24514338575393155</v>
      </c>
      <c r="Y122" s="156" t="s">
        <v>1256</v>
      </c>
      <c r="Z122" s="159"/>
      <c r="AA122" s="156" t="s">
        <v>1279</v>
      </c>
      <c r="AB122" s="156" t="s">
        <v>1260</v>
      </c>
      <c r="AC122" s="157">
        <v>0.91571558169387279</v>
      </c>
    </row>
    <row r="123" spans="1:29" x14ac:dyDescent="0.2">
      <c r="A123" s="153" t="s">
        <v>534</v>
      </c>
      <c r="B123" s="153" t="s">
        <v>533</v>
      </c>
      <c r="C123" s="154" t="s">
        <v>200</v>
      </c>
      <c r="D123" s="155">
        <v>18609</v>
      </c>
      <c r="E123"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108335</v>
      </c>
      <c r="F123" s="157">
        <f>IF(Cons_Unit_Costs[[#This Row],[Closing social housing units managed]]&gt;0,Cons_Unit_Costs[[#This Row],[Headline Social Housing Cost]]/Cons_Unit_Costs[[#This Row],[Closing social housing units managed]],"")</f>
        <v>5.8216454403783118</v>
      </c>
      <c r="G123" s="157">
        <f>IF(Cons_Unit_Costs[[#This Row],[Closing social housing units managed]]&gt;0,Cons_Unit_Costs[[#This Row],[Management]]/Cons_Unit_Costs[[#This Row],[Closing social housing units managed]],"")</f>
        <v>1.8249771615884787</v>
      </c>
      <c r="H123" s="156">
        <v>33961</v>
      </c>
      <c r="I123" s="157">
        <f>IF(Cons_Unit_Costs[[#This Row],[Closing social housing units managed]]&gt;0,Cons_Unit_Costs[[#This Row],[Service charge costs]]/Cons_Unit_Costs[[#This Row],[Closing social housing units managed]],"")</f>
        <v>0.74883121070449787</v>
      </c>
      <c r="J123" s="156">
        <v>13935</v>
      </c>
      <c r="K123" s="157">
        <f>IF(Cons_Unit_Costs[[#This Row],[Closing social housing units managed]]&gt;0,(Cons_Unit_Costs[[#This Row],[Routine maintenance]]+Cons_Unit_Costs[[#This Row],[Planned maintenance]])/Cons_Unit_Costs[[#This Row],[Closing social housing units managed]],"")</f>
        <v>0.83190929120318124</v>
      </c>
      <c r="L123" s="156">
        <v>15481</v>
      </c>
      <c r="M123" s="156">
        <v>0</v>
      </c>
      <c r="N123" s="157">
        <f>IF(Cons_Unit_Costs[[#This Row],[Closing social housing units managed]]&gt;0,(Cons_Unit_Costs[[#This Row],[Major repairs expenditure]]+Cons_Unit_Costs[[#This Row],[Capitalised major repairs expenditure for period]])/Cons_Unit_Costs[[#This Row],[Closing social housing units managed]],"")</f>
        <v>1.3325810091891019</v>
      </c>
      <c r="O123" s="156">
        <v>8558</v>
      </c>
      <c r="P123" s="156">
        <v>16240</v>
      </c>
      <c r="Q123"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1.0833467676930517</v>
      </c>
      <c r="R123" s="156">
        <v>18223</v>
      </c>
      <c r="S123" s="156">
        <v>236</v>
      </c>
      <c r="T123" s="156">
        <v>0</v>
      </c>
      <c r="U123" s="156">
        <v>987</v>
      </c>
      <c r="V123" s="156">
        <v>714</v>
      </c>
      <c r="W123" s="158">
        <v>2.986026555342958E-2</v>
      </c>
      <c r="X123" s="158">
        <v>8.2217197193714855E-2</v>
      </c>
      <c r="Y123" s="156" t="s">
        <v>1256</v>
      </c>
      <c r="Z123" s="159"/>
      <c r="AA123" s="156" t="s">
        <v>1279</v>
      </c>
      <c r="AB123" s="156" t="s">
        <v>1267</v>
      </c>
      <c r="AC123" s="157">
        <v>1.1833110758297798</v>
      </c>
    </row>
    <row r="124" spans="1:29" x14ac:dyDescent="0.2">
      <c r="A124" s="153" t="s">
        <v>537</v>
      </c>
      <c r="B124" s="153" t="s">
        <v>538</v>
      </c>
      <c r="C124" s="154" t="s">
        <v>200</v>
      </c>
      <c r="D124" s="155">
        <v>19784</v>
      </c>
      <c r="E12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60638</v>
      </c>
      <c r="F124" s="157">
        <f>IF(Cons_Unit_Costs[[#This Row],[Closing social housing units managed]]&gt;0,Cons_Unit_Costs[[#This Row],[Headline Social Housing Cost]]/Cons_Unit_Costs[[#This Row],[Closing social housing units managed]],"")</f>
        <v>3.0650020218358272</v>
      </c>
      <c r="G124" s="157">
        <f>IF(Cons_Unit_Costs[[#This Row],[Closing social housing units managed]]&gt;0,Cons_Unit_Costs[[#This Row],[Management]]/Cons_Unit_Costs[[#This Row],[Closing social housing units managed]],"")</f>
        <v>0.89526890416498184</v>
      </c>
      <c r="H124" s="156">
        <v>17712</v>
      </c>
      <c r="I124" s="157">
        <f>IF(Cons_Unit_Costs[[#This Row],[Closing social housing units managed]]&gt;0,Cons_Unit_Costs[[#This Row],[Service charge costs]]/Cons_Unit_Costs[[#This Row],[Closing social housing units managed]],"")</f>
        <v>0.24595632834613829</v>
      </c>
      <c r="J124" s="156">
        <v>4866</v>
      </c>
      <c r="K124" s="157">
        <f>IF(Cons_Unit_Costs[[#This Row],[Closing social housing units managed]]&gt;0,(Cons_Unit_Costs[[#This Row],[Routine maintenance]]+Cons_Unit_Costs[[#This Row],[Planned maintenance]])/Cons_Unit_Costs[[#This Row],[Closing social housing units managed]],"")</f>
        <v>0.77729478366356652</v>
      </c>
      <c r="L124" s="156">
        <v>12535</v>
      </c>
      <c r="M124" s="156">
        <v>2843</v>
      </c>
      <c r="N124" s="157">
        <f>IF(Cons_Unit_Costs[[#This Row],[Closing social housing units managed]]&gt;0,(Cons_Unit_Costs[[#This Row],[Major repairs expenditure]]+Cons_Unit_Costs[[#This Row],[Capitalised major repairs expenditure for period]])/Cons_Unit_Costs[[#This Row],[Closing social housing units managed]],"")</f>
        <v>0.81894460169834205</v>
      </c>
      <c r="O124" s="156">
        <v>5637</v>
      </c>
      <c r="P124" s="156">
        <v>10565</v>
      </c>
      <c r="Q12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0.32753740396279823</v>
      </c>
      <c r="R124" s="156">
        <v>180</v>
      </c>
      <c r="S124" s="156">
        <v>0</v>
      </c>
      <c r="T124" s="156">
        <v>6300</v>
      </c>
      <c r="U124" s="156">
        <v>0</v>
      </c>
      <c r="V124" s="156">
        <v>0</v>
      </c>
      <c r="W124" s="158">
        <v>5.5637203443208065E-3</v>
      </c>
      <c r="X124" s="158">
        <v>7.9991601931555745E-2</v>
      </c>
      <c r="Y124" s="156" t="s">
        <v>1258</v>
      </c>
      <c r="Z124" s="159">
        <v>36612</v>
      </c>
      <c r="AA124" s="156" t="s">
        <v>1268</v>
      </c>
      <c r="AB124" s="156" t="s">
        <v>1262</v>
      </c>
      <c r="AC124" s="157">
        <v>0.91646050326873096</v>
      </c>
    </row>
    <row r="125" spans="1:29" x14ac:dyDescent="0.2">
      <c r="A125" s="153" t="s">
        <v>119</v>
      </c>
      <c r="B125" s="153" t="s">
        <v>118</v>
      </c>
      <c r="C125" s="154" t="s">
        <v>200</v>
      </c>
      <c r="D125" s="155">
        <v>7678</v>
      </c>
      <c r="E12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44931</v>
      </c>
      <c r="F125" s="157">
        <f>IF(Cons_Unit_Costs[[#This Row],[Closing social housing units managed]]&gt;0,Cons_Unit_Costs[[#This Row],[Headline Social Housing Cost]]/Cons_Unit_Costs[[#This Row],[Closing social housing units managed]],"")</f>
        <v>5.8519145610836159</v>
      </c>
      <c r="G125" s="157">
        <f>IF(Cons_Unit_Costs[[#This Row],[Closing social housing units managed]]&gt;0,Cons_Unit_Costs[[#This Row],[Management]]/Cons_Unit_Costs[[#This Row],[Closing social housing units managed]],"")</f>
        <v>1.0328210471476946</v>
      </c>
      <c r="H125" s="156">
        <v>7930</v>
      </c>
      <c r="I125" s="157">
        <f>IF(Cons_Unit_Costs[[#This Row],[Closing social housing units managed]]&gt;0,Cons_Unit_Costs[[#This Row],[Service charge costs]]/Cons_Unit_Costs[[#This Row],[Closing social housing units managed]],"")</f>
        <v>1.3478770513154468</v>
      </c>
      <c r="J125" s="156">
        <v>10349</v>
      </c>
      <c r="K125" s="157">
        <f>IF(Cons_Unit_Costs[[#This Row],[Closing social housing units managed]]&gt;0,(Cons_Unit_Costs[[#This Row],[Routine maintenance]]+Cons_Unit_Costs[[#This Row],[Planned maintenance]])/Cons_Unit_Costs[[#This Row],[Closing social housing units managed]],"")</f>
        <v>0.98606407918728833</v>
      </c>
      <c r="L125" s="156">
        <v>4185</v>
      </c>
      <c r="M125" s="156">
        <v>3386</v>
      </c>
      <c r="N125" s="157">
        <f>IF(Cons_Unit_Costs[[#This Row],[Closing social housing units managed]]&gt;0,(Cons_Unit_Costs[[#This Row],[Major repairs expenditure]]+Cons_Unit_Costs[[#This Row],[Capitalised major repairs expenditure for period]])/Cons_Unit_Costs[[#This Row],[Closing social housing units managed]],"")</f>
        <v>0.72544933576452197</v>
      </c>
      <c r="O125" s="156">
        <v>60</v>
      </c>
      <c r="P125" s="156">
        <v>5510</v>
      </c>
      <c r="Q12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1.7597030476686637</v>
      </c>
      <c r="R125" s="156">
        <v>0</v>
      </c>
      <c r="S125" s="156">
        <v>12001</v>
      </c>
      <c r="T125" s="156">
        <v>866</v>
      </c>
      <c r="U125" s="156">
        <v>402</v>
      </c>
      <c r="V125" s="156">
        <v>242</v>
      </c>
      <c r="W125" s="158">
        <v>6.3053435114503814E-2</v>
      </c>
      <c r="X125" s="158">
        <v>2.6870229007633587E-2</v>
      </c>
      <c r="Y125" s="156" t="s">
        <v>1256</v>
      </c>
      <c r="Z125" s="159"/>
      <c r="AA125" s="156" t="s">
        <v>1279</v>
      </c>
      <c r="AB125" s="156" t="s">
        <v>1267</v>
      </c>
      <c r="AC125" s="157">
        <v>1.2488238976435353</v>
      </c>
    </row>
    <row r="126" spans="1:29" x14ac:dyDescent="0.2">
      <c r="A126" s="153" t="s">
        <v>546</v>
      </c>
      <c r="B126" s="153" t="s">
        <v>547</v>
      </c>
      <c r="C126" s="154" t="s">
        <v>200</v>
      </c>
      <c r="D126" s="155">
        <v>3247</v>
      </c>
      <c r="E12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9989</v>
      </c>
      <c r="F126" s="157">
        <f>IF(Cons_Unit_Costs[[#This Row],[Closing social housing units managed]]&gt;0,Cons_Unit_Costs[[#This Row],[Headline Social Housing Cost]]/Cons_Unit_Costs[[#This Row],[Closing social housing units managed]],"")</f>
        <v>3.0763781952571603</v>
      </c>
      <c r="G126" s="157">
        <f>IF(Cons_Unit_Costs[[#This Row],[Closing social housing units managed]]&gt;0,Cons_Unit_Costs[[#This Row],[Management]]/Cons_Unit_Costs[[#This Row],[Closing social housing units managed]],"")</f>
        <v>0.47613181398213733</v>
      </c>
      <c r="H126" s="156">
        <v>1546</v>
      </c>
      <c r="I126" s="157">
        <f>IF(Cons_Unit_Costs[[#This Row],[Closing social housing units managed]]&gt;0,Cons_Unit_Costs[[#This Row],[Service charge costs]]/Cons_Unit_Costs[[#This Row],[Closing social housing units managed]],"")</f>
        <v>0.20665229442562366</v>
      </c>
      <c r="J126" s="156">
        <v>671</v>
      </c>
      <c r="K126" s="157">
        <f>IF(Cons_Unit_Costs[[#This Row],[Closing social housing units managed]]&gt;0,(Cons_Unit_Costs[[#This Row],[Routine maintenance]]+Cons_Unit_Costs[[#This Row],[Planned maintenance]])/Cons_Unit_Costs[[#This Row],[Closing social housing units managed]],"")</f>
        <v>1.0412688635663689</v>
      </c>
      <c r="L126" s="156">
        <v>2211</v>
      </c>
      <c r="M126" s="156">
        <v>1170</v>
      </c>
      <c r="N126" s="157">
        <f>IF(Cons_Unit_Costs[[#This Row],[Closing social housing units managed]]&gt;0,(Cons_Unit_Costs[[#This Row],[Major repairs expenditure]]+Cons_Unit_Costs[[#This Row],[Capitalised major repairs expenditure for period]])/Cons_Unit_Costs[[#This Row],[Closing social housing units managed]],"")</f>
        <v>1.2433015090853095</v>
      </c>
      <c r="O126" s="156">
        <v>1846</v>
      </c>
      <c r="P126" s="156">
        <v>2191</v>
      </c>
      <c r="Q12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0.10902371419772097</v>
      </c>
      <c r="R126" s="156">
        <v>56</v>
      </c>
      <c r="S126" s="156">
        <v>298</v>
      </c>
      <c r="T126" s="156">
        <v>0</v>
      </c>
      <c r="U126" s="156">
        <v>0</v>
      </c>
      <c r="V126" s="156">
        <v>0</v>
      </c>
      <c r="W126" s="158">
        <v>0</v>
      </c>
      <c r="X126" s="158">
        <v>0.16415152448413919</v>
      </c>
      <c r="Y126" s="156" t="s">
        <v>1257</v>
      </c>
      <c r="Z126" s="159">
        <v>36577</v>
      </c>
      <c r="AA126" s="156" t="s">
        <v>1268</v>
      </c>
      <c r="AB126" s="156" t="s">
        <v>1265</v>
      </c>
      <c r="AC126" s="157">
        <v>0.96617455710897804</v>
      </c>
    </row>
    <row r="127" spans="1:29" x14ac:dyDescent="0.2">
      <c r="A127" s="153" t="s">
        <v>549</v>
      </c>
      <c r="B127" s="153" t="s">
        <v>120</v>
      </c>
      <c r="C127" s="154" t="s">
        <v>200</v>
      </c>
      <c r="D127" s="155">
        <v>9043</v>
      </c>
      <c r="E12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25258</v>
      </c>
      <c r="F127" s="157">
        <f>IF(Cons_Unit_Costs[[#This Row],[Closing social housing units managed]]&gt;0,Cons_Unit_Costs[[#This Row],[Headline Social Housing Cost]]/Cons_Unit_Costs[[#This Row],[Closing social housing units managed]],"")</f>
        <v>2.7930996350768549</v>
      </c>
      <c r="G127" s="157">
        <f>IF(Cons_Unit_Costs[[#This Row],[Closing social housing units managed]]&gt;0,Cons_Unit_Costs[[#This Row],[Management]]/Cons_Unit_Costs[[#This Row],[Closing social housing units managed]],"")</f>
        <v>0.97312838659736811</v>
      </c>
      <c r="H127" s="156">
        <v>8800</v>
      </c>
      <c r="I127" s="157">
        <f>IF(Cons_Unit_Costs[[#This Row],[Closing social housing units managed]]&gt;0,Cons_Unit_Costs[[#This Row],[Service charge costs]]/Cons_Unit_Costs[[#This Row],[Closing social housing units managed]],"")</f>
        <v>0.59349773305319031</v>
      </c>
      <c r="J127" s="156">
        <v>5367</v>
      </c>
      <c r="K127" s="157">
        <f>IF(Cons_Unit_Costs[[#This Row],[Closing social housing units managed]]&gt;0,(Cons_Unit_Costs[[#This Row],[Routine maintenance]]+Cons_Unit_Costs[[#This Row],[Planned maintenance]])/Cons_Unit_Costs[[#This Row],[Closing social housing units managed]],"")</f>
        <v>0.38803494415570056</v>
      </c>
      <c r="L127" s="156">
        <v>2161</v>
      </c>
      <c r="M127" s="156">
        <v>1348</v>
      </c>
      <c r="N127" s="157">
        <f>IF(Cons_Unit_Costs[[#This Row],[Closing social housing units managed]]&gt;0,(Cons_Unit_Costs[[#This Row],[Major repairs expenditure]]+Cons_Unit_Costs[[#This Row],[Capitalised major repairs expenditure for period]])/Cons_Unit_Costs[[#This Row],[Closing social housing units managed]],"")</f>
        <v>0.26307641269490212</v>
      </c>
      <c r="O127" s="156">
        <v>289</v>
      </c>
      <c r="P127" s="156">
        <v>2090</v>
      </c>
      <c r="Q12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0.57536215857569395</v>
      </c>
      <c r="R127" s="156">
        <v>5052</v>
      </c>
      <c r="S127" s="156">
        <v>0</v>
      </c>
      <c r="T127" s="156">
        <v>151</v>
      </c>
      <c r="U127" s="156">
        <v>0</v>
      </c>
      <c r="V127" s="156">
        <v>0</v>
      </c>
      <c r="W127" s="158">
        <v>1.2761432116270826E-2</v>
      </c>
      <c r="X127" s="158">
        <v>9.0866123124187639E-2</v>
      </c>
      <c r="Y127" s="156" t="s">
        <v>1257</v>
      </c>
      <c r="Z127" s="159">
        <v>37711</v>
      </c>
      <c r="AA127" s="156" t="s">
        <v>1268</v>
      </c>
      <c r="AB127" s="156" t="s">
        <v>1263</v>
      </c>
      <c r="AC127" s="157">
        <v>1.0022399874355168</v>
      </c>
    </row>
    <row r="128" spans="1:29" x14ac:dyDescent="0.2">
      <c r="A128" s="153" t="s">
        <v>550</v>
      </c>
      <c r="B128" s="153" t="s">
        <v>551</v>
      </c>
      <c r="C128" s="154" t="s">
        <v>200</v>
      </c>
      <c r="D128" s="155">
        <v>3491</v>
      </c>
      <c r="E12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9996</v>
      </c>
      <c r="F128" s="157">
        <f>IF(Cons_Unit_Costs[[#This Row],[Closing social housing units managed]]&gt;0,Cons_Unit_Costs[[#This Row],[Headline Social Housing Cost]]/Cons_Unit_Costs[[#This Row],[Closing social housing units managed]],"")</f>
        <v>2.8633629332569464</v>
      </c>
      <c r="G128" s="157">
        <f>IF(Cons_Unit_Costs[[#This Row],[Closing social housing units managed]]&gt;0,Cons_Unit_Costs[[#This Row],[Management]]/Cons_Unit_Costs[[#This Row],[Closing social housing units managed]],"")</f>
        <v>0.47378974505872246</v>
      </c>
      <c r="H128" s="156">
        <v>1654</v>
      </c>
      <c r="I128" s="157">
        <f>IF(Cons_Unit_Costs[[#This Row],[Closing social housing units managed]]&gt;0,Cons_Unit_Costs[[#This Row],[Service charge costs]]/Cons_Unit_Costs[[#This Row],[Closing social housing units managed]],"")</f>
        <v>0.4901174448582068</v>
      </c>
      <c r="J128" s="156">
        <v>1711</v>
      </c>
      <c r="K128" s="157">
        <f>IF(Cons_Unit_Costs[[#This Row],[Closing social housing units managed]]&gt;0,(Cons_Unit_Costs[[#This Row],[Routine maintenance]]+Cons_Unit_Costs[[#This Row],[Planned maintenance]])/Cons_Unit_Costs[[#This Row],[Closing social housing units managed]],"")</f>
        <v>0.96505299341162987</v>
      </c>
      <c r="L128" s="156">
        <v>1685</v>
      </c>
      <c r="M128" s="156">
        <v>1684</v>
      </c>
      <c r="N128" s="157">
        <f>IF(Cons_Unit_Costs[[#This Row],[Closing social housing units managed]]&gt;0,(Cons_Unit_Costs[[#This Row],[Major repairs expenditure]]+Cons_Unit_Costs[[#This Row],[Capitalised major repairs expenditure for period]])/Cons_Unit_Costs[[#This Row],[Closing social housing units managed]],"")</f>
        <v>0.57204239472930396</v>
      </c>
      <c r="O128" s="156">
        <v>296</v>
      </c>
      <c r="P128" s="156">
        <v>1701</v>
      </c>
      <c r="Q12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0.36236035519908338</v>
      </c>
      <c r="R128" s="156">
        <v>353</v>
      </c>
      <c r="S128" s="156">
        <v>0</v>
      </c>
      <c r="T128" s="156">
        <v>912</v>
      </c>
      <c r="U128" s="156">
        <v>0</v>
      </c>
      <c r="V128" s="156">
        <v>0</v>
      </c>
      <c r="W128" s="158">
        <v>0.10807325251483106</v>
      </c>
      <c r="X128" s="158">
        <v>5.0554552489037917E-2</v>
      </c>
      <c r="Y128" s="156" t="s">
        <v>1258</v>
      </c>
      <c r="Z128" s="159">
        <v>38901</v>
      </c>
      <c r="AA128" s="156" t="s">
        <v>1280</v>
      </c>
      <c r="AB128" s="156" t="s">
        <v>1266</v>
      </c>
      <c r="AC128" s="157">
        <v>0.9038894210385584</v>
      </c>
    </row>
    <row r="129" spans="1:29" x14ac:dyDescent="0.2">
      <c r="A129" s="153" t="s">
        <v>125</v>
      </c>
      <c r="B129" s="153" t="s">
        <v>124</v>
      </c>
      <c r="C129" s="154" t="s">
        <v>200</v>
      </c>
      <c r="D129" s="155">
        <v>29981</v>
      </c>
      <c r="E129"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140600</v>
      </c>
      <c r="F129" s="157">
        <f>IF(Cons_Unit_Costs[[#This Row],[Closing social housing units managed]]&gt;0,Cons_Unit_Costs[[#This Row],[Headline Social Housing Cost]]/Cons_Unit_Costs[[#This Row],[Closing social housing units managed]],"")</f>
        <v>4.689636769954304</v>
      </c>
      <c r="G129" s="157">
        <f>IF(Cons_Unit_Costs[[#This Row],[Closing social housing units managed]]&gt;0,Cons_Unit_Costs[[#This Row],[Management]]/Cons_Unit_Costs[[#This Row],[Closing social housing units managed]],"")</f>
        <v>0.96060838531069681</v>
      </c>
      <c r="H129" s="156">
        <v>28800</v>
      </c>
      <c r="I129" s="157">
        <f>IF(Cons_Unit_Costs[[#This Row],[Closing social housing units managed]]&gt;0,Cons_Unit_Costs[[#This Row],[Service charge costs]]/Cons_Unit_Costs[[#This Row],[Closing social housing units managed]],"")</f>
        <v>0.67376004803041922</v>
      </c>
      <c r="J129" s="156">
        <v>20200</v>
      </c>
      <c r="K129" s="157">
        <f>IF(Cons_Unit_Costs[[#This Row],[Closing social housing units managed]]&gt;0,(Cons_Unit_Costs[[#This Row],[Routine maintenance]]+Cons_Unit_Costs[[#This Row],[Planned maintenance]])/Cons_Unit_Costs[[#This Row],[Closing social housing units managed]],"")</f>
        <v>1.1140388912978219</v>
      </c>
      <c r="L129" s="156">
        <v>24200</v>
      </c>
      <c r="M129" s="156">
        <v>9200</v>
      </c>
      <c r="N129" s="157">
        <f>IF(Cons_Unit_Costs[[#This Row],[Closing social housing units managed]]&gt;0,(Cons_Unit_Costs[[#This Row],[Major repairs expenditure]]+Cons_Unit_Costs[[#This Row],[Capitalised major repairs expenditure for period]])/Cons_Unit_Costs[[#This Row],[Closing social housing units managed]],"")</f>
        <v>0.66375371068343281</v>
      </c>
      <c r="O129" s="156">
        <v>11600</v>
      </c>
      <c r="P129" s="156">
        <v>8300</v>
      </c>
      <c r="Q129"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1.2774757346319336</v>
      </c>
      <c r="R129" s="156">
        <v>22800</v>
      </c>
      <c r="S129" s="156">
        <v>8100</v>
      </c>
      <c r="T129" s="156">
        <v>4300</v>
      </c>
      <c r="U129" s="156">
        <v>2700</v>
      </c>
      <c r="V129" s="156">
        <v>400</v>
      </c>
      <c r="W129" s="158">
        <v>3.9513558188043606E-2</v>
      </c>
      <c r="X129" s="158">
        <v>3.2075248927545361E-2</v>
      </c>
      <c r="Y129" s="156" t="s">
        <v>1256</v>
      </c>
      <c r="Z129" s="159"/>
      <c r="AA129" s="156" t="s">
        <v>1279</v>
      </c>
      <c r="AB129" s="156" t="s">
        <v>1267</v>
      </c>
      <c r="AC129" s="157">
        <v>1.246022967865271</v>
      </c>
    </row>
    <row r="130" spans="1:29" x14ac:dyDescent="0.2">
      <c r="A130" s="153" t="s">
        <v>554</v>
      </c>
      <c r="B130" s="153" t="s">
        <v>553</v>
      </c>
      <c r="C130" s="154" t="s">
        <v>200</v>
      </c>
      <c r="D130" s="155">
        <v>9226</v>
      </c>
      <c r="E130"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44691</v>
      </c>
      <c r="F130" s="157">
        <f>IF(Cons_Unit_Costs[[#This Row],[Closing social housing units managed]]&gt;0,Cons_Unit_Costs[[#This Row],[Headline Social Housing Cost]]/Cons_Unit_Costs[[#This Row],[Closing social housing units managed]],"")</f>
        <v>4.844027747669629</v>
      </c>
      <c r="G130" s="157">
        <f>IF(Cons_Unit_Costs[[#This Row],[Closing social housing units managed]]&gt;0,Cons_Unit_Costs[[#This Row],[Management]]/Cons_Unit_Costs[[#This Row],[Closing social housing units managed]],"")</f>
        <v>0.9775634077606763</v>
      </c>
      <c r="H130" s="156">
        <v>9019</v>
      </c>
      <c r="I130" s="157">
        <f>IF(Cons_Unit_Costs[[#This Row],[Closing social housing units managed]]&gt;0,Cons_Unit_Costs[[#This Row],[Service charge costs]]/Cons_Unit_Costs[[#This Row],[Closing social housing units managed]],"")</f>
        <v>0.56817689139388683</v>
      </c>
      <c r="J130" s="156">
        <v>5242</v>
      </c>
      <c r="K130" s="157">
        <f>IF(Cons_Unit_Costs[[#This Row],[Closing social housing units managed]]&gt;0,(Cons_Unit_Costs[[#This Row],[Routine maintenance]]+Cons_Unit_Costs[[#This Row],[Planned maintenance]])/Cons_Unit_Costs[[#This Row],[Closing social housing units managed]],"")</f>
        <v>0.87415998265770645</v>
      </c>
      <c r="L130" s="156">
        <v>6861</v>
      </c>
      <c r="M130" s="156">
        <v>1204</v>
      </c>
      <c r="N130" s="157">
        <f>IF(Cons_Unit_Costs[[#This Row],[Closing social housing units managed]]&gt;0,(Cons_Unit_Costs[[#This Row],[Major repairs expenditure]]+Cons_Unit_Costs[[#This Row],[Capitalised major repairs expenditure for period]])/Cons_Unit_Costs[[#This Row],[Closing social housing units managed]],"")</f>
        <v>0.49338825059614133</v>
      </c>
      <c r="O130" s="156">
        <v>1726</v>
      </c>
      <c r="P130" s="156">
        <v>2826</v>
      </c>
      <c r="Q130"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1.9307392152612184</v>
      </c>
      <c r="R130" s="156">
        <v>7835</v>
      </c>
      <c r="S130" s="156">
        <v>8106</v>
      </c>
      <c r="T130" s="156">
        <v>1289</v>
      </c>
      <c r="U130" s="156">
        <v>583</v>
      </c>
      <c r="V130" s="156">
        <v>0</v>
      </c>
      <c r="W130" s="158">
        <v>5.9777676950998185E-2</v>
      </c>
      <c r="X130" s="158">
        <v>8.9950090744101638E-2</v>
      </c>
      <c r="Y130" s="156" t="s">
        <v>1256</v>
      </c>
      <c r="Z130" s="159"/>
      <c r="AA130" s="156" t="s">
        <v>1279</v>
      </c>
      <c r="AB130" s="156" t="s">
        <v>1261</v>
      </c>
      <c r="AC130" s="157">
        <v>0.92038375847935372</v>
      </c>
    </row>
    <row r="131" spans="1:29" x14ac:dyDescent="0.2">
      <c r="A131" s="153" t="s">
        <v>555</v>
      </c>
      <c r="B131" s="153" t="s">
        <v>556</v>
      </c>
      <c r="C131" s="154" t="s">
        <v>200</v>
      </c>
      <c r="D131" s="155">
        <v>6424</v>
      </c>
      <c r="E131"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25076</v>
      </c>
      <c r="F131" s="157">
        <f>IF(Cons_Unit_Costs[[#This Row],[Closing social housing units managed]]&gt;0,Cons_Unit_Costs[[#This Row],[Headline Social Housing Cost]]/Cons_Unit_Costs[[#This Row],[Closing social housing units managed]],"")</f>
        <v>3.9034869240348691</v>
      </c>
      <c r="G131" s="157">
        <f>IF(Cons_Unit_Costs[[#This Row],[Closing social housing units managed]]&gt;0,Cons_Unit_Costs[[#This Row],[Management]]/Cons_Unit_Costs[[#This Row],[Closing social housing units managed]],"")</f>
        <v>0.85647571606475714</v>
      </c>
      <c r="H131" s="156">
        <v>5502</v>
      </c>
      <c r="I131" s="157">
        <f>IF(Cons_Unit_Costs[[#This Row],[Closing social housing units managed]]&gt;0,Cons_Unit_Costs[[#This Row],[Service charge costs]]/Cons_Unit_Costs[[#This Row],[Closing social housing units managed]],"")</f>
        <v>0.25856164383561642</v>
      </c>
      <c r="J131" s="156">
        <v>1661</v>
      </c>
      <c r="K131" s="157">
        <f>IF(Cons_Unit_Costs[[#This Row],[Closing social housing units managed]]&gt;0,(Cons_Unit_Costs[[#This Row],[Routine maintenance]]+Cons_Unit_Costs[[#This Row],[Planned maintenance]])/Cons_Unit_Costs[[#This Row],[Closing social housing units managed]],"")</f>
        <v>0.96466376089663763</v>
      </c>
      <c r="L131" s="156">
        <v>3919</v>
      </c>
      <c r="M131" s="156">
        <v>2278</v>
      </c>
      <c r="N131" s="157">
        <f>IF(Cons_Unit_Costs[[#This Row],[Closing social housing units managed]]&gt;0,(Cons_Unit_Costs[[#This Row],[Major repairs expenditure]]+Cons_Unit_Costs[[#This Row],[Capitalised major repairs expenditure for period]])/Cons_Unit_Costs[[#This Row],[Closing social housing units managed]],"")</f>
        <v>1.2247820672478207</v>
      </c>
      <c r="O131" s="156">
        <v>4404</v>
      </c>
      <c r="P131" s="156">
        <v>3464</v>
      </c>
      <c r="Q131"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0.59900373599003731</v>
      </c>
      <c r="R131" s="156">
        <v>0</v>
      </c>
      <c r="S131" s="156">
        <v>3771</v>
      </c>
      <c r="T131" s="156">
        <v>77</v>
      </c>
      <c r="U131" s="156">
        <v>0</v>
      </c>
      <c r="V131" s="156">
        <v>0</v>
      </c>
      <c r="W131" s="158">
        <v>1.5409309791332263E-2</v>
      </c>
      <c r="X131" s="158">
        <v>0</v>
      </c>
      <c r="Y131" s="156" t="s">
        <v>1257</v>
      </c>
      <c r="Z131" s="159">
        <v>38754</v>
      </c>
      <c r="AA131" s="156" t="s">
        <v>1280</v>
      </c>
      <c r="AB131" s="156" t="s">
        <v>1265</v>
      </c>
      <c r="AC131" s="157">
        <v>0.96617455710897804</v>
      </c>
    </row>
    <row r="132" spans="1:29" x14ac:dyDescent="0.2">
      <c r="A132" s="153" t="s">
        <v>558</v>
      </c>
      <c r="B132" s="153" t="s">
        <v>559</v>
      </c>
      <c r="C132" s="154" t="s">
        <v>200</v>
      </c>
      <c r="D132" s="155">
        <v>4515</v>
      </c>
      <c r="E132"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8878</v>
      </c>
      <c r="F132" s="157">
        <f>IF(Cons_Unit_Costs[[#This Row],[Closing social housing units managed]]&gt;0,Cons_Unit_Costs[[#This Row],[Headline Social Housing Cost]]/Cons_Unit_Costs[[#This Row],[Closing social housing units managed]],"")</f>
        <v>1.9663344407530454</v>
      </c>
      <c r="G132" s="157">
        <f>IF(Cons_Unit_Costs[[#This Row],[Closing social housing units managed]]&gt;0,Cons_Unit_Costs[[#This Row],[Management]]/Cons_Unit_Costs[[#This Row],[Closing social housing units managed]],"")</f>
        <v>0.86954595791805089</v>
      </c>
      <c r="H132" s="156">
        <v>3926</v>
      </c>
      <c r="I132" s="157">
        <f>IF(Cons_Unit_Costs[[#This Row],[Closing social housing units managed]]&gt;0,Cons_Unit_Costs[[#This Row],[Service charge costs]]/Cons_Unit_Costs[[#This Row],[Closing social housing units managed]],"")</f>
        <v>0.14551495016611296</v>
      </c>
      <c r="J132" s="156">
        <v>657</v>
      </c>
      <c r="K132" s="157">
        <f>IF(Cons_Unit_Costs[[#This Row],[Closing social housing units managed]]&gt;0,(Cons_Unit_Costs[[#This Row],[Routine maintenance]]+Cons_Unit_Costs[[#This Row],[Planned maintenance]])/Cons_Unit_Costs[[#This Row],[Closing social housing units managed]],"")</f>
        <v>0.63433001107419718</v>
      </c>
      <c r="L132" s="156">
        <v>2084</v>
      </c>
      <c r="M132" s="156">
        <v>780</v>
      </c>
      <c r="N132" s="157">
        <f>IF(Cons_Unit_Costs[[#This Row],[Closing social housing units managed]]&gt;0,(Cons_Unit_Costs[[#This Row],[Major repairs expenditure]]+Cons_Unit_Costs[[#This Row],[Capitalised major repairs expenditure for period]])/Cons_Unit_Costs[[#This Row],[Closing social housing units managed]],"")</f>
        <v>0.31694352159468436</v>
      </c>
      <c r="O132" s="156">
        <v>185</v>
      </c>
      <c r="P132" s="156">
        <v>1246</v>
      </c>
      <c r="Q132"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v>
      </c>
      <c r="R132" s="156">
        <v>0</v>
      </c>
      <c r="S132" s="156">
        <v>0</v>
      </c>
      <c r="T132" s="156">
        <v>0</v>
      </c>
      <c r="U132" s="156">
        <v>0</v>
      </c>
      <c r="V132" s="156">
        <v>0</v>
      </c>
      <c r="W132" s="158">
        <v>3.1927023945267957E-3</v>
      </c>
      <c r="X132" s="158">
        <v>0.17126567844925883</v>
      </c>
      <c r="Y132" s="156" t="s">
        <v>1257</v>
      </c>
      <c r="Z132" s="159">
        <v>36563</v>
      </c>
      <c r="AA132" s="156" t="s">
        <v>1268</v>
      </c>
      <c r="AB132" s="156" t="s">
        <v>1265</v>
      </c>
      <c r="AC132" s="157">
        <v>0.96617455710897804</v>
      </c>
    </row>
    <row r="133" spans="1:29" x14ac:dyDescent="0.2">
      <c r="A133" s="153" t="s">
        <v>564</v>
      </c>
      <c r="B133" s="153" t="s">
        <v>563</v>
      </c>
      <c r="C133" s="154" t="s">
        <v>200</v>
      </c>
      <c r="D133" s="155">
        <v>4706</v>
      </c>
      <c r="E133"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26758</v>
      </c>
      <c r="F133" s="157">
        <f>IF(Cons_Unit_Costs[[#This Row],[Closing social housing units managed]]&gt;0,Cons_Unit_Costs[[#This Row],[Headline Social Housing Cost]]/Cons_Unit_Costs[[#This Row],[Closing social housing units managed]],"")</f>
        <v>5.6859328516787082</v>
      </c>
      <c r="G133" s="157">
        <f>IF(Cons_Unit_Costs[[#This Row],[Closing social housing units managed]]&gt;0,Cons_Unit_Costs[[#This Row],[Management]]/Cons_Unit_Costs[[#This Row],[Closing social housing units managed]],"")</f>
        <v>1.17700807479813</v>
      </c>
      <c r="H133" s="156">
        <v>5539</v>
      </c>
      <c r="I133" s="157">
        <f>IF(Cons_Unit_Costs[[#This Row],[Closing social housing units managed]]&gt;0,Cons_Unit_Costs[[#This Row],[Service charge costs]]/Cons_Unit_Costs[[#This Row],[Closing social housing units managed]],"")</f>
        <v>0.67445813854653636</v>
      </c>
      <c r="J133" s="156">
        <v>3174</v>
      </c>
      <c r="K133" s="157">
        <f>IF(Cons_Unit_Costs[[#This Row],[Closing social housing units managed]]&gt;0,(Cons_Unit_Costs[[#This Row],[Routine maintenance]]+Cons_Unit_Costs[[#This Row],[Planned maintenance]])/Cons_Unit_Costs[[#This Row],[Closing social housing units managed]],"")</f>
        <v>1.8684657883552911</v>
      </c>
      <c r="L133" s="156">
        <v>5519</v>
      </c>
      <c r="M133" s="156">
        <v>3274</v>
      </c>
      <c r="N133" s="157">
        <f>IF(Cons_Unit_Costs[[#This Row],[Closing social housing units managed]]&gt;0,(Cons_Unit_Costs[[#This Row],[Major repairs expenditure]]+Cons_Unit_Costs[[#This Row],[Capitalised major repairs expenditure for period]])/Cons_Unit_Costs[[#This Row],[Closing social housing units managed]],"")</f>
        <v>0.85210369740756486</v>
      </c>
      <c r="O133" s="156">
        <v>381</v>
      </c>
      <c r="P133" s="156">
        <v>3629</v>
      </c>
      <c r="Q133"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1.1138971525711858</v>
      </c>
      <c r="R133" s="156">
        <v>3223</v>
      </c>
      <c r="S133" s="156">
        <v>128</v>
      </c>
      <c r="T133" s="156">
        <v>1891</v>
      </c>
      <c r="U133" s="156">
        <v>0</v>
      </c>
      <c r="V133" s="156">
        <v>0</v>
      </c>
      <c r="W133" s="158">
        <v>5.536875140103116E-2</v>
      </c>
      <c r="X133" s="158">
        <v>2.8693118134947321E-2</v>
      </c>
      <c r="Y133" s="156" t="s">
        <v>1256</v>
      </c>
      <c r="Z133" s="159"/>
      <c r="AA133" s="156" t="s">
        <v>1279</v>
      </c>
      <c r="AB133" s="156" t="s">
        <v>1267</v>
      </c>
      <c r="AC133" s="157">
        <v>1.2488627787394371</v>
      </c>
    </row>
    <row r="134" spans="1:29" x14ac:dyDescent="0.2">
      <c r="A134" s="160" t="s">
        <v>567</v>
      </c>
      <c r="B134" s="153" t="s">
        <v>568</v>
      </c>
      <c r="C134" s="154" t="s">
        <v>200</v>
      </c>
      <c r="D134" s="155">
        <v>1004</v>
      </c>
      <c r="E13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16969</v>
      </c>
      <c r="F134" s="157">
        <f>IF(Cons_Unit_Costs[[#This Row],[Closing social housing units managed]]&gt;0,Cons_Unit_Costs[[#This Row],[Headline Social Housing Cost]]/Cons_Unit_Costs[[#This Row],[Closing social housing units managed]],"")</f>
        <v>16.901394422310759</v>
      </c>
      <c r="G134" s="157">
        <f>IF(Cons_Unit_Costs[[#This Row],[Closing social housing units managed]]&gt;0,Cons_Unit_Costs[[#This Row],[Management]]/Cons_Unit_Costs[[#This Row],[Closing social housing units managed]],"")</f>
        <v>2.2908366533864542E-2</v>
      </c>
      <c r="H134" s="156">
        <v>23</v>
      </c>
      <c r="I134" s="157">
        <f>IF(Cons_Unit_Costs[[#This Row],[Closing social housing units managed]]&gt;0,Cons_Unit_Costs[[#This Row],[Service charge costs]]/Cons_Unit_Costs[[#This Row],[Closing social housing units managed]],"")</f>
        <v>0</v>
      </c>
      <c r="J134" s="156">
        <v>0</v>
      </c>
      <c r="K134" s="157">
        <f>IF(Cons_Unit_Costs[[#This Row],[Closing social housing units managed]]&gt;0,(Cons_Unit_Costs[[#This Row],[Routine maintenance]]+Cons_Unit_Costs[[#This Row],[Planned maintenance]])/Cons_Unit_Costs[[#This Row],[Closing social housing units managed]],"")</f>
        <v>0</v>
      </c>
      <c r="L134" s="156">
        <v>0</v>
      </c>
      <c r="M134" s="156">
        <v>0</v>
      </c>
      <c r="N134" s="157">
        <f>IF(Cons_Unit_Costs[[#This Row],[Closing social housing units managed]]&gt;0,(Cons_Unit_Costs[[#This Row],[Major repairs expenditure]]+Cons_Unit_Costs[[#This Row],[Capitalised major repairs expenditure for period]])/Cons_Unit_Costs[[#This Row],[Closing social housing units managed]],"")</f>
        <v>0</v>
      </c>
      <c r="O134" s="156">
        <v>0</v>
      </c>
      <c r="P134" s="156">
        <v>0</v>
      </c>
      <c r="Q13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16.878486055776893</v>
      </c>
      <c r="R134" s="156">
        <v>16946</v>
      </c>
      <c r="S134" s="156">
        <v>0</v>
      </c>
      <c r="T134" s="156">
        <v>0</v>
      </c>
      <c r="U134" s="156">
        <v>0</v>
      </c>
      <c r="V134" s="156">
        <v>0</v>
      </c>
      <c r="W134" s="158">
        <v>0</v>
      </c>
      <c r="X134" s="158">
        <v>0</v>
      </c>
      <c r="Y134" s="156" t="s">
        <v>1256</v>
      </c>
      <c r="Z134" s="159"/>
      <c r="AA134" s="156" t="s">
        <v>1279</v>
      </c>
      <c r="AB134" s="156" t="s">
        <v>1267</v>
      </c>
      <c r="AC134" s="157">
        <v>1.1077561463478063</v>
      </c>
    </row>
    <row r="135" spans="1:29" x14ac:dyDescent="0.2">
      <c r="A135" s="153" t="s">
        <v>130</v>
      </c>
      <c r="B135" s="153" t="s">
        <v>129</v>
      </c>
      <c r="C135" s="154" t="s">
        <v>200</v>
      </c>
      <c r="D135" s="155">
        <v>14900</v>
      </c>
      <c r="E13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93615</v>
      </c>
      <c r="F135" s="157">
        <f>IF(Cons_Unit_Costs[[#This Row],[Closing social housing units managed]]&gt;0,Cons_Unit_Costs[[#This Row],[Headline Social Housing Cost]]/Cons_Unit_Costs[[#This Row],[Closing social housing units managed]],"")</f>
        <v>6.2828859060402689</v>
      </c>
      <c r="G135" s="157">
        <f>IF(Cons_Unit_Costs[[#This Row],[Closing social housing units managed]]&gt;0,Cons_Unit_Costs[[#This Row],[Management]]/Cons_Unit_Costs[[#This Row],[Closing social housing units managed]],"")</f>
        <v>1.1451006711409395</v>
      </c>
      <c r="H135" s="156">
        <v>17062</v>
      </c>
      <c r="I135" s="157">
        <f>IF(Cons_Unit_Costs[[#This Row],[Closing social housing units managed]]&gt;0,Cons_Unit_Costs[[#This Row],[Service charge costs]]/Cons_Unit_Costs[[#This Row],[Closing social housing units managed]],"")</f>
        <v>1.3044966442953021</v>
      </c>
      <c r="J135" s="156">
        <v>19437</v>
      </c>
      <c r="K135" s="157">
        <f>IF(Cons_Unit_Costs[[#This Row],[Closing social housing units managed]]&gt;0,(Cons_Unit_Costs[[#This Row],[Routine maintenance]]+Cons_Unit_Costs[[#This Row],[Planned maintenance]])/Cons_Unit_Costs[[#This Row],[Closing social housing units managed]],"")</f>
        <v>1.3512751677852348</v>
      </c>
      <c r="L135" s="156">
        <v>12602</v>
      </c>
      <c r="M135" s="156">
        <v>7532</v>
      </c>
      <c r="N135" s="157">
        <f>IF(Cons_Unit_Costs[[#This Row],[Closing social housing units managed]]&gt;0,(Cons_Unit_Costs[[#This Row],[Major repairs expenditure]]+Cons_Unit_Costs[[#This Row],[Capitalised major repairs expenditure for period]])/Cons_Unit_Costs[[#This Row],[Closing social housing units managed]],"")</f>
        <v>0.58134228187919468</v>
      </c>
      <c r="O135" s="156">
        <v>5840</v>
      </c>
      <c r="P135" s="156">
        <v>2822</v>
      </c>
      <c r="Q13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1.9006711409395973</v>
      </c>
      <c r="R135" s="156">
        <v>1749</v>
      </c>
      <c r="S135" s="156">
        <v>24163</v>
      </c>
      <c r="T135" s="156">
        <v>0</v>
      </c>
      <c r="U135" s="156">
        <v>1396</v>
      </c>
      <c r="V135" s="156">
        <v>1012</v>
      </c>
      <c r="W135" s="158">
        <v>0.12622720897615708</v>
      </c>
      <c r="X135" s="158">
        <v>2.337540906965872E-2</v>
      </c>
      <c r="Y135" s="156" t="s">
        <v>1256</v>
      </c>
      <c r="Z135" s="159"/>
      <c r="AA135" s="156" t="s">
        <v>1279</v>
      </c>
      <c r="AB135" s="156" t="s">
        <v>1267</v>
      </c>
      <c r="AC135" s="157">
        <v>1.2254446299707966</v>
      </c>
    </row>
    <row r="136" spans="1:29" x14ac:dyDescent="0.2">
      <c r="A136" s="153" t="s">
        <v>569</v>
      </c>
      <c r="B136" s="153" t="s">
        <v>570</v>
      </c>
      <c r="C136" s="154" t="s">
        <v>200</v>
      </c>
      <c r="D136" s="155">
        <v>11961</v>
      </c>
      <c r="E13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30881</v>
      </c>
      <c r="F136" s="157">
        <f>IF(Cons_Unit_Costs[[#This Row],[Closing social housing units managed]]&gt;0,Cons_Unit_Costs[[#This Row],[Headline Social Housing Cost]]/Cons_Unit_Costs[[#This Row],[Closing social housing units managed]],"")</f>
        <v>2.5818075411754871</v>
      </c>
      <c r="G136" s="157">
        <f>IF(Cons_Unit_Costs[[#This Row],[Closing social housing units managed]]&gt;0,Cons_Unit_Costs[[#This Row],[Management]]/Cons_Unit_Costs[[#This Row],[Closing social housing units managed]],"")</f>
        <v>1.0626201822590085</v>
      </c>
      <c r="H136" s="156">
        <v>12710</v>
      </c>
      <c r="I136" s="157">
        <f>IF(Cons_Unit_Costs[[#This Row],[Closing social housing units managed]]&gt;0,Cons_Unit_Costs[[#This Row],[Service charge costs]]/Cons_Unit_Costs[[#This Row],[Closing social housing units managed]],"")</f>
        <v>0.21545021319287685</v>
      </c>
      <c r="J136" s="156">
        <v>2577</v>
      </c>
      <c r="K136" s="157">
        <f>IF(Cons_Unit_Costs[[#This Row],[Closing social housing units managed]]&gt;0,(Cons_Unit_Costs[[#This Row],[Routine maintenance]]+Cons_Unit_Costs[[#This Row],[Planned maintenance]])/Cons_Unit_Costs[[#This Row],[Closing social housing units managed]],"")</f>
        <v>0.66516177577125657</v>
      </c>
      <c r="L136" s="156">
        <v>6400</v>
      </c>
      <c r="M136" s="156">
        <v>1556</v>
      </c>
      <c r="N136" s="157">
        <f>IF(Cons_Unit_Costs[[#This Row],[Closing social housing units managed]]&gt;0,(Cons_Unit_Costs[[#This Row],[Major repairs expenditure]]+Cons_Unit_Costs[[#This Row],[Capitalised major repairs expenditure for period]])/Cons_Unit_Costs[[#This Row],[Closing social housing units managed]],"")</f>
        <v>0.39260931360254159</v>
      </c>
      <c r="O136" s="156">
        <v>2467</v>
      </c>
      <c r="P136" s="156">
        <v>2229</v>
      </c>
      <c r="Q13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0.24596605634980354</v>
      </c>
      <c r="R136" s="156">
        <v>2660</v>
      </c>
      <c r="S136" s="156">
        <v>86</v>
      </c>
      <c r="T136" s="156">
        <v>0</v>
      </c>
      <c r="U136" s="156">
        <v>196</v>
      </c>
      <c r="V136" s="156">
        <v>0</v>
      </c>
      <c r="W136" s="158">
        <v>6.6884039796003675E-4</v>
      </c>
      <c r="X136" s="158">
        <v>2.090126243625115E-2</v>
      </c>
      <c r="Y136" s="156" t="s">
        <v>1258</v>
      </c>
      <c r="Z136" s="159">
        <v>39902</v>
      </c>
      <c r="AA136" s="156" t="s">
        <v>1280</v>
      </c>
      <c r="AB136" s="156" t="s">
        <v>1262</v>
      </c>
      <c r="AC136" s="157">
        <v>0.9156653862445665</v>
      </c>
    </row>
    <row r="137" spans="1:29" x14ac:dyDescent="0.2">
      <c r="A137" s="160" t="s">
        <v>132</v>
      </c>
      <c r="B137" s="153" t="s">
        <v>131</v>
      </c>
      <c r="C137" s="154" t="s">
        <v>200</v>
      </c>
      <c r="D137" s="155">
        <v>12332</v>
      </c>
      <c r="E13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42551</v>
      </c>
      <c r="F137" s="157">
        <f>IF(Cons_Unit_Costs[[#This Row],[Closing social housing units managed]]&gt;0,Cons_Unit_Costs[[#This Row],[Headline Social Housing Cost]]/Cons_Unit_Costs[[#This Row],[Closing social housing units managed]],"")</f>
        <v>3.4504541031462859</v>
      </c>
      <c r="G137" s="157">
        <f>IF(Cons_Unit_Costs[[#This Row],[Closing social housing units managed]]&gt;0,Cons_Unit_Costs[[#This Row],[Management]]/Cons_Unit_Costs[[#This Row],[Closing social housing units managed]],"")</f>
        <v>0.93083036003892317</v>
      </c>
      <c r="H137" s="156">
        <v>11479</v>
      </c>
      <c r="I137" s="157">
        <f>IF(Cons_Unit_Costs[[#This Row],[Closing social housing units managed]]&gt;0,Cons_Unit_Costs[[#This Row],[Service charge costs]]/Cons_Unit_Costs[[#This Row],[Closing social housing units managed]],"")</f>
        <v>0.2645961725591956</v>
      </c>
      <c r="J137" s="156">
        <v>3263</v>
      </c>
      <c r="K137" s="157">
        <f>IF(Cons_Unit_Costs[[#This Row],[Closing social housing units managed]]&gt;0,(Cons_Unit_Costs[[#This Row],[Routine maintenance]]+Cons_Unit_Costs[[#This Row],[Planned maintenance]])/Cons_Unit_Costs[[#This Row],[Closing social housing units managed]],"")</f>
        <v>1.1160395718456049</v>
      </c>
      <c r="L137" s="156">
        <v>4286</v>
      </c>
      <c r="M137" s="156">
        <v>9477</v>
      </c>
      <c r="N137" s="157">
        <f>IF(Cons_Unit_Costs[[#This Row],[Closing social housing units managed]]&gt;0,(Cons_Unit_Costs[[#This Row],[Major repairs expenditure]]+Cons_Unit_Costs[[#This Row],[Capitalised major repairs expenditure for period]])/Cons_Unit_Costs[[#This Row],[Closing social housing units managed]],"")</f>
        <v>1.0861174180992539</v>
      </c>
      <c r="O137" s="156">
        <v>7800</v>
      </c>
      <c r="P137" s="156">
        <v>5594</v>
      </c>
      <c r="Q13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5.2870580603308466E-2</v>
      </c>
      <c r="R137" s="156">
        <v>652</v>
      </c>
      <c r="S137" s="156">
        <v>0</v>
      </c>
      <c r="T137" s="156">
        <v>0</v>
      </c>
      <c r="U137" s="156">
        <v>0</v>
      </c>
      <c r="V137" s="156">
        <v>0</v>
      </c>
      <c r="W137" s="158">
        <v>8.5955238404151799E-2</v>
      </c>
      <c r="X137" s="158">
        <v>0</v>
      </c>
      <c r="Y137" s="156" t="s">
        <v>1257</v>
      </c>
      <c r="Z137" s="159">
        <v>39020</v>
      </c>
      <c r="AA137" s="156" t="s">
        <v>1280</v>
      </c>
      <c r="AB137" s="156" t="s">
        <v>1262</v>
      </c>
      <c r="AC137" s="157">
        <v>0.9156653862445665</v>
      </c>
    </row>
    <row r="138" spans="1:29" x14ac:dyDescent="0.2">
      <c r="A138" s="153" t="s">
        <v>571</v>
      </c>
      <c r="B138" s="153" t="s">
        <v>572</v>
      </c>
      <c r="C138" s="154" t="s">
        <v>200</v>
      </c>
      <c r="D138" s="155">
        <v>9981</v>
      </c>
      <c r="E13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22403</v>
      </c>
      <c r="F138" s="157">
        <f>IF(Cons_Unit_Costs[[#This Row],[Closing social housing units managed]]&gt;0,Cons_Unit_Costs[[#This Row],[Headline Social Housing Cost]]/Cons_Unit_Costs[[#This Row],[Closing social housing units managed]],"")</f>
        <v>2.2445646728784689</v>
      </c>
      <c r="G138" s="157">
        <f>IF(Cons_Unit_Costs[[#This Row],[Closing social housing units managed]]&gt;0,Cons_Unit_Costs[[#This Row],[Management]]/Cons_Unit_Costs[[#This Row],[Closing social housing units managed]],"")</f>
        <v>0.42911531910630196</v>
      </c>
      <c r="H138" s="156">
        <v>4283</v>
      </c>
      <c r="I138" s="157">
        <f>IF(Cons_Unit_Costs[[#This Row],[Closing social housing units managed]]&gt;0,Cons_Unit_Costs[[#This Row],[Service charge costs]]/Cons_Unit_Costs[[#This Row],[Closing social housing units managed]],"")</f>
        <v>0.17433122933573791</v>
      </c>
      <c r="J138" s="156">
        <v>1740</v>
      </c>
      <c r="K138" s="157">
        <f>IF(Cons_Unit_Costs[[#This Row],[Closing social housing units managed]]&gt;0,(Cons_Unit_Costs[[#This Row],[Routine maintenance]]+Cons_Unit_Costs[[#This Row],[Planned maintenance]])/Cons_Unit_Costs[[#This Row],[Closing social housing units managed]],"")</f>
        <v>0.66316000400761443</v>
      </c>
      <c r="L138" s="156">
        <v>5189</v>
      </c>
      <c r="M138" s="156">
        <v>1430</v>
      </c>
      <c r="N138" s="157">
        <f>IF(Cons_Unit_Costs[[#This Row],[Closing social housing units managed]]&gt;0,(Cons_Unit_Costs[[#This Row],[Major repairs expenditure]]+Cons_Unit_Costs[[#This Row],[Capitalised major repairs expenditure for period]])/Cons_Unit_Costs[[#This Row],[Closing social housing units managed]],"")</f>
        <v>0.89239555154794103</v>
      </c>
      <c r="O138" s="156">
        <v>2499</v>
      </c>
      <c r="P138" s="156">
        <v>6408</v>
      </c>
      <c r="Q13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8.5562568880873657E-2</v>
      </c>
      <c r="R138" s="156">
        <v>854</v>
      </c>
      <c r="S138" s="156">
        <v>0</v>
      </c>
      <c r="T138" s="156">
        <v>0</v>
      </c>
      <c r="U138" s="156">
        <v>0</v>
      </c>
      <c r="V138" s="156">
        <v>0</v>
      </c>
      <c r="W138" s="158">
        <v>0</v>
      </c>
      <c r="X138" s="158">
        <v>0</v>
      </c>
      <c r="Y138" s="156" t="s">
        <v>1257</v>
      </c>
      <c r="Z138" s="159">
        <v>39139</v>
      </c>
      <c r="AA138" s="156" t="s">
        <v>1280</v>
      </c>
      <c r="AB138" s="156" t="s">
        <v>1264</v>
      </c>
      <c r="AC138" s="157">
        <v>0.94806196649645436</v>
      </c>
    </row>
    <row r="139" spans="1:29" x14ac:dyDescent="0.2">
      <c r="A139" s="153" t="s">
        <v>727</v>
      </c>
      <c r="B139" s="153" t="s">
        <v>864</v>
      </c>
      <c r="C139" s="154" t="s">
        <v>200</v>
      </c>
      <c r="D139" s="155">
        <v>35912</v>
      </c>
      <c r="E139"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116677</v>
      </c>
      <c r="F139" s="157">
        <f>IF(Cons_Unit_Costs[[#This Row],[Closing social housing units managed]]&gt;0,Cons_Unit_Costs[[#This Row],[Headline Social Housing Cost]]/Cons_Unit_Costs[[#This Row],[Closing social housing units managed]],"")</f>
        <v>3.248969703720205</v>
      </c>
      <c r="G139" s="157">
        <f>IF(Cons_Unit_Costs[[#This Row],[Closing social housing units managed]]&gt;0,Cons_Unit_Costs[[#This Row],[Management]]/Cons_Unit_Costs[[#This Row],[Closing social housing units managed]],"")</f>
        <v>0.7623357095121408</v>
      </c>
      <c r="H139" s="156">
        <v>27377</v>
      </c>
      <c r="I139" s="157">
        <f>IF(Cons_Unit_Costs[[#This Row],[Closing social housing units managed]]&gt;0,Cons_Unit_Costs[[#This Row],[Service charge costs]]/Cons_Unit_Costs[[#This Row],[Closing social housing units managed]],"")</f>
        <v>0.33259077745600357</v>
      </c>
      <c r="J139" s="156">
        <v>11944</v>
      </c>
      <c r="K139" s="157">
        <f>IF(Cons_Unit_Costs[[#This Row],[Closing social housing units managed]]&gt;0,(Cons_Unit_Costs[[#This Row],[Routine maintenance]]+Cons_Unit_Costs[[#This Row],[Planned maintenance]])/Cons_Unit_Costs[[#This Row],[Closing social housing units managed]],"")</f>
        <v>1.2785976832256627</v>
      </c>
      <c r="L139" s="156">
        <v>28729</v>
      </c>
      <c r="M139" s="156">
        <v>17188</v>
      </c>
      <c r="N139" s="157">
        <f>IF(Cons_Unit_Costs[[#This Row],[Closing social housing units managed]]&gt;0,(Cons_Unit_Costs[[#This Row],[Major repairs expenditure]]+Cons_Unit_Costs[[#This Row],[Capitalised major repairs expenditure for period]])/Cons_Unit_Costs[[#This Row],[Closing social housing units managed]],"")</f>
        <v>0.72775116952550678</v>
      </c>
      <c r="O139" s="156">
        <v>2604</v>
      </c>
      <c r="P139" s="156">
        <v>23531</v>
      </c>
      <c r="Q139"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0.14769436400089106</v>
      </c>
      <c r="R139" s="156">
        <v>1501</v>
      </c>
      <c r="S139" s="156">
        <v>0</v>
      </c>
      <c r="T139" s="156">
        <v>244</v>
      </c>
      <c r="U139" s="156">
        <v>2170</v>
      </c>
      <c r="V139" s="156">
        <v>1389</v>
      </c>
      <c r="W139" s="158">
        <v>5.2478622925166266E-2</v>
      </c>
      <c r="X139" s="158">
        <v>0.10884144637567764</v>
      </c>
      <c r="Y139" s="156" t="s">
        <v>1258</v>
      </c>
      <c r="Z139" s="159">
        <v>38390</v>
      </c>
      <c r="AA139" s="156" t="s">
        <v>1268</v>
      </c>
      <c r="AB139" s="156" t="s">
        <v>1262</v>
      </c>
      <c r="AC139" s="157">
        <v>0.9156659182218182</v>
      </c>
    </row>
    <row r="140" spans="1:29" x14ac:dyDescent="0.2">
      <c r="A140" s="153" t="s">
        <v>574</v>
      </c>
      <c r="B140" s="153" t="s">
        <v>575</v>
      </c>
      <c r="C140" s="154" t="s">
        <v>200</v>
      </c>
      <c r="D140" s="155">
        <v>40562</v>
      </c>
      <c r="E140"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132880</v>
      </c>
      <c r="F140" s="157">
        <f>IF(Cons_Unit_Costs[[#This Row],[Closing social housing units managed]]&gt;0,Cons_Unit_Costs[[#This Row],[Headline Social Housing Cost]]/Cons_Unit_Costs[[#This Row],[Closing social housing units managed]],"")</f>
        <v>3.2759725851782457</v>
      </c>
      <c r="G140" s="157">
        <f>IF(Cons_Unit_Costs[[#This Row],[Closing social housing units managed]]&gt;0,Cons_Unit_Costs[[#This Row],[Management]]/Cons_Unit_Costs[[#This Row],[Closing social housing units managed]],"")</f>
        <v>0.55788669197771312</v>
      </c>
      <c r="H140" s="156">
        <v>22629</v>
      </c>
      <c r="I140" s="157">
        <f>IF(Cons_Unit_Costs[[#This Row],[Closing social housing units managed]]&gt;0,Cons_Unit_Costs[[#This Row],[Service charge costs]]/Cons_Unit_Costs[[#This Row],[Closing social housing units managed]],"")</f>
        <v>0.42029485725555937</v>
      </c>
      <c r="J140" s="156">
        <v>17048</v>
      </c>
      <c r="K140" s="157">
        <f>IF(Cons_Unit_Costs[[#This Row],[Closing social housing units managed]]&gt;0,(Cons_Unit_Costs[[#This Row],[Routine maintenance]]+Cons_Unit_Costs[[#This Row],[Planned maintenance]])/Cons_Unit_Costs[[#This Row],[Closing social housing units managed]],"")</f>
        <v>1.3212119717962625</v>
      </c>
      <c r="L140" s="156">
        <v>29136</v>
      </c>
      <c r="M140" s="156">
        <v>24455</v>
      </c>
      <c r="N140" s="157">
        <f>IF(Cons_Unit_Costs[[#This Row],[Closing social housing units managed]]&gt;0,(Cons_Unit_Costs[[#This Row],[Major repairs expenditure]]+Cons_Unit_Costs[[#This Row],[Capitalised major repairs expenditure for period]])/Cons_Unit_Costs[[#This Row],[Closing social housing units managed]],"")</f>
        <v>0.43146294561412157</v>
      </c>
      <c r="O140" s="156">
        <v>0</v>
      </c>
      <c r="P140" s="156">
        <v>17501</v>
      </c>
      <c r="Q140"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0.54511611853458908</v>
      </c>
      <c r="R140" s="156">
        <v>618</v>
      </c>
      <c r="S140" s="156">
        <v>2846</v>
      </c>
      <c r="T140" s="156">
        <v>18647</v>
      </c>
      <c r="U140" s="156">
        <v>0</v>
      </c>
      <c r="V140" s="156">
        <v>0</v>
      </c>
      <c r="W140" s="158">
        <v>1.7340325533072774E-2</v>
      </c>
      <c r="X140" s="158">
        <v>6.8297630237965659E-2</v>
      </c>
      <c r="Y140" s="156" t="s">
        <v>1256</v>
      </c>
      <c r="Z140" s="159"/>
      <c r="AA140" s="156" t="s">
        <v>1279</v>
      </c>
      <c r="AB140" s="156" t="s">
        <v>1258</v>
      </c>
      <c r="AC140" s="157">
        <v>0.99842451079676231</v>
      </c>
    </row>
    <row r="141" spans="1:29" x14ac:dyDescent="0.2">
      <c r="A141" s="153" t="s">
        <v>579</v>
      </c>
      <c r="B141" s="153" t="s">
        <v>580</v>
      </c>
      <c r="C141" s="154" t="s">
        <v>200</v>
      </c>
      <c r="D141" s="155">
        <v>5954</v>
      </c>
      <c r="E141"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39376</v>
      </c>
      <c r="F141" s="157">
        <f>IF(Cons_Unit_Costs[[#This Row],[Closing social housing units managed]]&gt;0,Cons_Unit_Costs[[#This Row],[Headline Social Housing Cost]]/Cons_Unit_Costs[[#This Row],[Closing social housing units managed]],"")</f>
        <v>6.613369163587504</v>
      </c>
      <c r="G141" s="157">
        <f>IF(Cons_Unit_Costs[[#This Row],[Closing social housing units managed]]&gt;0,Cons_Unit_Costs[[#This Row],[Management]]/Cons_Unit_Costs[[#This Row],[Closing social housing units managed]],"")</f>
        <v>0.80399731273093722</v>
      </c>
      <c r="H141" s="156">
        <v>4787</v>
      </c>
      <c r="I141" s="157">
        <f>IF(Cons_Unit_Costs[[#This Row],[Closing social housing units managed]]&gt;0,Cons_Unit_Costs[[#This Row],[Service charge costs]]/Cons_Unit_Costs[[#This Row],[Closing social housing units managed]],"")</f>
        <v>0.9126637554585153</v>
      </c>
      <c r="J141" s="156">
        <v>5434</v>
      </c>
      <c r="K141" s="157">
        <f>IF(Cons_Unit_Costs[[#This Row],[Closing social housing units managed]]&gt;0,(Cons_Unit_Costs[[#This Row],[Routine maintenance]]+Cons_Unit_Costs[[#This Row],[Planned maintenance]])/Cons_Unit_Costs[[#This Row],[Closing social housing units managed]],"")</f>
        <v>1.2316090023513604</v>
      </c>
      <c r="L141" s="156">
        <v>3706</v>
      </c>
      <c r="M141" s="156">
        <v>3627</v>
      </c>
      <c r="N141" s="157">
        <f>IF(Cons_Unit_Costs[[#This Row],[Closing social housing units managed]]&gt;0,(Cons_Unit_Costs[[#This Row],[Major repairs expenditure]]+Cons_Unit_Costs[[#This Row],[Capitalised major repairs expenditure for period]])/Cons_Unit_Costs[[#This Row],[Closing social housing units managed]],"")</f>
        <v>2.321464561639234</v>
      </c>
      <c r="O141" s="156">
        <v>0</v>
      </c>
      <c r="P141" s="156">
        <v>13822</v>
      </c>
      <c r="Q141"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1.3436345314074571</v>
      </c>
      <c r="R141" s="156">
        <v>5987</v>
      </c>
      <c r="S141" s="156">
        <v>1452</v>
      </c>
      <c r="T141" s="156">
        <v>0</v>
      </c>
      <c r="U141" s="156">
        <v>247</v>
      </c>
      <c r="V141" s="156">
        <v>314</v>
      </c>
      <c r="W141" s="158">
        <v>4.9014567266495286E-2</v>
      </c>
      <c r="X141" s="158">
        <v>6.5124250214224508E-2</v>
      </c>
      <c r="Y141" s="156" t="s">
        <v>1256</v>
      </c>
      <c r="Z141" s="159"/>
      <c r="AA141" s="156" t="s">
        <v>1279</v>
      </c>
      <c r="AB141" s="156" t="s">
        <v>1267</v>
      </c>
      <c r="AC141" s="157">
        <v>1.1987956370899826</v>
      </c>
    </row>
    <row r="142" spans="1:29" x14ac:dyDescent="0.2">
      <c r="A142" s="153" t="s">
        <v>137</v>
      </c>
      <c r="B142" s="153" t="s">
        <v>135</v>
      </c>
      <c r="C142" s="154" t="s">
        <v>201</v>
      </c>
      <c r="D142" s="155">
        <v>3693</v>
      </c>
      <c r="E142"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18056</v>
      </c>
      <c r="F142" s="157">
        <f>IF(Cons_Unit_Costs[[#This Row],[Closing social housing units managed]]&gt;0,Cons_Unit_Costs[[#This Row],[Headline Social Housing Cost]]/Cons_Unit_Costs[[#This Row],[Closing social housing units managed]],"")</f>
        <v>4.8892499323043594</v>
      </c>
      <c r="G142" s="157">
        <f>IF(Cons_Unit_Costs[[#This Row],[Closing social housing units managed]]&gt;0,Cons_Unit_Costs[[#This Row],[Management]]/Cons_Unit_Costs[[#This Row],[Closing social housing units managed]],"")</f>
        <v>1.2209585702680747</v>
      </c>
      <c r="H142" s="156">
        <v>4509</v>
      </c>
      <c r="I142" s="157">
        <f>IF(Cons_Unit_Costs[[#This Row],[Closing social housing units managed]]&gt;0,Cons_Unit_Costs[[#This Row],[Service charge costs]]/Cons_Unit_Costs[[#This Row],[Closing social housing units managed]],"")</f>
        <v>0.49580287029515302</v>
      </c>
      <c r="J142" s="156">
        <v>1831</v>
      </c>
      <c r="K142" s="157">
        <f>IF(Cons_Unit_Costs[[#This Row],[Closing social housing units managed]]&gt;0,(Cons_Unit_Costs[[#This Row],[Routine maintenance]]+Cons_Unit_Costs[[#This Row],[Planned maintenance]])/Cons_Unit_Costs[[#This Row],[Closing social housing units managed]],"")</f>
        <v>1.0243704305442729</v>
      </c>
      <c r="L142" s="156">
        <v>2225</v>
      </c>
      <c r="M142" s="156">
        <v>1558</v>
      </c>
      <c r="N142" s="157">
        <f>IF(Cons_Unit_Costs[[#This Row],[Closing social housing units managed]]&gt;0,(Cons_Unit_Costs[[#This Row],[Major repairs expenditure]]+Cons_Unit_Costs[[#This Row],[Capitalised major repairs expenditure for period]])/Cons_Unit_Costs[[#This Row],[Closing social housing units managed]],"")</f>
        <v>0.41402653669103712</v>
      </c>
      <c r="O142" s="156">
        <v>0</v>
      </c>
      <c r="P142" s="156">
        <v>1529</v>
      </c>
      <c r="Q142"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1.7340915245058219</v>
      </c>
      <c r="R142" s="156">
        <v>316</v>
      </c>
      <c r="S142" s="156">
        <v>2747</v>
      </c>
      <c r="T142" s="156">
        <v>3341</v>
      </c>
      <c r="U142" s="156">
        <v>0</v>
      </c>
      <c r="V142" s="156">
        <v>0</v>
      </c>
      <c r="W142" s="158">
        <v>9.5410292072322669E-2</v>
      </c>
      <c r="X142" s="158">
        <v>0.12906815020862308</v>
      </c>
      <c r="Y142" s="156" t="s">
        <v>1256</v>
      </c>
      <c r="Z142" s="159"/>
      <c r="AA142" s="156" t="s">
        <v>1279</v>
      </c>
      <c r="AB142" s="156" t="s">
        <v>1263</v>
      </c>
      <c r="AC142" s="157">
        <v>1.0022399874355168</v>
      </c>
    </row>
    <row r="143" spans="1:29" x14ac:dyDescent="0.2">
      <c r="A143" s="153" t="s">
        <v>141</v>
      </c>
      <c r="B143" s="153" t="s">
        <v>140</v>
      </c>
      <c r="C143" s="154" t="s">
        <v>200</v>
      </c>
      <c r="D143" s="155">
        <v>14045</v>
      </c>
      <c r="E143"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38235</v>
      </c>
      <c r="F143" s="157">
        <f>IF(Cons_Unit_Costs[[#This Row],[Closing social housing units managed]]&gt;0,Cons_Unit_Costs[[#This Row],[Headline Social Housing Cost]]/Cons_Unit_Costs[[#This Row],[Closing social housing units managed]],"")</f>
        <v>2.7223211107155572</v>
      </c>
      <c r="G143" s="157">
        <f>IF(Cons_Unit_Costs[[#This Row],[Closing social housing units managed]]&gt;0,Cons_Unit_Costs[[#This Row],[Management]]/Cons_Unit_Costs[[#This Row],[Closing social housing units managed]],"")</f>
        <v>0.43794944820220721</v>
      </c>
      <c r="H143" s="156">
        <v>6151</v>
      </c>
      <c r="I143" s="157">
        <f>IF(Cons_Unit_Costs[[#This Row],[Closing social housing units managed]]&gt;0,Cons_Unit_Costs[[#This Row],[Service charge costs]]/Cons_Unit_Costs[[#This Row],[Closing social housing units managed]],"")</f>
        <v>0.29967960128159488</v>
      </c>
      <c r="J143" s="156">
        <v>4209</v>
      </c>
      <c r="K143" s="157">
        <f>IF(Cons_Unit_Costs[[#This Row],[Closing social housing units managed]]&gt;0,(Cons_Unit_Costs[[#This Row],[Routine maintenance]]+Cons_Unit_Costs[[#This Row],[Planned maintenance]])/Cons_Unit_Costs[[#This Row],[Closing social housing units managed]],"")</f>
        <v>0.96660733357066575</v>
      </c>
      <c r="L143" s="156">
        <v>7724</v>
      </c>
      <c r="M143" s="156">
        <v>5852</v>
      </c>
      <c r="N143" s="157">
        <f>IF(Cons_Unit_Costs[[#This Row],[Closing social housing units managed]]&gt;0,(Cons_Unit_Costs[[#This Row],[Major repairs expenditure]]+Cons_Unit_Costs[[#This Row],[Capitalised major repairs expenditure for period]])/Cons_Unit_Costs[[#This Row],[Closing social housing units managed]],"")</f>
        <v>0.39373442506229978</v>
      </c>
      <c r="O143" s="156">
        <v>0</v>
      </c>
      <c r="P143" s="156">
        <v>5530</v>
      </c>
      <c r="Q143"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0.62435030259878965</v>
      </c>
      <c r="R143" s="156">
        <v>7453</v>
      </c>
      <c r="S143" s="156">
        <v>0</v>
      </c>
      <c r="T143" s="156">
        <v>1062</v>
      </c>
      <c r="U143" s="156">
        <v>254</v>
      </c>
      <c r="V143" s="156">
        <v>0</v>
      </c>
      <c r="W143" s="158">
        <v>1.3547574039067423E-2</v>
      </c>
      <c r="X143" s="158">
        <v>3.780718336483932E-3</v>
      </c>
      <c r="Y143" s="156" t="s">
        <v>1256</v>
      </c>
      <c r="Z143" s="159"/>
      <c r="AA143" s="156" t="s">
        <v>1279</v>
      </c>
      <c r="AB143" s="156" t="s">
        <v>1259</v>
      </c>
      <c r="AC143" s="157">
        <v>1.0428765040522134</v>
      </c>
    </row>
    <row r="144" spans="1:29" x14ac:dyDescent="0.2">
      <c r="A144" s="153" t="s">
        <v>582</v>
      </c>
      <c r="B144" s="153" t="s">
        <v>583</v>
      </c>
      <c r="C144" s="154" t="s">
        <v>200</v>
      </c>
      <c r="D144" s="155">
        <v>8798</v>
      </c>
      <c r="E14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33991</v>
      </c>
      <c r="F144" s="157">
        <f>IF(Cons_Unit_Costs[[#This Row],[Closing social housing units managed]]&gt;0,Cons_Unit_Costs[[#This Row],[Headline Social Housing Cost]]/Cons_Unit_Costs[[#This Row],[Closing social housing units managed]],"")</f>
        <v>3.8634917026596955</v>
      </c>
      <c r="G144" s="157">
        <f>IF(Cons_Unit_Costs[[#This Row],[Closing social housing units managed]]&gt;0,Cons_Unit_Costs[[#This Row],[Management]]/Cons_Unit_Costs[[#This Row],[Closing social housing units managed]],"")</f>
        <v>1.2458513298476928</v>
      </c>
      <c r="H144" s="156">
        <v>10961</v>
      </c>
      <c r="I144" s="157">
        <f>IF(Cons_Unit_Costs[[#This Row],[Closing social housing units managed]]&gt;0,Cons_Unit_Costs[[#This Row],[Service charge costs]]/Cons_Unit_Costs[[#This Row],[Closing social housing units managed]],"")</f>
        <v>0.52671061604910208</v>
      </c>
      <c r="J144" s="156">
        <v>4634</v>
      </c>
      <c r="K144" s="157">
        <f>IF(Cons_Unit_Costs[[#This Row],[Closing social housing units managed]]&gt;0,(Cons_Unit_Costs[[#This Row],[Routine maintenance]]+Cons_Unit_Costs[[#This Row],[Planned maintenance]])/Cons_Unit_Costs[[#This Row],[Closing social housing units managed]],"")</f>
        <v>1.6978858831552626</v>
      </c>
      <c r="L144" s="156">
        <v>8299</v>
      </c>
      <c r="M144" s="156">
        <v>6639</v>
      </c>
      <c r="N144" s="157">
        <f>IF(Cons_Unit_Costs[[#This Row],[Closing social housing units managed]]&gt;0,(Cons_Unit_Costs[[#This Row],[Major repairs expenditure]]+Cons_Unit_Costs[[#This Row],[Capitalised major repairs expenditure for period]])/Cons_Unit_Costs[[#This Row],[Closing social housing units managed]],"")</f>
        <v>0.28824732893839511</v>
      </c>
      <c r="O144" s="156">
        <v>0</v>
      </c>
      <c r="P144" s="156">
        <v>2536</v>
      </c>
      <c r="Q14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0.10479654466924301</v>
      </c>
      <c r="R144" s="156">
        <v>771</v>
      </c>
      <c r="S144" s="156">
        <v>0</v>
      </c>
      <c r="T144" s="156">
        <v>151</v>
      </c>
      <c r="U144" s="156">
        <v>0</v>
      </c>
      <c r="V144" s="156">
        <v>0</v>
      </c>
      <c r="W144" s="158">
        <v>2.7345709984947314E-2</v>
      </c>
      <c r="X144" s="158">
        <v>0.13760662318113398</v>
      </c>
      <c r="Y144" s="156" t="s">
        <v>1257</v>
      </c>
      <c r="Z144" s="159">
        <v>36612</v>
      </c>
      <c r="AA144" s="156" t="s">
        <v>1268</v>
      </c>
      <c r="AB144" s="156" t="s">
        <v>1259</v>
      </c>
      <c r="AC144" s="157">
        <v>1.1005667945682009</v>
      </c>
    </row>
    <row r="145" spans="1:29" x14ac:dyDescent="0.2">
      <c r="A145" s="153" t="s">
        <v>589</v>
      </c>
      <c r="B145" s="153" t="s">
        <v>590</v>
      </c>
      <c r="C145" s="154" t="s">
        <v>200</v>
      </c>
      <c r="D145" s="155">
        <v>25885</v>
      </c>
      <c r="E14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132789</v>
      </c>
      <c r="F145" s="157">
        <f>IF(Cons_Unit_Costs[[#This Row],[Closing social housing units managed]]&gt;0,Cons_Unit_Costs[[#This Row],[Headline Social Housing Cost]]/Cons_Unit_Costs[[#This Row],[Closing social housing units managed]],"")</f>
        <v>5.1299594359667759</v>
      </c>
      <c r="G145" s="157">
        <f>IF(Cons_Unit_Costs[[#This Row],[Closing social housing units managed]]&gt;0,Cons_Unit_Costs[[#This Row],[Management]]/Cons_Unit_Costs[[#This Row],[Closing social housing units managed]],"")</f>
        <v>1.1247054278539694</v>
      </c>
      <c r="H145" s="156">
        <v>29113</v>
      </c>
      <c r="I145" s="157">
        <f>IF(Cons_Unit_Costs[[#This Row],[Closing social housing units managed]]&gt;0,Cons_Unit_Costs[[#This Row],[Service charge costs]]/Cons_Unit_Costs[[#This Row],[Closing social housing units managed]],"")</f>
        <v>0.85246281630287812</v>
      </c>
      <c r="J145" s="156">
        <v>22066</v>
      </c>
      <c r="K145" s="157">
        <f>IF(Cons_Unit_Costs[[#This Row],[Closing social housing units managed]]&gt;0,(Cons_Unit_Costs[[#This Row],[Routine maintenance]]+Cons_Unit_Costs[[#This Row],[Planned maintenance]])/Cons_Unit_Costs[[#This Row],[Closing social housing units managed]],"")</f>
        <v>1.7086343442147962</v>
      </c>
      <c r="L145" s="156">
        <v>26381</v>
      </c>
      <c r="M145" s="156">
        <v>17847</v>
      </c>
      <c r="N145" s="157">
        <f>IF(Cons_Unit_Costs[[#This Row],[Closing social housing units managed]]&gt;0,(Cons_Unit_Costs[[#This Row],[Major repairs expenditure]]+Cons_Unit_Costs[[#This Row],[Capitalised major repairs expenditure for period]])/Cons_Unit_Costs[[#This Row],[Closing social housing units managed]],"")</f>
        <v>1.4441568475951323</v>
      </c>
      <c r="O145" s="156">
        <v>0</v>
      </c>
      <c r="P145" s="156">
        <v>37382</v>
      </c>
      <c r="Q14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v>
      </c>
      <c r="R145" s="156">
        <v>0</v>
      </c>
      <c r="S145" s="156">
        <v>0</v>
      </c>
      <c r="T145" s="156">
        <v>0</v>
      </c>
      <c r="U145" s="156">
        <v>0</v>
      </c>
      <c r="V145" s="156">
        <v>0</v>
      </c>
      <c r="W145" s="158">
        <v>1.332635477896771E-2</v>
      </c>
      <c r="X145" s="158">
        <v>1.9446010145744423E-2</v>
      </c>
      <c r="Y145" s="156" t="s">
        <v>1258</v>
      </c>
      <c r="Z145" s="159">
        <v>36591</v>
      </c>
      <c r="AA145" s="156" t="s">
        <v>1268</v>
      </c>
      <c r="AB145" s="156" t="s">
        <v>1267</v>
      </c>
      <c r="AC145" s="157">
        <v>1.2488627787394369</v>
      </c>
    </row>
    <row r="146" spans="1:29" x14ac:dyDescent="0.2">
      <c r="A146" s="153" t="s">
        <v>593</v>
      </c>
      <c r="B146" s="153" t="s">
        <v>594</v>
      </c>
      <c r="C146" s="154" t="s">
        <v>200</v>
      </c>
      <c r="D146" s="155">
        <v>5357</v>
      </c>
      <c r="E14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26895</v>
      </c>
      <c r="F146" s="157">
        <f>IF(Cons_Unit_Costs[[#This Row],[Closing social housing units managed]]&gt;0,Cons_Unit_Costs[[#This Row],[Headline Social Housing Cost]]/Cons_Unit_Costs[[#This Row],[Closing social housing units managed]],"")</f>
        <v>5.020533880903491</v>
      </c>
      <c r="G146" s="157">
        <f>IF(Cons_Unit_Costs[[#This Row],[Closing social housing units managed]]&gt;0,Cons_Unit_Costs[[#This Row],[Management]]/Cons_Unit_Costs[[#This Row],[Closing social housing units managed]],"")</f>
        <v>0.91357102856076167</v>
      </c>
      <c r="H146" s="156">
        <v>4894</v>
      </c>
      <c r="I146" s="157">
        <f>IF(Cons_Unit_Costs[[#This Row],[Closing social housing units managed]]&gt;0,Cons_Unit_Costs[[#This Row],[Service charge costs]]/Cons_Unit_Costs[[#This Row],[Closing social housing units managed]],"")</f>
        <v>0.73361956318835164</v>
      </c>
      <c r="J146" s="156">
        <v>3930</v>
      </c>
      <c r="K146" s="157">
        <f>IF(Cons_Unit_Costs[[#This Row],[Closing social housing units managed]]&gt;0,(Cons_Unit_Costs[[#This Row],[Routine maintenance]]+Cons_Unit_Costs[[#This Row],[Planned maintenance]])/Cons_Unit_Costs[[#This Row],[Closing social housing units managed]],"")</f>
        <v>1.4403584095575881</v>
      </c>
      <c r="L146" s="156">
        <v>5398</v>
      </c>
      <c r="M146" s="156">
        <v>2318</v>
      </c>
      <c r="N146" s="157">
        <f>IF(Cons_Unit_Costs[[#This Row],[Closing social housing units managed]]&gt;0,(Cons_Unit_Costs[[#This Row],[Major repairs expenditure]]+Cons_Unit_Costs[[#This Row],[Capitalised major repairs expenditure for period]])/Cons_Unit_Costs[[#This Row],[Closing social housing units managed]],"")</f>
        <v>1.5462012320328542</v>
      </c>
      <c r="O146" s="156">
        <v>1745</v>
      </c>
      <c r="P146" s="156">
        <v>6538</v>
      </c>
      <c r="Q14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0.38678364756393502</v>
      </c>
      <c r="R146" s="156">
        <v>1077</v>
      </c>
      <c r="S146" s="156">
        <v>0</v>
      </c>
      <c r="T146" s="156">
        <v>446</v>
      </c>
      <c r="U146" s="156">
        <v>549</v>
      </c>
      <c r="V146" s="156">
        <v>0</v>
      </c>
      <c r="W146" s="158">
        <v>0</v>
      </c>
      <c r="X146" s="158">
        <v>0</v>
      </c>
      <c r="Y146" s="156" t="s">
        <v>1257</v>
      </c>
      <c r="Z146" s="159">
        <v>39419</v>
      </c>
      <c r="AA146" s="156" t="s">
        <v>1280</v>
      </c>
      <c r="AB146" s="156" t="s">
        <v>1267</v>
      </c>
      <c r="AC146" s="157">
        <v>1.2488627787394371</v>
      </c>
    </row>
    <row r="147" spans="1:29" x14ac:dyDescent="0.2">
      <c r="A147" s="153" t="s">
        <v>143</v>
      </c>
      <c r="B147" s="153" t="s">
        <v>142</v>
      </c>
      <c r="C147" s="154" t="s">
        <v>200</v>
      </c>
      <c r="D147" s="155">
        <v>1278</v>
      </c>
      <c r="E14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5565</v>
      </c>
      <c r="F147" s="157">
        <f>IF(Cons_Unit_Costs[[#This Row],[Closing social housing units managed]]&gt;0,Cons_Unit_Costs[[#This Row],[Headline Social Housing Cost]]/Cons_Unit_Costs[[#This Row],[Closing social housing units managed]],"")</f>
        <v>4.354460093896714</v>
      </c>
      <c r="G147" s="157">
        <f>IF(Cons_Unit_Costs[[#This Row],[Closing social housing units managed]]&gt;0,Cons_Unit_Costs[[#This Row],[Management]]/Cons_Unit_Costs[[#This Row],[Closing social housing units managed]],"")</f>
        <v>1.2981220657276995</v>
      </c>
      <c r="H147" s="156">
        <v>1659</v>
      </c>
      <c r="I147" s="157">
        <f>IF(Cons_Unit_Costs[[#This Row],[Closing social housing units managed]]&gt;0,Cons_Unit_Costs[[#This Row],[Service charge costs]]/Cons_Unit_Costs[[#This Row],[Closing social housing units managed]],"")</f>
        <v>0.9859154929577465</v>
      </c>
      <c r="J147" s="156">
        <v>1260</v>
      </c>
      <c r="K147" s="157">
        <f>IF(Cons_Unit_Costs[[#This Row],[Closing social housing units managed]]&gt;0,(Cons_Unit_Costs[[#This Row],[Routine maintenance]]+Cons_Unit_Costs[[#This Row],[Planned maintenance]])/Cons_Unit_Costs[[#This Row],[Closing social housing units managed]],"")</f>
        <v>1.0258215962441315</v>
      </c>
      <c r="L147" s="156">
        <v>688</v>
      </c>
      <c r="M147" s="156">
        <v>623</v>
      </c>
      <c r="N147" s="157">
        <f>IF(Cons_Unit_Costs[[#This Row],[Closing social housing units managed]]&gt;0,(Cons_Unit_Costs[[#This Row],[Major repairs expenditure]]+Cons_Unit_Costs[[#This Row],[Capitalised major repairs expenditure for period]])/Cons_Unit_Costs[[#This Row],[Closing social housing units managed]],"")</f>
        <v>0.99061032863849763</v>
      </c>
      <c r="O147" s="156">
        <v>331</v>
      </c>
      <c r="P147" s="156">
        <v>935</v>
      </c>
      <c r="Q14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5.39906103286385E-2</v>
      </c>
      <c r="R147" s="156">
        <v>77</v>
      </c>
      <c r="S147" s="156">
        <v>0</v>
      </c>
      <c r="T147" s="156">
        <v>-8</v>
      </c>
      <c r="U147" s="156">
        <v>0</v>
      </c>
      <c r="V147" s="156">
        <v>0</v>
      </c>
      <c r="W147" s="158">
        <v>0</v>
      </c>
      <c r="X147" s="158">
        <v>1</v>
      </c>
      <c r="Y147" s="156" t="s">
        <v>1256</v>
      </c>
      <c r="Z147" s="159"/>
      <c r="AA147" s="156" t="s">
        <v>1279</v>
      </c>
      <c r="AB147" s="156" t="s">
        <v>1264</v>
      </c>
      <c r="AC147" s="157">
        <v>0.94807909763407583</v>
      </c>
    </row>
    <row r="148" spans="1:29" x14ac:dyDescent="0.2">
      <c r="A148" s="153" t="s">
        <v>596</v>
      </c>
      <c r="B148" s="153" t="s">
        <v>597</v>
      </c>
      <c r="C148" s="154" t="s">
        <v>200</v>
      </c>
      <c r="D148" s="155">
        <v>1555</v>
      </c>
      <c r="E14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4701</v>
      </c>
      <c r="F148" s="157">
        <f>IF(Cons_Unit_Costs[[#This Row],[Closing social housing units managed]]&gt;0,Cons_Unit_Costs[[#This Row],[Headline Social Housing Cost]]/Cons_Unit_Costs[[#This Row],[Closing social housing units managed]],"")</f>
        <v>3.0231511254019292</v>
      </c>
      <c r="G148" s="157">
        <f>IF(Cons_Unit_Costs[[#This Row],[Closing social housing units managed]]&gt;0,Cons_Unit_Costs[[#This Row],[Management]]/Cons_Unit_Costs[[#This Row],[Closing social housing units managed]],"")</f>
        <v>0.74469453376205785</v>
      </c>
      <c r="H148" s="156">
        <v>1158</v>
      </c>
      <c r="I148" s="157">
        <f>IF(Cons_Unit_Costs[[#This Row],[Closing social housing units managed]]&gt;0,Cons_Unit_Costs[[#This Row],[Service charge costs]]/Cons_Unit_Costs[[#This Row],[Closing social housing units managed]],"")</f>
        <v>0.27974276527331188</v>
      </c>
      <c r="J148" s="156">
        <v>435</v>
      </c>
      <c r="K148" s="157">
        <f>IF(Cons_Unit_Costs[[#This Row],[Closing social housing units managed]]&gt;0,(Cons_Unit_Costs[[#This Row],[Routine maintenance]]+Cons_Unit_Costs[[#This Row],[Planned maintenance]])/Cons_Unit_Costs[[#This Row],[Closing social housing units managed]],"")</f>
        <v>0.9948553054662379</v>
      </c>
      <c r="L148" s="156">
        <v>1547</v>
      </c>
      <c r="M148" s="156">
        <v>0</v>
      </c>
      <c r="N148" s="157">
        <f>IF(Cons_Unit_Costs[[#This Row],[Closing social housing units managed]]&gt;0,(Cons_Unit_Costs[[#This Row],[Major repairs expenditure]]+Cons_Unit_Costs[[#This Row],[Capitalised major repairs expenditure for period]])/Cons_Unit_Costs[[#This Row],[Closing social housing units managed]],"")</f>
        <v>1.0006430868167202</v>
      </c>
      <c r="O148" s="156">
        <v>1063</v>
      </c>
      <c r="P148" s="156">
        <v>493</v>
      </c>
      <c r="Q14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3.2154340836012861E-3</v>
      </c>
      <c r="R148" s="156">
        <v>5</v>
      </c>
      <c r="S148" s="156">
        <v>0</v>
      </c>
      <c r="T148" s="156">
        <v>0</v>
      </c>
      <c r="U148" s="156">
        <v>0</v>
      </c>
      <c r="V148" s="156">
        <v>0</v>
      </c>
      <c r="W148" s="158">
        <v>3.6774193548387096E-2</v>
      </c>
      <c r="X148" s="158">
        <v>0.13290322580645161</v>
      </c>
      <c r="Y148" s="156" t="s">
        <v>1256</v>
      </c>
      <c r="Z148" s="159"/>
      <c r="AA148" s="156" t="s">
        <v>1279</v>
      </c>
      <c r="AB148" s="156" t="s">
        <v>1262</v>
      </c>
      <c r="AC148" s="157">
        <v>0.9156653862445665</v>
      </c>
    </row>
    <row r="149" spans="1:29" x14ac:dyDescent="0.2">
      <c r="A149" s="153" t="s">
        <v>598</v>
      </c>
      <c r="B149" s="153" t="s">
        <v>599</v>
      </c>
      <c r="C149" s="154" t="s">
        <v>200</v>
      </c>
      <c r="D149" s="155">
        <v>60117</v>
      </c>
      <c r="E149"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178662</v>
      </c>
      <c r="F149" s="157">
        <f>IF(Cons_Unit_Costs[[#This Row],[Closing social housing units managed]]&gt;0,Cons_Unit_Costs[[#This Row],[Headline Social Housing Cost]]/Cons_Unit_Costs[[#This Row],[Closing social housing units managed]],"")</f>
        <v>2.9719047856679475</v>
      </c>
      <c r="G149" s="157">
        <f>IF(Cons_Unit_Costs[[#This Row],[Closing social housing units managed]]&gt;0,Cons_Unit_Costs[[#This Row],[Management]]/Cons_Unit_Costs[[#This Row],[Closing social housing units managed]],"")</f>
        <v>0.66493670675516081</v>
      </c>
      <c r="H149" s="156">
        <v>39974</v>
      </c>
      <c r="I149" s="157">
        <f>IF(Cons_Unit_Costs[[#This Row],[Closing social housing units managed]]&gt;0,Cons_Unit_Costs[[#This Row],[Service charge costs]]/Cons_Unit_Costs[[#This Row],[Closing social housing units managed]],"")</f>
        <v>0.41788512400818406</v>
      </c>
      <c r="J149" s="156">
        <v>25122</v>
      </c>
      <c r="K149" s="157">
        <f>IF(Cons_Unit_Costs[[#This Row],[Closing social housing units managed]]&gt;0,(Cons_Unit_Costs[[#This Row],[Routine maintenance]]+Cons_Unit_Costs[[#This Row],[Planned maintenance]])/Cons_Unit_Costs[[#This Row],[Closing social housing units managed]],"")</f>
        <v>0.78355540030274295</v>
      </c>
      <c r="L149" s="156">
        <v>34332</v>
      </c>
      <c r="M149" s="156">
        <v>12773</v>
      </c>
      <c r="N149" s="157">
        <f>IF(Cons_Unit_Costs[[#This Row],[Closing social housing units managed]]&gt;0,(Cons_Unit_Costs[[#This Row],[Major repairs expenditure]]+Cons_Unit_Costs[[#This Row],[Capitalised major repairs expenditure for period]])/Cons_Unit_Costs[[#This Row],[Closing social housing units managed]],"")</f>
        <v>0.68562968877355823</v>
      </c>
      <c r="O149" s="156">
        <v>3808</v>
      </c>
      <c r="P149" s="156">
        <v>37410</v>
      </c>
      <c r="Q149"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0.41989786582830146</v>
      </c>
      <c r="R149" s="156">
        <v>13689</v>
      </c>
      <c r="S149" s="156">
        <v>9213</v>
      </c>
      <c r="T149" s="156">
        <v>2341</v>
      </c>
      <c r="U149" s="156">
        <v>0</v>
      </c>
      <c r="V149" s="156">
        <v>0</v>
      </c>
      <c r="W149" s="158">
        <v>5.1978853604663797E-2</v>
      </c>
      <c r="X149" s="158">
        <v>3.2461889415939457E-2</v>
      </c>
      <c r="Y149" s="156" t="s">
        <v>1256</v>
      </c>
      <c r="Z149" s="159"/>
      <c r="AA149" s="156" t="s">
        <v>1279</v>
      </c>
      <c r="AB149" s="156" t="s">
        <v>1258</v>
      </c>
      <c r="AC149" s="157">
        <v>0.95741209849239728</v>
      </c>
    </row>
    <row r="150" spans="1:29" x14ac:dyDescent="0.2">
      <c r="A150" s="153" t="s">
        <v>610</v>
      </c>
      <c r="B150" s="153" t="s">
        <v>611</v>
      </c>
      <c r="C150" s="154" t="s">
        <v>200</v>
      </c>
      <c r="D150" s="155">
        <v>12946</v>
      </c>
      <c r="E150"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39792</v>
      </c>
      <c r="F150" s="157">
        <f>IF(Cons_Unit_Costs[[#This Row],[Closing social housing units managed]]&gt;0,Cons_Unit_Costs[[#This Row],[Headline Social Housing Cost]]/Cons_Unit_Costs[[#This Row],[Closing social housing units managed]],"")</f>
        <v>3.0736907152788504</v>
      </c>
      <c r="G150" s="157">
        <f>IF(Cons_Unit_Costs[[#This Row],[Closing social housing units managed]]&gt;0,Cons_Unit_Costs[[#This Row],[Management]]/Cons_Unit_Costs[[#This Row],[Closing social housing units managed]],"")</f>
        <v>0.90290437200679752</v>
      </c>
      <c r="H150" s="156">
        <v>11689</v>
      </c>
      <c r="I150" s="157">
        <f>IF(Cons_Unit_Costs[[#This Row],[Closing social housing units managed]]&gt;0,Cons_Unit_Costs[[#This Row],[Service charge costs]]/Cons_Unit_Costs[[#This Row],[Closing social housing units managed]],"")</f>
        <v>0.24756681600494362</v>
      </c>
      <c r="J150" s="156">
        <v>3205</v>
      </c>
      <c r="K150" s="157">
        <f>IF(Cons_Unit_Costs[[#This Row],[Closing social housing units managed]]&gt;0,(Cons_Unit_Costs[[#This Row],[Routine maintenance]]+Cons_Unit_Costs[[#This Row],[Planned maintenance]])/Cons_Unit_Costs[[#This Row],[Closing social housing units managed]],"")</f>
        <v>0.99412946083732423</v>
      </c>
      <c r="L150" s="156">
        <v>12870</v>
      </c>
      <c r="M150" s="156">
        <v>0</v>
      </c>
      <c r="N150" s="157">
        <f>IF(Cons_Unit_Costs[[#This Row],[Closing social housing units managed]]&gt;0,(Cons_Unit_Costs[[#This Row],[Major repairs expenditure]]+Cons_Unit_Costs[[#This Row],[Capitalised major repairs expenditure for period]])/Cons_Unit_Costs[[#This Row],[Closing social housing units managed]],"")</f>
        <v>0.67681137030743088</v>
      </c>
      <c r="O150" s="156">
        <v>2494</v>
      </c>
      <c r="P150" s="156">
        <v>6268</v>
      </c>
      <c r="Q150"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0.25227869612235437</v>
      </c>
      <c r="R150" s="156">
        <v>40</v>
      </c>
      <c r="S150" s="156">
        <v>578</v>
      </c>
      <c r="T150" s="156">
        <v>1290</v>
      </c>
      <c r="U150" s="156">
        <v>1089</v>
      </c>
      <c r="V150" s="156">
        <v>269</v>
      </c>
      <c r="W150" s="158">
        <v>2.230361340403433E-2</v>
      </c>
      <c r="X150" s="158">
        <v>8.5989176187612745E-2</v>
      </c>
      <c r="Y150" s="156" t="s">
        <v>1258</v>
      </c>
      <c r="Z150" s="159">
        <v>35856</v>
      </c>
      <c r="AA150" s="156" t="s">
        <v>1268</v>
      </c>
      <c r="AB150" s="156" t="s">
        <v>1262</v>
      </c>
      <c r="AC150" s="157">
        <v>0.91566546052710707</v>
      </c>
    </row>
    <row r="151" spans="1:29" x14ac:dyDescent="0.2">
      <c r="A151" s="153" t="s">
        <v>612</v>
      </c>
      <c r="B151" s="153" t="s">
        <v>144</v>
      </c>
      <c r="C151" s="154" t="s">
        <v>200</v>
      </c>
      <c r="D151" s="155">
        <v>14183</v>
      </c>
      <c r="E151"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47030</v>
      </c>
      <c r="F151" s="157">
        <f>IF(Cons_Unit_Costs[[#This Row],[Closing social housing units managed]]&gt;0,Cons_Unit_Costs[[#This Row],[Headline Social Housing Cost]]/Cons_Unit_Costs[[#This Row],[Closing social housing units managed]],"")</f>
        <v>3.3159416202495944</v>
      </c>
      <c r="G151" s="157">
        <f>IF(Cons_Unit_Costs[[#This Row],[Closing social housing units managed]]&gt;0,Cons_Unit_Costs[[#This Row],[Management]]/Cons_Unit_Costs[[#This Row],[Closing social housing units managed]],"")</f>
        <v>0.57695833039554401</v>
      </c>
      <c r="H151" s="156">
        <v>8183</v>
      </c>
      <c r="I151" s="157">
        <f>IF(Cons_Unit_Costs[[#This Row],[Closing social housing units managed]]&gt;0,Cons_Unit_Costs[[#This Row],[Service charge costs]]/Cons_Unit_Costs[[#This Row],[Closing social housing units managed]],"")</f>
        <v>0.29387294648522877</v>
      </c>
      <c r="J151" s="156">
        <v>4168</v>
      </c>
      <c r="K151" s="157">
        <f>IF(Cons_Unit_Costs[[#This Row],[Closing social housing units managed]]&gt;0,(Cons_Unit_Costs[[#This Row],[Routine maintenance]]+Cons_Unit_Costs[[#This Row],[Planned maintenance]])/Cons_Unit_Costs[[#This Row],[Closing social housing units managed]],"")</f>
        <v>1.0464640767115561</v>
      </c>
      <c r="L151" s="156">
        <v>9616</v>
      </c>
      <c r="M151" s="156">
        <v>5226</v>
      </c>
      <c r="N151" s="157">
        <f>IF(Cons_Unit_Costs[[#This Row],[Closing social housing units managed]]&gt;0,(Cons_Unit_Costs[[#This Row],[Major repairs expenditure]]+Cons_Unit_Costs[[#This Row],[Capitalised major repairs expenditure for period]])/Cons_Unit_Costs[[#This Row],[Closing social housing units managed]],"")</f>
        <v>1.1142212507932032</v>
      </c>
      <c r="O151" s="156">
        <v>8120</v>
      </c>
      <c r="P151" s="156">
        <v>7683</v>
      </c>
      <c r="Q151"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0.2844250158640626</v>
      </c>
      <c r="R151" s="156">
        <v>2454</v>
      </c>
      <c r="S151" s="156">
        <v>0</v>
      </c>
      <c r="T151" s="156">
        <v>253</v>
      </c>
      <c r="U151" s="156">
        <v>613</v>
      </c>
      <c r="V151" s="156">
        <v>714</v>
      </c>
      <c r="W151" s="158">
        <v>0.11259959105971938</v>
      </c>
      <c r="X151" s="158">
        <v>0</v>
      </c>
      <c r="Y151" s="156" t="s">
        <v>1257</v>
      </c>
      <c r="Z151" s="159">
        <v>40137</v>
      </c>
      <c r="AA151" s="156" t="s">
        <v>1280</v>
      </c>
      <c r="AB151" s="156" t="s">
        <v>1265</v>
      </c>
      <c r="AC151" s="157">
        <v>0.96617455710897815</v>
      </c>
    </row>
    <row r="152" spans="1:29" x14ac:dyDescent="0.2">
      <c r="A152" s="153" t="s">
        <v>613</v>
      </c>
      <c r="B152" s="153" t="s">
        <v>614</v>
      </c>
      <c r="C152" s="154" t="s">
        <v>200</v>
      </c>
      <c r="D152" s="155">
        <v>8720</v>
      </c>
      <c r="E152"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27411</v>
      </c>
      <c r="F152" s="157">
        <f>IF(Cons_Unit_Costs[[#This Row],[Closing social housing units managed]]&gt;0,Cons_Unit_Costs[[#This Row],[Headline Social Housing Cost]]/Cons_Unit_Costs[[#This Row],[Closing social housing units managed]],"")</f>
        <v>3.1434633027522936</v>
      </c>
      <c r="G152" s="157">
        <f>IF(Cons_Unit_Costs[[#This Row],[Closing social housing units managed]]&gt;0,Cons_Unit_Costs[[#This Row],[Management]]/Cons_Unit_Costs[[#This Row],[Closing social housing units managed]],"")</f>
        <v>1.0692660550458715</v>
      </c>
      <c r="H152" s="156">
        <v>9324</v>
      </c>
      <c r="I152" s="157">
        <f>IF(Cons_Unit_Costs[[#This Row],[Closing social housing units managed]]&gt;0,Cons_Unit_Costs[[#This Row],[Service charge costs]]/Cons_Unit_Costs[[#This Row],[Closing social housing units managed]],"")</f>
        <v>0.86490825688073392</v>
      </c>
      <c r="J152" s="156">
        <v>7542</v>
      </c>
      <c r="K152" s="157">
        <f>IF(Cons_Unit_Costs[[#This Row],[Closing social housing units managed]]&gt;0,(Cons_Unit_Costs[[#This Row],[Routine maintenance]]+Cons_Unit_Costs[[#This Row],[Planned maintenance]])/Cons_Unit_Costs[[#This Row],[Closing social housing units managed]],"")</f>
        <v>0.8519495412844037</v>
      </c>
      <c r="L152" s="156">
        <v>7417</v>
      </c>
      <c r="M152" s="156">
        <v>12</v>
      </c>
      <c r="N152" s="157">
        <f>IF(Cons_Unit_Costs[[#This Row],[Closing social housing units managed]]&gt;0,(Cons_Unit_Costs[[#This Row],[Major repairs expenditure]]+Cons_Unit_Costs[[#This Row],[Capitalised major repairs expenditure for period]])/Cons_Unit_Costs[[#This Row],[Closing social housing units managed]],"")</f>
        <v>0.35733944954128438</v>
      </c>
      <c r="O152" s="156">
        <v>1981</v>
      </c>
      <c r="P152" s="156">
        <v>1135</v>
      </c>
      <c r="Q152"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v>
      </c>
      <c r="R152" s="156">
        <v>0</v>
      </c>
      <c r="S152" s="156">
        <v>0</v>
      </c>
      <c r="T152" s="156">
        <v>0</v>
      </c>
      <c r="U152" s="156">
        <v>0</v>
      </c>
      <c r="V152" s="156">
        <v>0</v>
      </c>
      <c r="W152" s="158">
        <v>0</v>
      </c>
      <c r="X152" s="158">
        <v>0</v>
      </c>
      <c r="Y152" s="156" t="s">
        <v>1257</v>
      </c>
      <c r="Z152" s="159">
        <v>36136</v>
      </c>
      <c r="AA152" s="156" t="s">
        <v>1268</v>
      </c>
      <c r="AB152" s="156" t="s">
        <v>1267</v>
      </c>
      <c r="AC152" s="157">
        <v>1.2488627787394371</v>
      </c>
    </row>
    <row r="153" spans="1:29" x14ac:dyDescent="0.2">
      <c r="A153" s="153" t="s">
        <v>620</v>
      </c>
      <c r="B153" s="153" t="s">
        <v>621</v>
      </c>
      <c r="C153" s="154" t="s">
        <v>200</v>
      </c>
      <c r="D153" s="155">
        <v>9570</v>
      </c>
      <c r="E153"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43972</v>
      </c>
      <c r="F153" s="157">
        <f>IF(Cons_Unit_Costs[[#This Row],[Closing social housing units managed]]&gt;0,Cons_Unit_Costs[[#This Row],[Headline Social Housing Cost]]/Cons_Unit_Costs[[#This Row],[Closing social housing units managed]],"")</f>
        <v>4.5947753396029256</v>
      </c>
      <c r="G153" s="157">
        <f>IF(Cons_Unit_Costs[[#This Row],[Closing social housing units managed]]&gt;0,Cons_Unit_Costs[[#This Row],[Management]]/Cons_Unit_Costs[[#This Row],[Closing social housing units managed]],"")</f>
        <v>0.97492163009404387</v>
      </c>
      <c r="H153" s="156">
        <v>9330</v>
      </c>
      <c r="I153" s="157">
        <f>IF(Cons_Unit_Costs[[#This Row],[Closing social housing units managed]]&gt;0,Cons_Unit_Costs[[#This Row],[Service charge costs]]/Cons_Unit_Costs[[#This Row],[Closing social housing units managed]],"")</f>
        <v>0.96353187042842214</v>
      </c>
      <c r="J153" s="156">
        <v>9221</v>
      </c>
      <c r="K153" s="157">
        <f>IF(Cons_Unit_Costs[[#This Row],[Closing social housing units managed]]&gt;0,(Cons_Unit_Costs[[#This Row],[Routine maintenance]]+Cons_Unit_Costs[[#This Row],[Planned maintenance]])/Cons_Unit_Costs[[#This Row],[Closing social housing units managed]],"")</f>
        <v>1.2019853709508881</v>
      </c>
      <c r="L153" s="156">
        <v>9452</v>
      </c>
      <c r="M153" s="156">
        <v>2051</v>
      </c>
      <c r="N153" s="157">
        <f>IF(Cons_Unit_Costs[[#This Row],[Closing social housing units managed]]&gt;0,(Cons_Unit_Costs[[#This Row],[Major repairs expenditure]]+Cons_Unit_Costs[[#This Row],[Capitalised major repairs expenditure for period]])/Cons_Unit_Costs[[#This Row],[Closing social housing units managed]],"")</f>
        <v>0.64346917450365726</v>
      </c>
      <c r="O153" s="156">
        <v>2751</v>
      </c>
      <c r="P153" s="156">
        <v>3407</v>
      </c>
      <c r="Q153"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0.81086729362591436</v>
      </c>
      <c r="R153" s="156">
        <v>7584</v>
      </c>
      <c r="S153" s="156">
        <v>176</v>
      </c>
      <c r="T153" s="156">
        <v>0</v>
      </c>
      <c r="U153" s="156">
        <v>0</v>
      </c>
      <c r="V153" s="156">
        <v>0</v>
      </c>
      <c r="W153" s="158">
        <v>0.34973955565004783</v>
      </c>
      <c r="X153" s="158">
        <v>0.1414903795046242</v>
      </c>
      <c r="Y153" s="156" t="s">
        <v>1258</v>
      </c>
      <c r="Z153" s="159">
        <v>34423</v>
      </c>
      <c r="AA153" s="156" t="s">
        <v>1268</v>
      </c>
      <c r="AB153" s="156" t="s">
        <v>1262</v>
      </c>
      <c r="AC153" s="157">
        <v>0.92290305575682718</v>
      </c>
    </row>
    <row r="154" spans="1:29" x14ac:dyDescent="0.2">
      <c r="A154" s="153" t="s">
        <v>622</v>
      </c>
      <c r="B154" s="153" t="s">
        <v>623</v>
      </c>
      <c r="C154" s="154" t="s">
        <v>200</v>
      </c>
      <c r="D154" s="155">
        <v>20537</v>
      </c>
      <c r="E15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61636</v>
      </c>
      <c r="F154" s="157">
        <f>IF(Cons_Unit_Costs[[#This Row],[Closing social housing units managed]]&gt;0,Cons_Unit_Costs[[#This Row],[Headline Social Housing Cost]]/Cons_Unit_Costs[[#This Row],[Closing social housing units managed]],"")</f>
        <v>3.0012173150898378</v>
      </c>
      <c r="G154" s="157">
        <f>IF(Cons_Unit_Costs[[#This Row],[Closing social housing units managed]]&gt;0,Cons_Unit_Costs[[#This Row],[Management]]/Cons_Unit_Costs[[#This Row],[Closing social housing units managed]],"")</f>
        <v>0.92481862005161419</v>
      </c>
      <c r="H154" s="156">
        <v>18993</v>
      </c>
      <c r="I154" s="157">
        <f>IF(Cons_Unit_Costs[[#This Row],[Closing social housing units managed]]&gt;0,Cons_Unit_Costs[[#This Row],[Service charge costs]]/Cons_Unit_Costs[[#This Row],[Closing social housing units managed]],"")</f>
        <v>0.26698154550323805</v>
      </c>
      <c r="J154" s="156">
        <v>5483</v>
      </c>
      <c r="K154" s="157">
        <f>IF(Cons_Unit_Costs[[#This Row],[Closing social housing units managed]]&gt;0,(Cons_Unit_Costs[[#This Row],[Routine maintenance]]+Cons_Unit_Costs[[#This Row],[Planned maintenance]])/Cons_Unit_Costs[[#This Row],[Closing social housing units managed]],"")</f>
        <v>0.76315917612114714</v>
      </c>
      <c r="L154" s="156">
        <v>11272</v>
      </c>
      <c r="M154" s="156">
        <v>4401</v>
      </c>
      <c r="N154" s="157">
        <f>IF(Cons_Unit_Costs[[#This Row],[Closing social housing units managed]]&gt;0,(Cons_Unit_Costs[[#This Row],[Major repairs expenditure]]+Cons_Unit_Costs[[#This Row],[Capitalised major repairs expenditure for period]])/Cons_Unit_Costs[[#This Row],[Closing social housing units managed]],"")</f>
        <v>0.74153966012562689</v>
      </c>
      <c r="O154" s="156">
        <v>10000</v>
      </c>
      <c r="P154" s="156">
        <v>5229</v>
      </c>
      <c r="Q15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0.30471831328821153</v>
      </c>
      <c r="R154" s="156">
        <v>-914</v>
      </c>
      <c r="S154" s="156">
        <v>0</v>
      </c>
      <c r="T154" s="156">
        <v>1562</v>
      </c>
      <c r="U154" s="156">
        <v>5610</v>
      </c>
      <c r="V154" s="156">
        <v>0</v>
      </c>
      <c r="W154" s="158">
        <v>1.6862808318555536E-2</v>
      </c>
      <c r="X154" s="158">
        <v>8.2572948573270993E-2</v>
      </c>
      <c r="Y154" s="156" t="s">
        <v>1258</v>
      </c>
      <c r="Z154" s="159">
        <v>34821</v>
      </c>
      <c r="AA154" s="156" t="s">
        <v>1268</v>
      </c>
      <c r="AB154" s="156" t="s">
        <v>1259</v>
      </c>
      <c r="AC154" s="157">
        <v>1.0082105787838713</v>
      </c>
    </row>
    <row r="155" spans="1:29" x14ac:dyDescent="0.2">
      <c r="A155" s="153" t="s">
        <v>147</v>
      </c>
      <c r="B155" s="153" t="s">
        <v>146</v>
      </c>
      <c r="C155" s="154" t="s">
        <v>200</v>
      </c>
      <c r="D155" s="155">
        <v>1504</v>
      </c>
      <c r="E15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4634</v>
      </c>
      <c r="F155" s="157">
        <f>IF(Cons_Unit_Costs[[#This Row],[Closing social housing units managed]]&gt;0,Cons_Unit_Costs[[#This Row],[Headline Social Housing Cost]]/Cons_Unit_Costs[[#This Row],[Closing social housing units managed]],"")</f>
        <v>3.0811170212765959</v>
      </c>
      <c r="G155" s="157">
        <f>IF(Cons_Unit_Costs[[#This Row],[Closing social housing units managed]]&gt;0,Cons_Unit_Costs[[#This Row],[Management]]/Cons_Unit_Costs[[#This Row],[Closing social housing units managed]],"")</f>
        <v>0.62632978723404253</v>
      </c>
      <c r="H155" s="156">
        <v>942</v>
      </c>
      <c r="I155" s="157">
        <f>IF(Cons_Unit_Costs[[#This Row],[Closing social housing units managed]]&gt;0,Cons_Unit_Costs[[#This Row],[Service charge costs]]/Cons_Unit_Costs[[#This Row],[Closing social housing units managed]],"")</f>
        <v>0.57114361702127658</v>
      </c>
      <c r="J155" s="156">
        <v>859</v>
      </c>
      <c r="K155" s="157">
        <f>IF(Cons_Unit_Costs[[#This Row],[Closing social housing units managed]]&gt;0,(Cons_Unit_Costs[[#This Row],[Routine maintenance]]+Cons_Unit_Costs[[#This Row],[Planned maintenance]])/Cons_Unit_Costs[[#This Row],[Closing social housing units managed]],"")</f>
        <v>1.0033244680851063</v>
      </c>
      <c r="L155" s="156">
        <v>1385</v>
      </c>
      <c r="M155" s="156">
        <v>124</v>
      </c>
      <c r="N155" s="157">
        <f>IF(Cons_Unit_Costs[[#This Row],[Closing social housing units managed]]&gt;0,(Cons_Unit_Costs[[#This Row],[Major repairs expenditure]]+Cons_Unit_Costs[[#This Row],[Capitalised major repairs expenditure for period]])/Cons_Unit_Costs[[#This Row],[Closing social housing units managed]],"")</f>
        <v>0.79853723404255317</v>
      </c>
      <c r="O155" s="156">
        <v>0</v>
      </c>
      <c r="P155" s="156">
        <v>1201</v>
      </c>
      <c r="Q15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8.1781914893617025E-2</v>
      </c>
      <c r="R155" s="156">
        <v>26</v>
      </c>
      <c r="S155" s="156">
        <v>0</v>
      </c>
      <c r="T155" s="156">
        <v>97</v>
      </c>
      <c r="U155" s="156">
        <v>0</v>
      </c>
      <c r="V155" s="156">
        <v>0</v>
      </c>
      <c r="W155" s="158">
        <v>0.32734530938123751</v>
      </c>
      <c r="X155" s="158">
        <v>0.28542914171656686</v>
      </c>
      <c r="Y155" s="156" t="s">
        <v>1256</v>
      </c>
      <c r="Z155" s="159"/>
      <c r="AA155" s="156" t="s">
        <v>1279</v>
      </c>
      <c r="AB155" s="156" t="s">
        <v>1266</v>
      </c>
      <c r="AC155" s="157">
        <v>0.92237131291942354</v>
      </c>
    </row>
    <row r="156" spans="1:29" x14ac:dyDescent="0.2">
      <c r="A156" s="153" t="s">
        <v>149</v>
      </c>
      <c r="B156" s="153" t="s">
        <v>148</v>
      </c>
      <c r="C156" s="154" t="s">
        <v>200</v>
      </c>
      <c r="D156" s="155">
        <v>5775</v>
      </c>
      <c r="E15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23403</v>
      </c>
      <c r="F156" s="157">
        <f>IF(Cons_Unit_Costs[[#This Row],[Closing social housing units managed]]&gt;0,Cons_Unit_Costs[[#This Row],[Headline Social Housing Cost]]/Cons_Unit_Costs[[#This Row],[Closing social housing units managed]],"")</f>
        <v>4.0524675324675323</v>
      </c>
      <c r="G156" s="157">
        <f>IF(Cons_Unit_Costs[[#This Row],[Closing social housing units managed]]&gt;0,Cons_Unit_Costs[[#This Row],[Management]]/Cons_Unit_Costs[[#This Row],[Closing social housing units managed]],"")</f>
        <v>0.88484848484848488</v>
      </c>
      <c r="H156" s="156">
        <v>5110</v>
      </c>
      <c r="I156" s="157">
        <f>IF(Cons_Unit_Costs[[#This Row],[Closing social housing units managed]]&gt;0,Cons_Unit_Costs[[#This Row],[Service charge costs]]/Cons_Unit_Costs[[#This Row],[Closing social housing units managed]],"")</f>
        <v>0.34770562770562768</v>
      </c>
      <c r="J156" s="156">
        <v>2008</v>
      </c>
      <c r="K156" s="157">
        <f>IF(Cons_Unit_Costs[[#This Row],[Closing social housing units managed]]&gt;0,(Cons_Unit_Costs[[#This Row],[Routine maintenance]]+Cons_Unit_Costs[[#This Row],[Planned maintenance]])/Cons_Unit_Costs[[#This Row],[Closing social housing units managed]],"")</f>
        <v>1.1236363636363635</v>
      </c>
      <c r="L156" s="156">
        <v>3931</v>
      </c>
      <c r="M156" s="156">
        <v>2558</v>
      </c>
      <c r="N156" s="157">
        <f>IF(Cons_Unit_Costs[[#This Row],[Closing social housing units managed]]&gt;0,(Cons_Unit_Costs[[#This Row],[Major repairs expenditure]]+Cons_Unit_Costs[[#This Row],[Capitalised major repairs expenditure for period]])/Cons_Unit_Costs[[#This Row],[Closing social housing units managed]],"")</f>
        <v>0.58926406926406927</v>
      </c>
      <c r="O156" s="156">
        <v>1920</v>
      </c>
      <c r="P156" s="156">
        <v>1483</v>
      </c>
      <c r="Q15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1.107012987012987</v>
      </c>
      <c r="R156" s="156">
        <v>4465</v>
      </c>
      <c r="S156" s="156">
        <v>394</v>
      </c>
      <c r="T156" s="156">
        <v>765</v>
      </c>
      <c r="U156" s="156">
        <v>0</v>
      </c>
      <c r="V156" s="156">
        <v>769</v>
      </c>
      <c r="W156" s="158">
        <v>0</v>
      </c>
      <c r="X156" s="158">
        <v>6.1351819757365686E-2</v>
      </c>
      <c r="Y156" s="156" t="s">
        <v>1257</v>
      </c>
      <c r="Z156" s="159">
        <v>37340</v>
      </c>
      <c r="AA156" s="156" t="s">
        <v>1268</v>
      </c>
      <c r="AB156" s="156" t="s">
        <v>1259</v>
      </c>
      <c r="AC156" s="157">
        <v>1.0130582581741705</v>
      </c>
    </row>
    <row r="157" spans="1:29" x14ac:dyDescent="0.2">
      <c r="A157" s="160" t="s">
        <v>151</v>
      </c>
      <c r="B157" s="153" t="s">
        <v>150</v>
      </c>
      <c r="C157" s="154" t="s">
        <v>200</v>
      </c>
      <c r="D157" s="155">
        <v>5840</v>
      </c>
      <c r="E15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30794</v>
      </c>
      <c r="F157" s="157">
        <f>IF(Cons_Unit_Costs[[#This Row],[Closing social housing units managed]]&gt;0,Cons_Unit_Costs[[#This Row],[Headline Social Housing Cost]]/Cons_Unit_Costs[[#This Row],[Closing social housing units managed]],"")</f>
        <v>5.2729452054794521</v>
      </c>
      <c r="G157" s="157">
        <f>IF(Cons_Unit_Costs[[#This Row],[Closing social housing units managed]]&gt;0,Cons_Unit_Costs[[#This Row],[Management]]/Cons_Unit_Costs[[#This Row],[Closing social housing units managed]],"")</f>
        <v>1.1368150684931506</v>
      </c>
      <c r="H157" s="156">
        <v>6639</v>
      </c>
      <c r="I157" s="157">
        <f>IF(Cons_Unit_Costs[[#This Row],[Closing social housing units managed]]&gt;0,Cons_Unit_Costs[[#This Row],[Service charge costs]]/Cons_Unit_Costs[[#This Row],[Closing social housing units managed]],"")</f>
        <v>0.261472602739726</v>
      </c>
      <c r="J157" s="156">
        <v>1527</v>
      </c>
      <c r="K157" s="157">
        <f>IF(Cons_Unit_Costs[[#This Row],[Closing social housing units managed]]&gt;0,(Cons_Unit_Costs[[#This Row],[Routine maintenance]]+Cons_Unit_Costs[[#This Row],[Planned maintenance]])/Cons_Unit_Costs[[#This Row],[Closing social housing units managed]],"")</f>
        <v>0.97448630136986303</v>
      </c>
      <c r="L157" s="156">
        <v>3198</v>
      </c>
      <c r="M157" s="156">
        <v>2493</v>
      </c>
      <c r="N157" s="157">
        <f>IF(Cons_Unit_Costs[[#This Row],[Closing social housing units managed]]&gt;0,(Cons_Unit_Costs[[#This Row],[Major repairs expenditure]]+Cons_Unit_Costs[[#This Row],[Capitalised major repairs expenditure for period]])/Cons_Unit_Costs[[#This Row],[Closing social housing units managed]],"")</f>
        <v>3.1422945205479453</v>
      </c>
      <c r="O157" s="156">
        <v>10046</v>
      </c>
      <c r="P157" s="156">
        <v>8305</v>
      </c>
      <c r="Q15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-0.24212328767123287</v>
      </c>
      <c r="R157" s="156">
        <v>-1419</v>
      </c>
      <c r="S157" s="156">
        <v>5</v>
      </c>
      <c r="T157" s="156">
        <v>0</v>
      </c>
      <c r="U157" s="156">
        <v>0</v>
      </c>
      <c r="V157" s="156">
        <v>0</v>
      </c>
      <c r="W157" s="158">
        <v>0</v>
      </c>
      <c r="X157" s="158">
        <v>0.30171232876712328</v>
      </c>
      <c r="Y157" s="156" t="s">
        <v>1257</v>
      </c>
      <c r="Z157" s="159">
        <v>40889</v>
      </c>
      <c r="AA157" s="156" t="s">
        <v>1269</v>
      </c>
      <c r="AB157" s="156" t="s">
        <v>1259</v>
      </c>
      <c r="AC157" s="157">
        <v>1.0118524159776632</v>
      </c>
    </row>
    <row r="158" spans="1:29" x14ac:dyDescent="0.2">
      <c r="A158" s="153" t="s">
        <v>629</v>
      </c>
      <c r="B158" s="153" t="s">
        <v>628</v>
      </c>
      <c r="C158" s="154" t="s">
        <v>200</v>
      </c>
      <c r="D158" s="155">
        <v>12929</v>
      </c>
      <c r="E15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38428</v>
      </c>
      <c r="F158" s="157">
        <f>IF(Cons_Unit_Costs[[#This Row],[Closing social housing units managed]]&gt;0,Cons_Unit_Costs[[#This Row],[Headline Social Housing Cost]]/Cons_Unit_Costs[[#This Row],[Closing social housing units managed]],"")</f>
        <v>2.9722329646531054</v>
      </c>
      <c r="G158" s="157">
        <f>IF(Cons_Unit_Costs[[#This Row],[Closing social housing units managed]]&gt;0,Cons_Unit_Costs[[#This Row],[Management]]/Cons_Unit_Costs[[#This Row],[Closing social housing units managed]],"")</f>
        <v>0.8129785752958465</v>
      </c>
      <c r="H158" s="156">
        <v>10511</v>
      </c>
      <c r="I158" s="157">
        <f>IF(Cons_Unit_Costs[[#This Row],[Closing social housing units managed]]&gt;0,Cons_Unit_Costs[[#This Row],[Service charge costs]]/Cons_Unit_Costs[[#This Row],[Closing social housing units managed]],"")</f>
        <v>0.35903782195065359</v>
      </c>
      <c r="J158" s="156">
        <v>4642</v>
      </c>
      <c r="K158" s="157">
        <f>IF(Cons_Unit_Costs[[#This Row],[Closing social housing units managed]]&gt;0,(Cons_Unit_Costs[[#This Row],[Routine maintenance]]+Cons_Unit_Costs[[#This Row],[Planned maintenance]])/Cons_Unit_Costs[[#This Row],[Closing social housing units managed]],"")</f>
        <v>0.97942609637249589</v>
      </c>
      <c r="L158" s="156">
        <v>7281</v>
      </c>
      <c r="M158" s="156">
        <v>5382</v>
      </c>
      <c r="N158" s="157">
        <f>IF(Cons_Unit_Costs[[#This Row],[Closing social housing units managed]]&gt;0,(Cons_Unit_Costs[[#This Row],[Major repairs expenditure]]+Cons_Unit_Costs[[#This Row],[Capitalised major repairs expenditure for period]])/Cons_Unit_Costs[[#This Row],[Closing social housing units managed]],"")</f>
        <v>0.49122128548224919</v>
      </c>
      <c r="O158" s="156">
        <v>329</v>
      </c>
      <c r="P158" s="156">
        <v>6022</v>
      </c>
      <c r="Q15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0.32956918555186016</v>
      </c>
      <c r="R158" s="156">
        <v>581</v>
      </c>
      <c r="S158" s="156">
        <v>234</v>
      </c>
      <c r="T158" s="156">
        <v>1925</v>
      </c>
      <c r="U158" s="156">
        <v>1</v>
      </c>
      <c r="V158" s="156">
        <v>1520</v>
      </c>
      <c r="W158" s="158">
        <v>7.7469553450608936E-2</v>
      </c>
      <c r="X158" s="158">
        <v>8.2205683355886336E-2</v>
      </c>
      <c r="Y158" s="156" t="s">
        <v>1256</v>
      </c>
      <c r="Z158" s="159"/>
      <c r="AA158" s="156" t="s">
        <v>1279</v>
      </c>
      <c r="AB158" s="156" t="s">
        <v>1262</v>
      </c>
      <c r="AC158" s="157">
        <v>0.9156653862445665</v>
      </c>
    </row>
    <row r="159" spans="1:29" x14ac:dyDescent="0.2">
      <c r="A159" s="160" t="s">
        <v>153</v>
      </c>
      <c r="B159" s="153" t="s">
        <v>152</v>
      </c>
      <c r="C159" s="154" t="s">
        <v>200</v>
      </c>
      <c r="D159" s="155">
        <v>1155</v>
      </c>
      <c r="E159"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10775</v>
      </c>
      <c r="F159" s="157">
        <f>IF(Cons_Unit_Costs[[#This Row],[Closing social housing units managed]]&gt;0,Cons_Unit_Costs[[#This Row],[Headline Social Housing Cost]]/Cons_Unit_Costs[[#This Row],[Closing social housing units managed]],"")</f>
        <v>9.329004329004329</v>
      </c>
      <c r="G159" s="157">
        <f>IF(Cons_Unit_Costs[[#This Row],[Closing social housing units managed]]&gt;0,Cons_Unit_Costs[[#This Row],[Management]]/Cons_Unit_Costs[[#This Row],[Closing social housing units managed]],"")</f>
        <v>1.2744588744588745</v>
      </c>
      <c r="H159" s="156">
        <v>1472</v>
      </c>
      <c r="I159" s="157">
        <f>IF(Cons_Unit_Costs[[#This Row],[Closing social housing units managed]]&gt;0,Cons_Unit_Costs[[#This Row],[Service charge costs]]/Cons_Unit_Costs[[#This Row],[Closing social housing units managed]],"")</f>
        <v>0.59307359307359309</v>
      </c>
      <c r="J159" s="156">
        <v>685</v>
      </c>
      <c r="K159" s="157">
        <f>IF(Cons_Unit_Costs[[#This Row],[Closing social housing units managed]]&gt;0,(Cons_Unit_Costs[[#This Row],[Routine maintenance]]+Cons_Unit_Costs[[#This Row],[Planned maintenance]])/Cons_Unit_Costs[[#This Row],[Closing social housing units managed]],"")</f>
        <v>0.59307359307359309</v>
      </c>
      <c r="L159" s="156">
        <v>685</v>
      </c>
      <c r="M159" s="156">
        <v>0</v>
      </c>
      <c r="N159" s="157">
        <f>IF(Cons_Unit_Costs[[#This Row],[Closing social housing units managed]]&gt;0,(Cons_Unit_Costs[[#This Row],[Major repairs expenditure]]+Cons_Unit_Costs[[#This Row],[Capitalised major repairs expenditure for period]])/Cons_Unit_Costs[[#This Row],[Closing social housing units managed]],"")</f>
        <v>3.4632034632034632E-2</v>
      </c>
      <c r="O159" s="156">
        <v>40</v>
      </c>
      <c r="P159" s="156">
        <v>0</v>
      </c>
      <c r="Q159"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6.8337662337662337</v>
      </c>
      <c r="R159" s="156">
        <v>7509</v>
      </c>
      <c r="S159" s="156">
        <v>384</v>
      </c>
      <c r="T159" s="156">
        <v>0</v>
      </c>
      <c r="U159" s="156">
        <v>0</v>
      </c>
      <c r="V159" s="156">
        <v>0</v>
      </c>
      <c r="W159" s="158">
        <v>0.9948051948051948</v>
      </c>
      <c r="X159" s="158">
        <v>5.1948051948051948E-3</v>
      </c>
      <c r="Y159" s="156" t="s">
        <v>1256</v>
      </c>
      <c r="Z159" s="159"/>
      <c r="AA159" s="156" t="s">
        <v>1279</v>
      </c>
      <c r="AB159" s="156" t="s">
        <v>1258</v>
      </c>
      <c r="AC159" s="157">
        <v>0.99936295989746249</v>
      </c>
    </row>
    <row r="160" spans="1:29" x14ac:dyDescent="0.2">
      <c r="A160" s="153" t="s">
        <v>634</v>
      </c>
      <c r="B160" s="153" t="s">
        <v>633</v>
      </c>
      <c r="C160" s="154" t="s">
        <v>200</v>
      </c>
      <c r="D160" s="155">
        <v>10083</v>
      </c>
      <c r="E160"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30724</v>
      </c>
      <c r="F160" s="157">
        <f>IF(Cons_Unit_Costs[[#This Row],[Closing social housing units managed]]&gt;0,Cons_Unit_Costs[[#This Row],[Headline Social Housing Cost]]/Cons_Unit_Costs[[#This Row],[Closing social housing units managed]],"")</f>
        <v>3.047108995338689</v>
      </c>
      <c r="G160" s="157">
        <f>IF(Cons_Unit_Costs[[#This Row],[Closing social housing units managed]]&gt;0,Cons_Unit_Costs[[#This Row],[Management]]/Cons_Unit_Costs[[#This Row],[Closing social housing units managed]],"")</f>
        <v>1.1936923534662303</v>
      </c>
      <c r="H160" s="156">
        <v>12036</v>
      </c>
      <c r="I160" s="157">
        <f>IF(Cons_Unit_Costs[[#This Row],[Closing social housing units managed]]&gt;0,Cons_Unit_Costs[[#This Row],[Service charge costs]]/Cons_Unit_Costs[[#This Row],[Closing social housing units managed]],"")</f>
        <v>0.29524942973321433</v>
      </c>
      <c r="J160" s="156">
        <v>2977</v>
      </c>
      <c r="K160" s="157">
        <f>IF(Cons_Unit_Costs[[#This Row],[Closing social housing units managed]]&gt;0,(Cons_Unit_Costs[[#This Row],[Routine maintenance]]+Cons_Unit_Costs[[#This Row],[Planned maintenance]])/Cons_Unit_Costs[[#This Row],[Closing social housing units managed]],"")</f>
        <v>0.62392145194882476</v>
      </c>
      <c r="L160" s="156">
        <v>3083</v>
      </c>
      <c r="M160" s="156">
        <v>3208</v>
      </c>
      <c r="N160" s="157">
        <f>IF(Cons_Unit_Costs[[#This Row],[Closing social housing units managed]]&gt;0,(Cons_Unit_Costs[[#This Row],[Major repairs expenditure]]+Cons_Unit_Costs[[#This Row],[Capitalised major repairs expenditure for period]])/Cons_Unit_Costs[[#This Row],[Closing social housing units managed]],"")</f>
        <v>0.63840126946345332</v>
      </c>
      <c r="O160" s="156">
        <v>1663</v>
      </c>
      <c r="P160" s="156">
        <v>4774</v>
      </c>
      <c r="Q160"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0.29584449072696617</v>
      </c>
      <c r="R160" s="156">
        <v>27</v>
      </c>
      <c r="S160" s="156">
        <v>0</v>
      </c>
      <c r="T160" s="156">
        <v>2956</v>
      </c>
      <c r="U160" s="156">
        <v>0</v>
      </c>
      <c r="V160" s="156">
        <v>0</v>
      </c>
      <c r="W160" s="158">
        <v>0</v>
      </c>
      <c r="X160" s="158">
        <v>5.1924025653675383E-2</v>
      </c>
      <c r="Y160" s="156" t="s">
        <v>1258</v>
      </c>
      <c r="Z160" s="159">
        <v>36724</v>
      </c>
      <c r="AA160" s="156" t="s">
        <v>1268</v>
      </c>
      <c r="AB160" s="156" t="s">
        <v>1267</v>
      </c>
      <c r="AC160" s="157">
        <v>1.2454875002912549</v>
      </c>
    </row>
    <row r="161" spans="1:29" x14ac:dyDescent="0.2">
      <c r="A161" s="153" t="s">
        <v>202</v>
      </c>
      <c r="B161" s="153" t="s">
        <v>154</v>
      </c>
      <c r="C161" s="154" t="s">
        <v>200</v>
      </c>
      <c r="D161" s="155">
        <v>13096</v>
      </c>
      <c r="E161"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51123</v>
      </c>
      <c r="F161" s="157">
        <f>IF(Cons_Unit_Costs[[#This Row],[Closing social housing units managed]]&gt;0,Cons_Unit_Costs[[#This Row],[Headline Social Housing Cost]]/Cons_Unit_Costs[[#This Row],[Closing social housing units managed]],"")</f>
        <v>3.9037110568112401</v>
      </c>
      <c r="G161" s="157">
        <f>IF(Cons_Unit_Costs[[#This Row],[Closing social housing units managed]]&gt;0,Cons_Unit_Costs[[#This Row],[Management]]/Cons_Unit_Costs[[#This Row],[Closing social housing units managed]],"")</f>
        <v>1.2144929749541844</v>
      </c>
      <c r="H161" s="156">
        <v>15905</v>
      </c>
      <c r="I161" s="157">
        <f>IF(Cons_Unit_Costs[[#This Row],[Closing social housing units managed]]&gt;0,Cons_Unit_Costs[[#This Row],[Service charge costs]]/Cons_Unit_Costs[[#This Row],[Closing social housing units managed]],"")</f>
        <v>0.34025656689065364</v>
      </c>
      <c r="J161" s="156">
        <v>4456</v>
      </c>
      <c r="K161" s="157">
        <f>IF(Cons_Unit_Costs[[#This Row],[Closing social housing units managed]]&gt;0,(Cons_Unit_Costs[[#This Row],[Routine maintenance]]+Cons_Unit_Costs[[#This Row],[Planned maintenance]])/Cons_Unit_Costs[[#This Row],[Closing social housing units managed]],"")</f>
        <v>0.76298106291997558</v>
      </c>
      <c r="L161" s="156">
        <v>8443</v>
      </c>
      <c r="M161" s="156">
        <v>1549</v>
      </c>
      <c r="N161" s="157">
        <f>IF(Cons_Unit_Costs[[#This Row],[Closing social housing units managed]]&gt;0,(Cons_Unit_Costs[[#This Row],[Major repairs expenditure]]+Cons_Unit_Costs[[#This Row],[Capitalised major repairs expenditure for period]])/Cons_Unit_Costs[[#This Row],[Closing social housing units managed]],"")</f>
        <v>1.4197464874770922</v>
      </c>
      <c r="O161" s="156">
        <v>5411</v>
      </c>
      <c r="P161" s="156">
        <v>13182</v>
      </c>
      <c r="Q161"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0.16623396456933415</v>
      </c>
      <c r="R161" s="156">
        <v>0</v>
      </c>
      <c r="S161" s="156">
        <v>1092</v>
      </c>
      <c r="T161" s="156">
        <v>1085</v>
      </c>
      <c r="U161" s="156">
        <v>0</v>
      </c>
      <c r="V161" s="156">
        <v>0</v>
      </c>
      <c r="W161" s="158">
        <v>0</v>
      </c>
      <c r="X161" s="158">
        <v>7.3839340256566896E-2</v>
      </c>
      <c r="Y161" s="156" t="s">
        <v>1257</v>
      </c>
      <c r="Z161" s="159">
        <v>40994</v>
      </c>
      <c r="AA161" s="156" t="s">
        <v>1269</v>
      </c>
      <c r="AB161" s="156" t="s">
        <v>1262</v>
      </c>
      <c r="AC161" s="157">
        <v>0.9156653862445665</v>
      </c>
    </row>
    <row r="162" spans="1:29" x14ac:dyDescent="0.2">
      <c r="A162" s="153" t="s">
        <v>637</v>
      </c>
      <c r="B162" s="153" t="s">
        <v>638</v>
      </c>
      <c r="C162" s="154" t="s">
        <v>200</v>
      </c>
      <c r="D162" s="155">
        <v>6093</v>
      </c>
      <c r="E162"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17644</v>
      </c>
      <c r="F162" s="157">
        <f>IF(Cons_Unit_Costs[[#This Row],[Closing social housing units managed]]&gt;0,Cons_Unit_Costs[[#This Row],[Headline Social Housing Cost]]/Cons_Unit_Costs[[#This Row],[Closing social housing units managed]],"")</f>
        <v>2.8957820449696374</v>
      </c>
      <c r="G162" s="157">
        <f>IF(Cons_Unit_Costs[[#This Row],[Closing social housing units managed]]&gt;0,Cons_Unit_Costs[[#This Row],[Management]]/Cons_Unit_Costs[[#This Row],[Closing social housing units managed]],"")</f>
        <v>0.58870835384867881</v>
      </c>
      <c r="H162" s="156">
        <v>3587</v>
      </c>
      <c r="I162" s="157">
        <f>IF(Cons_Unit_Costs[[#This Row],[Closing social housing units managed]]&gt;0,Cons_Unit_Costs[[#This Row],[Service charge costs]]/Cons_Unit_Costs[[#This Row],[Closing social housing units managed]],"")</f>
        <v>0.62941079927785981</v>
      </c>
      <c r="J162" s="156">
        <v>3835</v>
      </c>
      <c r="K162" s="157">
        <f>IF(Cons_Unit_Costs[[#This Row],[Closing social housing units managed]]&gt;0,(Cons_Unit_Costs[[#This Row],[Routine maintenance]]+Cons_Unit_Costs[[#This Row],[Planned maintenance]])/Cons_Unit_Costs[[#This Row],[Closing social housing units managed]],"")</f>
        <v>1.0062366650254391</v>
      </c>
      <c r="L162" s="156">
        <v>4682</v>
      </c>
      <c r="M162" s="156">
        <v>1449</v>
      </c>
      <c r="N162" s="157">
        <f>IF(Cons_Unit_Costs[[#This Row],[Closing social housing units managed]]&gt;0,(Cons_Unit_Costs[[#This Row],[Major repairs expenditure]]+Cons_Unit_Costs[[#This Row],[Capitalised major repairs expenditure for period]])/Cons_Unit_Costs[[#This Row],[Closing social housing units managed]],"")</f>
        <v>0.37223042836041359</v>
      </c>
      <c r="O162" s="156">
        <v>0</v>
      </c>
      <c r="P162" s="156">
        <v>2268</v>
      </c>
      <c r="Q162"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0.29919579845724603</v>
      </c>
      <c r="R162" s="156">
        <v>0</v>
      </c>
      <c r="S162" s="156">
        <v>1276</v>
      </c>
      <c r="T162" s="156">
        <v>547</v>
      </c>
      <c r="U162" s="156">
        <v>0</v>
      </c>
      <c r="V162" s="156">
        <v>0</v>
      </c>
      <c r="W162" s="158">
        <v>2.8005240746806419E-2</v>
      </c>
      <c r="X162" s="158">
        <v>7.0750081886668856E-2</v>
      </c>
      <c r="Y162" s="156" t="s">
        <v>1258</v>
      </c>
      <c r="Z162" s="159">
        <v>34610</v>
      </c>
      <c r="AA162" s="156" t="s">
        <v>1268</v>
      </c>
      <c r="AB162" s="156" t="s">
        <v>1260</v>
      </c>
      <c r="AC162" s="157">
        <v>0.92438058862508732</v>
      </c>
    </row>
    <row r="163" spans="1:29" x14ac:dyDescent="0.2">
      <c r="A163" s="153" t="s">
        <v>639</v>
      </c>
      <c r="B163" s="153" t="s">
        <v>640</v>
      </c>
      <c r="C163" s="154" t="s">
        <v>200</v>
      </c>
      <c r="D163" s="155">
        <v>2296</v>
      </c>
      <c r="E163"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9494</v>
      </c>
      <c r="F163" s="157">
        <f>IF(Cons_Unit_Costs[[#This Row],[Closing social housing units managed]]&gt;0,Cons_Unit_Costs[[#This Row],[Headline Social Housing Cost]]/Cons_Unit_Costs[[#This Row],[Closing social housing units managed]],"")</f>
        <v>4.1350174216027877</v>
      </c>
      <c r="G163" s="157">
        <f>IF(Cons_Unit_Costs[[#This Row],[Closing social housing units managed]]&gt;0,Cons_Unit_Costs[[#This Row],[Management]]/Cons_Unit_Costs[[#This Row],[Closing social housing units managed]],"")</f>
        <v>1.5644599303135889</v>
      </c>
      <c r="H163" s="156">
        <v>3592</v>
      </c>
      <c r="I163" s="157">
        <f>IF(Cons_Unit_Costs[[#This Row],[Closing social housing units managed]]&gt;0,Cons_Unit_Costs[[#This Row],[Service charge costs]]/Cons_Unit_Costs[[#This Row],[Closing social housing units managed]],"")</f>
        <v>0.36106271777003485</v>
      </c>
      <c r="J163" s="156">
        <v>829</v>
      </c>
      <c r="K163" s="157">
        <f>IF(Cons_Unit_Costs[[#This Row],[Closing social housing units managed]]&gt;0,(Cons_Unit_Costs[[#This Row],[Routine maintenance]]+Cons_Unit_Costs[[#This Row],[Planned maintenance]])/Cons_Unit_Costs[[#This Row],[Closing social housing units managed]],"")</f>
        <v>1.2700348432055748</v>
      </c>
      <c r="L163" s="156">
        <v>1241</v>
      </c>
      <c r="M163" s="156">
        <v>1675</v>
      </c>
      <c r="N163" s="157">
        <f>IF(Cons_Unit_Costs[[#This Row],[Closing social housing units managed]]&gt;0,(Cons_Unit_Costs[[#This Row],[Major repairs expenditure]]+Cons_Unit_Costs[[#This Row],[Capitalised major repairs expenditure for period]])/Cons_Unit_Costs[[#This Row],[Closing social housing units managed]],"")</f>
        <v>0.58275261324041816</v>
      </c>
      <c r="O163" s="156">
        <v>0</v>
      </c>
      <c r="P163" s="156">
        <v>1338</v>
      </c>
      <c r="Q163"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0.35670731707317072</v>
      </c>
      <c r="R163" s="156">
        <v>232</v>
      </c>
      <c r="S163" s="156">
        <v>0</v>
      </c>
      <c r="T163" s="156">
        <v>587</v>
      </c>
      <c r="U163" s="156">
        <v>0</v>
      </c>
      <c r="V163" s="156">
        <v>0</v>
      </c>
      <c r="W163" s="158">
        <v>2.8155795401220087E-3</v>
      </c>
      <c r="X163" s="158">
        <v>8.6813702487095259E-2</v>
      </c>
      <c r="Y163" s="156" t="s">
        <v>1257</v>
      </c>
      <c r="Z163" s="159">
        <v>34379</v>
      </c>
      <c r="AA163" s="156" t="s">
        <v>1268</v>
      </c>
      <c r="AB163" s="156" t="s">
        <v>1259</v>
      </c>
      <c r="AC163" s="157">
        <v>1.0118524159776632</v>
      </c>
    </row>
    <row r="164" spans="1:29" x14ac:dyDescent="0.2">
      <c r="A164" s="153" t="s">
        <v>643</v>
      </c>
      <c r="B164" s="153" t="s">
        <v>644</v>
      </c>
      <c r="C164" s="154" t="s">
        <v>200</v>
      </c>
      <c r="D164" s="155">
        <v>6009</v>
      </c>
      <c r="E16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15723</v>
      </c>
      <c r="F164" s="157">
        <f>IF(Cons_Unit_Costs[[#This Row],[Closing social housing units managed]]&gt;0,Cons_Unit_Costs[[#This Row],[Headline Social Housing Cost]]/Cons_Unit_Costs[[#This Row],[Closing social housing units managed]],"")</f>
        <v>2.6165751372940589</v>
      </c>
      <c r="G164" s="157">
        <f>IF(Cons_Unit_Costs[[#This Row],[Closing social housing units managed]]&gt;0,Cons_Unit_Costs[[#This Row],[Management]]/Cons_Unit_Costs[[#This Row],[Closing social housing units managed]],"")</f>
        <v>0.92511233150274585</v>
      </c>
      <c r="H164" s="156">
        <v>5559</v>
      </c>
      <c r="I164" s="157">
        <f>IF(Cons_Unit_Costs[[#This Row],[Closing social housing units managed]]&gt;0,Cons_Unit_Costs[[#This Row],[Service charge costs]]/Cons_Unit_Costs[[#This Row],[Closing social housing units managed]],"")</f>
        <v>0.22582792477949742</v>
      </c>
      <c r="J164" s="156">
        <v>1357</v>
      </c>
      <c r="K164" s="157">
        <f>IF(Cons_Unit_Costs[[#This Row],[Closing social housing units managed]]&gt;0,(Cons_Unit_Costs[[#This Row],[Routine maintenance]]+Cons_Unit_Costs[[#This Row],[Planned maintenance]])/Cons_Unit_Costs[[#This Row],[Closing social housing units managed]],"")</f>
        <v>0.93776002662672653</v>
      </c>
      <c r="L164" s="156">
        <v>5324</v>
      </c>
      <c r="M164" s="156">
        <v>311</v>
      </c>
      <c r="N164" s="157">
        <f>IF(Cons_Unit_Costs[[#This Row],[Closing social housing units managed]]&gt;0,(Cons_Unit_Costs[[#This Row],[Major repairs expenditure]]+Cons_Unit_Costs[[#This Row],[Capitalised major repairs expenditure for period]])/Cons_Unit_Costs[[#This Row],[Closing social housing units managed]],"")</f>
        <v>0.38775170577467133</v>
      </c>
      <c r="O164" s="156">
        <v>363</v>
      </c>
      <c r="P164" s="156">
        <v>1967</v>
      </c>
      <c r="Q16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0.14012314861041772</v>
      </c>
      <c r="R164" s="156">
        <v>58</v>
      </c>
      <c r="S164" s="156">
        <v>186</v>
      </c>
      <c r="T164" s="156">
        <v>598</v>
      </c>
      <c r="U164" s="156">
        <v>0</v>
      </c>
      <c r="V164" s="156">
        <v>0</v>
      </c>
      <c r="W164" s="158">
        <v>2.5658338960162053E-2</v>
      </c>
      <c r="X164" s="158">
        <v>0.11478730587440918</v>
      </c>
      <c r="Y164" s="156" t="s">
        <v>1257</v>
      </c>
      <c r="Z164" s="159">
        <v>38124</v>
      </c>
      <c r="AA164" s="156" t="s">
        <v>1268</v>
      </c>
      <c r="AB164" s="156" t="s">
        <v>1263</v>
      </c>
      <c r="AC164" s="157">
        <v>1.0022399874355168</v>
      </c>
    </row>
    <row r="165" spans="1:29" x14ac:dyDescent="0.2">
      <c r="A165" s="153" t="s">
        <v>866</v>
      </c>
      <c r="B165" s="153" t="s">
        <v>158</v>
      </c>
      <c r="C165" s="154" t="s">
        <v>200</v>
      </c>
      <c r="D165" s="155">
        <v>8353</v>
      </c>
      <c r="E16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47243</v>
      </c>
      <c r="F165" s="157">
        <f>IF(Cons_Unit_Costs[[#This Row],[Closing social housing units managed]]&gt;0,Cons_Unit_Costs[[#This Row],[Headline Social Housing Cost]]/Cons_Unit_Costs[[#This Row],[Closing social housing units managed]],"")</f>
        <v>5.6558122830120912</v>
      </c>
      <c r="G165" s="157">
        <f>IF(Cons_Unit_Costs[[#This Row],[Closing social housing units managed]]&gt;0,Cons_Unit_Costs[[#This Row],[Management]]/Cons_Unit_Costs[[#This Row],[Closing social housing units managed]],"")</f>
        <v>1.1145696157069316</v>
      </c>
      <c r="H165" s="156">
        <v>9310</v>
      </c>
      <c r="I165" s="157">
        <f>IF(Cons_Unit_Costs[[#This Row],[Closing social housing units managed]]&gt;0,Cons_Unit_Costs[[#This Row],[Service charge costs]]/Cons_Unit_Costs[[#This Row],[Closing social housing units managed]],"")</f>
        <v>0.22638572967796</v>
      </c>
      <c r="J165" s="156">
        <v>1891</v>
      </c>
      <c r="K165" s="157">
        <f>IF(Cons_Unit_Costs[[#This Row],[Closing social housing units managed]]&gt;0,(Cons_Unit_Costs[[#This Row],[Routine maintenance]]+Cons_Unit_Costs[[#This Row],[Planned maintenance]])/Cons_Unit_Costs[[#This Row],[Closing social housing units managed]],"")</f>
        <v>1.2448222195618341</v>
      </c>
      <c r="L165" s="156">
        <v>7210</v>
      </c>
      <c r="M165" s="156">
        <v>3188</v>
      </c>
      <c r="N165" s="157">
        <f>IF(Cons_Unit_Costs[[#This Row],[Closing social housing units managed]]&gt;0,(Cons_Unit_Costs[[#This Row],[Major repairs expenditure]]+Cons_Unit_Costs[[#This Row],[Capitalised major repairs expenditure for period]])/Cons_Unit_Costs[[#This Row],[Closing social housing units managed]],"")</f>
        <v>1.8531066682628996</v>
      </c>
      <c r="O165" s="156">
        <v>4057</v>
      </c>
      <c r="P165" s="156">
        <v>11422</v>
      </c>
      <c r="Q16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1.2169280498024662</v>
      </c>
      <c r="R165" s="156">
        <v>6270</v>
      </c>
      <c r="S165" s="156">
        <v>0</v>
      </c>
      <c r="T165" s="156">
        <v>3723</v>
      </c>
      <c r="U165" s="156">
        <v>172</v>
      </c>
      <c r="V165" s="156">
        <v>0</v>
      </c>
      <c r="W165" s="158">
        <v>1.2929486412067521E-2</v>
      </c>
      <c r="X165" s="158">
        <v>3.9865916437208188E-2</v>
      </c>
      <c r="Y165" s="156" t="s">
        <v>1257</v>
      </c>
      <c r="Z165" s="159">
        <v>42086</v>
      </c>
      <c r="AA165" s="156" t="s">
        <v>1269</v>
      </c>
      <c r="AB165" s="156" t="s">
        <v>1262</v>
      </c>
      <c r="AC165" s="157">
        <v>0.9156653862445665</v>
      </c>
    </row>
    <row r="166" spans="1:29" x14ac:dyDescent="0.2">
      <c r="A166" s="153" t="s">
        <v>646</v>
      </c>
      <c r="B166" s="153" t="s">
        <v>647</v>
      </c>
      <c r="C166" s="154" t="s">
        <v>200</v>
      </c>
      <c r="D166" s="155">
        <v>1694</v>
      </c>
      <c r="E16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32257</v>
      </c>
      <c r="F166" s="157">
        <f>IF(Cons_Unit_Costs[[#This Row],[Closing social housing units managed]]&gt;0,Cons_Unit_Costs[[#This Row],[Headline Social Housing Cost]]/Cons_Unit_Costs[[#This Row],[Closing social housing units managed]],"")</f>
        <v>19.041912632821724</v>
      </c>
      <c r="G166" s="157">
        <f>IF(Cons_Unit_Costs[[#This Row],[Closing social housing units managed]]&gt;0,Cons_Unit_Costs[[#This Row],[Management]]/Cons_Unit_Costs[[#This Row],[Closing social housing units managed]],"")</f>
        <v>2.5318772136953953</v>
      </c>
      <c r="H166" s="156">
        <v>4289</v>
      </c>
      <c r="I166" s="157">
        <f>IF(Cons_Unit_Costs[[#This Row],[Closing social housing units managed]]&gt;0,Cons_Unit_Costs[[#This Row],[Service charge costs]]/Cons_Unit_Costs[[#This Row],[Closing social housing units managed]],"")</f>
        <v>5.9917355371900829</v>
      </c>
      <c r="J166" s="156">
        <v>10150</v>
      </c>
      <c r="K166" s="157">
        <f>IF(Cons_Unit_Costs[[#This Row],[Closing social housing units managed]]&gt;0,(Cons_Unit_Costs[[#This Row],[Routine maintenance]]+Cons_Unit_Costs[[#This Row],[Planned maintenance]])/Cons_Unit_Costs[[#This Row],[Closing social housing units managed]],"")</f>
        <v>1.7083825265643446</v>
      </c>
      <c r="L166" s="156">
        <v>2460</v>
      </c>
      <c r="M166" s="156">
        <v>434</v>
      </c>
      <c r="N166" s="157">
        <f>IF(Cons_Unit_Costs[[#This Row],[Closing social housing units managed]]&gt;0,(Cons_Unit_Costs[[#This Row],[Major repairs expenditure]]+Cons_Unit_Costs[[#This Row],[Capitalised major repairs expenditure for period]])/Cons_Unit_Costs[[#This Row],[Closing social housing units managed]],"")</f>
        <v>1.4846517119244391</v>
      </c>
      <c r="O166" s="156">
        <v>1039</v>
      </c>
      <c r="P166" s="156">
        <v>1476</v>
      </c>
      <c r="Q16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7.3252656434474614</v>
      </c>
      <c r="R166" s="156">
        <v>114</v>
      </c>
      <c r="S166" s="156">
        <v>10803</v>
      </c>
      <c r="T166" s="156">
        <v>1492</v>
      </c>
      <c r="U166" s="156">
        <v>0</v>
      </c>
      <c r="V166" s="156">
        <v>0</v>
      </c>
      <c r="W166" s="158">
        <v>0.52977777777777779</v>
      </c>
      <c r="X166" s="158">
        <v>0.10488888888888889</v>
      </c>
      <c r="Y166" s="156" t="s">
        <v>1256</v>
      </c>
      <c r="Z166" s="159"/>
      <c r="AA166" s="156" t="s">
        <v>1279</v>
      </c>
      <c r="AB166" s="156" t="s">
        <v>1258</v>
      </c>
      <c r="AC166" s="157">
        <v>1.0196147143072907</v>
      </c>
    </row>
    <row r="167" spans="1:29" x14ac:dyDescent="0.2">
      <c r="A167" s="153" t="s">
        <v>652</v>
      </c>
      <c r="B167" s="153" t="s">
        <v>651</v>
      </c>
      <c r="C167" s="154" t="s">
        <v>200</v>
      </c>
      <c r="D167" s="155">
        <v>80678</v>
      </c>
      <c r="E16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304500</v>
      </c>
      <c r="F167" s="157">
        <f>IF(Cons_Unit_Costs[[#This Row],[Closing social housing units managed]]&gt;0,Cons_Unit_Costs[[#This Row],[Headline Social Housing Cost]]/Cons_Unit_Costs[[#This Row],[Closing social housing units managed]],"")</f>
        <v>3.7742631200575127</v>
      </c>
      <c r="G167" s="157">
        <f>IF(Cons_Unit_Costs[[#This Row],[Closing social housing units managed]]&gt;0,Cons_Unit_Costs[[#This Row],[Management]]/Cons_Unit_Costs[[#This Row],[Closing social housing units managed]],"")</f>
        <v>0.67800391680507699</v>
      </c>
      <c r="H167" s="156">
        <v>54700</v>
      </c>
      <c r="I167" s="157">
        <f>IF(Cons_Unit_Costs[[#This Row],[Closing social housing units managed]]&gt;0,Cons_Unit_Costs[[#This Row],[Service charge costs]]/Cons_Unit_Costs[[#This Row],[Closing social housing units managed]],"")</f>
        <v>0.54041994100002477</v>
      </c>
      <c r="J167" s="156">
        <v>43600</v>
      </c>
      <c r="K167" s="157">
        <f>IF(Cons_Unit_Costs[[#This Row],[Closing social housing units managed]]&gt;0,(Cons_Unit_Costs[[#This Row],[Routine maintenance]]+Cons_Unit_Costs[[#This Row],[Planned maintenance]])/Cons_Unit_Costs[[#This Row],[Closing social housing units managed]],"")</f>
        <v>1.2159448672500557</v>
      </c>
      <c r="L167" s="156">
        <v>68900</v>
      </c>
      <c r="M167" s="156">
        <v>29200</v>
      </c>
      <c r="N167" s="157">
        <f>IF(Cons_Unit_Costs[[#This Row],[Closing social housing units managed]]&gt;0,(Cons_Unit_Costs[[#This Row],[Major repairs expenditure]]+Cons_Unit_Costs[[#This Row],[Capitalised major repairs expenditure for period]])/Cons_Unit_Costs[[#This Row],[Closing social housing units managed]],"")</f>
        <v>0.68048290736012296</v>
      </c>
      <c r="O167" s="156">
        <v>0</v>
      </c>
      <c r="P167" s="156">
        <v>54900</v>
      </c>
      <c r="Q16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0.65941148764223212</v>
      </c>
      <c r="R167" s="156">
        <v>5100</v>
      </c>
      <c r="S167" s="156">
        <v>29200</v>
      </c>
      <c r="T167" s="156">
        <v>12500</v>
      </c>
      <c r="U167" s="156">
        <v>6400</v>
      </c>
      <c r="V167" s="156">
        <v>0</v>
      </c>
      <c r="W167" s="158">
        <v>5.0099273805314551E-2</v>
      </c>
      <c r="X167" s="158">
        <v>0.14504854897054423</v>
      </c>
      <c r="Y167" s="156" t="s">
        <v>1256</v>
      </c>
      <c r="Z167" s="159"/>
      <c r="AA167" s="156" t="s">
        <v>1279</v>
      </c>
      <c r="AB167" s="156" t="s">
        <v>1258</v>
      </c>
      <c r="AC167" s="157">
        <v>0.9918651999935747</v>
      </c>
    </row>
    <row r="168" spans="1:29" x14ac:dyDescent="0.2">
      <c r="A168" s="153" t="s">
        <v>653</v>
      </c>
      <c r="B168" s="153" t="s">
        <v>654</v>
      </c>
      <c r="C168" s="154" t="s">
        <v>200</v>
      </c>
      <c r="D168" s="155">
        <v>5975</v>
      </c>
      <c r="E16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22308</v>
      </c>
      <c r="F168" s="157">
        <f>IF(Cons_Unit_Costs[[#This Row],[Closing social housing units managed]]&gt;0,Cons_Unit_Costs[[#This Row],[Headline Social Housing Cost]]/Cons_Unit_Costs[[#This Row],[Closing social housing units managed]],"")</f>
        <v>3.7335564853556487</v>
      </c>
      <c r="G168" s="157">
        <f>IF(Cons_Unit_Costs[[#This Row],[Closing social housing units managed]]&gt;0,Cons_Unit_Costs[[#This Row],[Management]]/Cons_Unit_Costs[[#This Row],[Closing social housing units managed]],"")</f>
        <v>0.6035146443514644</v>
      </c>
      <c r="H168" s="156">
        <v>3606</v>
      </c>
      <c r="I168" s="157">
        <f>IF(Cons_Unit_Costs[[#This Row],[Closing social housing units managed]]&gt;0,Cons_Unit_Costs[[#This Row],[Service charge costs]]/Cons_Unit_Costs[[#This Row],[Closing social housing units managed]],"")</f>
        <v>0.91782426778242676</v>
      </c>
      <c r="J168" s="156">
        <v>5484</v>
      </c>
      <c r="K168" s="157">
        <f>IF(Cons_Unit_Costs[[#This Row],[Closing social housing units managed]]&gt;0,(Cons_Unit_Costs[[#This Row],[Routine maintenance]]+Cons_Unit_Costs[[#This Row],[Planned maintenance]])/Cons_Unit_Costs[[#This Row],[Closing social housing units managed]],"")</f>
        <v>0.92887029288702927</v>
      </c>
      <c r="L168" s="156">
        <v>3563</v>
      </c>
      <c r="M168" s="156">
        <v>1987</v>
      </c>
      <c r="N168" s="157">
        <f>IF(Cons_Unit_Costs[[#This Row],[Closing social housing units managed]]&gt;0,(Cons_Unit_Costs[[#This Row],[Major repairs expenditure]]+Cons_Unit_Costs[[#This Row],[Capitalised major repairs expenditure for period]])/Cons_Unit_Costs[[#This Row],[Closing social housing units managed]],"")</f>
        <v>1.0165690376569039</v>
      </c>
      <c r="O168" s="156">
        <v>1259</v>
      </c>
      <c r="P168" s="156">
        <v>4815</v>
      </c>
      <c r="Q16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0.2667782426778243</v>
      </c>
      <c r="R168" s="156">
        <v>1594</v>
      </c>
      <c r="S168" s="156">
        <v>0</v>
      </c>
      <c r="T168" s="156">
        <v>0</v>
      </c>
      <c r="U168" s="156">
        <v>0</v>
      </c>
      <c r="V168" s="156">
        <v>0</v>
      </c>
      <c r="W168" s="158">
        <v>1.1172224132004124E-2</v>
      </c>
      <c r="X168" s="158">
        <v>0.24767961498796837</v>
      </c>
      <c r="Y168" s="156" t="s">
        <v>1257</v>
      </c>
      <c r="Z168" s="159">
        <v>36871</v>
      </c>
      <c r="AA168" s="156" t="s">
        <v>1268</v>
      </c>
      <c r="AB168" s="156" t="s">
        <v>1259</v>
      </c>
      <c r="AC168" s="157">
        <v>1.0118524159776632</v>
      </c>
    </row>
    <row r="169" spans="1:29" x14ac:dyDescent="0.2">
      <c r="A169" s="153" t="s">
        <v>656</v>
      </c>
      <c r="B169" s="153" t="s">
        <v>657</v>
      </c>
      <c r="C169" s="154" t="s">
        <v>200</v>
      </c>
      <c r="D169" s="155">
        <v>6066</v>
      </c>
      <c r="E169"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17500</v>
      </c>
      <c r="F169" s="157">
        <f>IF(Cons_Unit_Costs[[#This Row],[Closing social housing units managed]]&gt;0,Cons_Unit_Costs[[#This Row],[Headline Social Housing Cost]]/Cons_Unit_Costs[[#This Row],[Closing social housing units managed]],"")</f>
        <v>2.884932410154962</v>
      </c>
      <c r="G169" s="157">
        <f>IF(Cons_Unit_Costs[[#This Row],[Closing social housing units managed]]&gt;0,Cons_Unit_Costs[[#This Row],[Management]]/Cons_Unit_Costs[[#This Row],[Closing social housing units managed]],"")</f>
        <v>0.69419716452357405</v>
      </c>
      <c r="H169" s="156">
        <v>4211</v>
      </c>
      <c r="I169" s="157">
        <f>IF(Cons_Unit_Costs[[#This Row],[Closing social housing units managed]]&gt;0,Cons_Unit_Costs[[#This Row],[Service charge costs]]/Cons_Unit_Costs[[#This Row],[Closing social housing units managed]],"")</f>
        <v>0.33086053412462907</v>
      </c>
      <c r="J169" s="156">
        <v>2007</v>
      </c>
      <c r="K169" s="157">
        <f>IF(Cons_Unit_Costs[[#This Row],[Closing social housing units managed]]&gt;0,(Cons_Unit_Costs[[#This Row],[Routine maintenance]]+Cons_Unit_Costs[[#This Row],[Planned maintenance]])/Cons_Unit_Costs[[#This Row],[Closing social housing units managed]],"")</f>
        <v>1.014507088691065</v>
      </c>
      <c r="L169" s="156">
        <v>4188</v>
      </c>
      <c r="M169" s="156">
        <v>1966</v>
      </c>
      <c r="N169" s="157">
        <f>IF(Cons_Unit_Costs[[#This Row],[Closing social housing units managed]]&gt;0,(Cons_Unit_Costs[[#This Row],[Major repairs expenditure]]+Cons_Unit_Costs[[#This Row],[Capitalised major repairs expenditure for period]])/Cons_Unit_Costs[[#This Row],[Closing social housing units managed]],"")</f>
        <v>0.75420375865479727</v>
      </c>
      <c r="O169" s="156">
        <v>2363</v>
      </c>
      <c r="P169" s="156">
        <v>2212</v>
      </c>
      <c r="Q169"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9.1163864160896807E-2</v>
      </c>
      <c r="R169" s="156">
        <v>0</v>
      </c>
      <c r="S169" s="156">
        <v>90</v>
      </c>
      <c r="T169" s="156">
        <v>0</v>
      </c>
      <c r="U169" s="156">
        <v>463</v>
      </c>
      <c r="V169" s="156">
        <v>0</v>
      </c>
      <c r="W169" s="158">
        <v>1.1704582921200132E-2</v>
      </c>
      <c r="X169" s="158">
        <v>0.24464226838114078</v>
      </c>
      <c r="Y169" s="156" t="s">
        <v>1257</v>
      </c>
      <c r="Z169" s="159">
        <v>36976</v>
      </c>
      <c r="AA169" s="156" t="s">
        <v>1268</v>
      </c>
      <c r="AB169" s="156" t="s">
        <v>1265</v>
      </c>
      <c r="AC169" s="157">
        <v>0.96617455710897804</v>
      </c>
    </row>
    <row r="170" spans="1:29" x14ac:dyDescent="0.2">
      <c r="A170" s="153" t="s">
        <v>659</v>
      </c>
      <c r="B170" s="153" t="s">
        <v>660</v>
      </c>
      <c r="C170" s="154" t="s">
        <v>200</v>
      </c>
      <c r="D170" s="155">
        <v>9415</v>
      </c>
      <c r="E170"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27698</v>
      </c>
      <c r="F170" s="157">
        <f>IF(Cons_Unit_Costs[[#This Row],[Closing social housing units managed]]&gt;0,Cons_Unit_Costs[[#This Row],[Headline Social Housing Cost]]/Cons_Unit_Costs[[#This Row],[Closing social housing units managed]],"")</f>
        <v>2.941901221455125</v>
      </c>
      <c r="G170" s="157">
        <f>IF(Cons_Unit_Costs[[#This Row],[Closing social housing units managed]]&gt;0,Cons_Unit_Costs[[#This Row],[Management]]/Cons_Unit_Costs[[#This Row],[Closing social housing units managed]],"")</f>
        <v>0.68677642060541688</v>
      </c>
      <c r="H170" s="156">
        <v>6466</v>
      </c>
      <c r="I170" s="157">
        <f>IF(Cons_Unit_Costs[[#This Row],[Closing social housing units managed]]&gt;0,Cons_Unit_Costs[[#This Row],[Service charge costs]]/Cons_Unit_Costs[[#This Row],[Closing social housing units managed]],"")</f>
        <v>0.21784386617100371</v>
      </c>
      <c r="J170" s="156">
        <v>2051</v>
      </c>
      <c r="K170" s="157">
        <f>IF(Cons_Unit_Costs[[#This Row],[Closing social housing units managed]]&gt;0,(Cons_Unit_Costs[[#This Row],[Routine maintenance]]+Cons_Unit_Costs[[#This Row],[Planned maintenance]])/Cons_Unit_Costs[[#This Row],[Closing social housing units managed]],"")</f>
        <v>0.76919808815719592</v>
      </c>
      <c r="L170" s="156">
        <v>5097</v>
      </c>
      <c r="M170" s="156">
        <v>2145</v>
      </c>
      <c r="N170" s="157">
        <f>IF(Cons_Unit_Costs[[#This Row],[Closing social housing units managed]]&gt;0,(Cons_Unit_Costs[[#This Row],[Major repairs expenditure]]+Cons_Unit_Costs[[#This Row],[Capitalised major repairs expenditure for period]])/Cons_Unit_Costs[[#This Row],[Closing social housing units managed]],"")</f>
        <v>1.0720127456186936</v>
      </c>
      <c r="O170" s="156">
        <v>3521</v>
      </c>
      <c r="P170" s="156">
        <v>6572</v>
      </c>
      <c r="Q170"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0.19607010090281465</v>
      </c>
      <c r="R170" s="156">
        <v>487</v>
      </c>
      <c r="S170" s="156">
        <v>255</v>
      </c>
      <c r="T170" s="156">
        <v>0</v>
      </c>
      <c r="U170" s="156">
        <v>1104</v>
      </c>
      <c r="V170" s="156">
        <v>0</v>
      </c>
      <c r="W170" s="158">
        <v>5.6424997338443521E-3</v>
      </c>
      <c r="X170" s="158">
        <v>4.3862450761205152E-2</v>
      </c>
      <c r="Y170" s="156" t="s">
        <v>1257</v>
      </c>
      <c r="Z170" s="159">
        <v>34778</v>
      </c>
      <c r="AA170" s="156" t="s">
        <v>1268</v>
      </c>
      <c r="AB170" s="156" t="s">
        <v>1259</v>
      </c>
      <c r="AC170" s="157">
        <v>1.0118524159776632</v>
      </c>
    </row>
    <row r="171" spans="1:29" x14ac:dyDescent="0.2">
      <c r="A171" s="153" t="s">
        <v>664</v>
      </c>
      <c r="B171" s="153" t="s">
        <v>665</v>
      </c>
      <c r="C171" s="154" t="s">
        <v>200</v>
      </c>
      <c r="D171" s="155">
        <v>3593</v>
      </c>
      <c r="E171"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9669</v>
      </c>
      <c r="F171" s="157">
        <f>IF(Cons_Unit_Costs[[#This Row],[Closing social housing units managed]]&gt;0,Cons_Unit_Costs[[#This Row],[Headline Social Housing Cost]]/Cons_Unit_Costs[[#This Row],[Closing social housing units managed]],"")</f>
        <v>2.6910659615919843</v>
      </c>
      <c r="G171" s="157">
        <f>IF(Cons_Unit_Costs[[#This Row],[Closing social housing units managed]]&gt;0,Cons_Unit_Costs[[#This Row],[Management]]/Cons_Unit_Costs[[#This Row],[Closing social housing units managed]],"")</f>
        <v>1.2463122738658503</v>
      </c>
      <c r="H171" s="156">
        <v>4478</v>
      </c>
      <c r="I171" s="157">
        <f>IF(Cons_Unit_Costs[[#This Row],[Closing social housing units managed]]&gt;0,Cons_Unit_Costs[[#This Row],[Service charge costs]]/Cons_Unit_Costs[[#This Row],[Closing social housing units managed]],"")</f>
        <v>0.26635123851934317</v>
      </c>
      <c r="J171" s="156">
        <v>957</v>
      </c>
      <c r="K171" s="157">
        <f>IF(Cons_Unit_Costs[[#This Row],[Closing social housing units managed]]&gt;0,(Cons_Unit_Costs[[#This Row],[Routine maintenance]]+Cons_Unit_Costs[[#This Row],[Planned maintenance]])/Cons_Unit_Costs[[#This Row],[Closing social housing units managed]],"")</f>
        <v>0.89535207347620371</v>
      </c>
      <c r="L171" s="156">
        <v>2219</v>
      </c>
      <c r="M171" s="156">
        <v>998</v>
      </c>
      <c r="N171" s="157">
        <f>IF(Cons_Unit_Costs[[#This Row],[Closing social housing units managed]]&gt;0,(Cons_Unit_Costs[[#This Row],[Major repairs expenditure]]+Cons_Unit_Costs[[#This Row],[Capitalised major repairs expenditure for period]])/Cons_Unit_Costs[[#This Row],[Closing social housing units managed]],"")</f>
        <v>0.26690787642638464</v>
      </c>
      <c r="O171" s="156">
        <v>0</v>
      </c>
      <c r="P171" s="156">
        <v>959</v>
      </c>
      <c r="Q171"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1.6142499304202616E-2</v>
      </c>
      <c r="R171" s="156">
        <v>0</v>
      </c>
      <c r="S171" s="156">
        <v>0</v>
      </c>
      <c r="T171" s="156">
        <v>58</v>
      </c>
      <c r="U171" s="156">
        <v>0</v>
      </c>
      <c r="V171" s="156">
        <v>0</v>
      </c>
      <c r="W171" s="158">
        <v>0</v>
      </c>
      <c r="X171" s="158">
        <v>0.1248630887185104</v>
      </c>
      <c r="Y171" s="156" t="s">
        <v>1257</v>
      </c>
      <c r="Z171" s="159">
        <v>35912</v>
      </c>
      <c r="AA171" s="156" t="s">
        <v>1268</v>
      </c>
      <c r="AB171" s="156" t="s">
        <v>1265</v>
      </c>
      <c r="AC171" s="157">
        <v>0.96617455710897793</v>
      </c>
    </row>
    <row r="172" spans="1:29" x14ac:dyDescent="0.2">
      <c r="A172" s="153" t="s">
        <v>669</v>
      </c>
      <c r="B172" s="153" t="s">
        <v>670</v>
      </c>
      <c r="C172" s="154" t="s">
        <v>200</v>
      </c>
      <c r="D172" s="155">
        <v>4643</v>
      </c>
      <c r="E172"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23162</v>
      </c>
      <c r="F172" s="157">
        <f>IF(Cons_Unit_Costs[[#This Row],[Closing social housing units managed]]&gt;0,Cons_Unit_Costs[[#This Row],[Headline Social Housing Cost]]/Cons_Unit_Costs[[#This Row],[Closing social housing units managed]],"")</f>
        <v>4.9885849666164122</v>
      </c>
      <c r="G172" s="157">
        <f>IF(Cons_Unit_Costs[[#This Row],[Closing social housing units managed]]&gt;0,Cons_Unit_Costs[[#This Row],[Management]]/Cons_Unit_Costs[[#This Row],[Closing social housing units managed]],"")</f>
        <v>0.91341804867542542</v>
      </c>
      <c r="H172" s="156">
        <v>4241</v>
      </c>
      <c r="I172" s="157">
        <f>IF(Cons_Unit_Costs[[#This Row],[Closing social housing units managed]]&gt;0,Cons_Unit_Costs[[#This Row],[Service charge costs]]/Cons_Unit_Costs[[#This Row],[Closing social housing units managed]],"")</f>
        <v>0.59379711393495582</v>
      </c>
      <c r="J172" s="156">
        <v>2757</v>
      </c>
      <c r="K172" s="157">
        <f>IF(Cons_Unit_Costs[[#This Row],[Closing social housing units managed]]&gt;0,(Cons_Unit_Costs[[#This Row],[Routine maintenance]]+Cons_Unit_Costs[[#This Row],[Planned maintenance]])/Cons_Unit_Costs[[#This Row],[Closing social housing units managed]],"")</f>
        <v>1.9431402110704286</v>
      </c>
      <c r="L172" s="156">
        <v>4200</v>
      </c>
      <c r="M172" s="156">
        <v>4822</v>
      </c>
      <c r="N172" s="157">
        <f>IF(Cons_Unit_Costs[[#This Row],[Closing social housing units managed]]&gt;0,(Cons_Unit_Costs[[#This Row],[Major repairs expenditure]]+Cons_Unit_Costs[[#This Row],[Capitalised major repairs expenditure for period]])/Cons_Unit_Costs[[#This Row],[Closing social housing units managed]],"")</f>
        <v>0.55761361188886494</v>
      </c>
      <c r="O172" s="156">
        <v>0</v>
      </c>
      <c r="P172" s="156">
        <v>2589</v>
      </c>
      <c r="Q172"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0.98061598104673697</v>
      </c>
      <c r="R172" s="156">
        <v>359</v>
      </c>
      <c r="S172" s="156">
        <v>174</v>
      </c>
      <c r="T172" s="156">
        <v>0</v>
      </c>
      <c r="U172" s="156">
        <v>339</v>
      </c>
      <c r="V172" s="156">
        <v>3681</v>
      </c>
      <c r="W172" s="158">
        <v>6.3343242625200094E-2</v>
      </c>
      <c r="X172" s="158">
        <v>1.9208781157100389E-2</v>
      </c>
      <c r="Y172" s="156" t="s">
        <v>1256</v>
      </c>
      <c r="Z172" s="159"/>
      <c r="AA172" s="156" t="s">
        <v>1279</v>
      </c>
      <c r="AB172" s="156" t="s">
        <v>1267</v>
      </c>
      <c r="AC172" s="157">
        <v>1.2475257351940872</v>
      </c>
    </row>
    <row r="173" spans="1:29" x14ac:dyDescent="0.2">
      <c r="A173" s="153" t="s">
        <v>672</v>
      </c>
      <c r="B173" s="153" t="s">
        <v>673</v>
      </c>
      <c r="C173" s="154" t="s">
        <v>200</v>
      </c>
      <c r="D173" s="155">
        <v>7966</v>
      </c>
      <c r="E173"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25795</v>
      </c>
      <c r="F173" s="157">
        <f>IF(Cons_Unit_Costs[[#This Row],[Closing social housing units managed]]&gt;0,Cons_Unit_Costs[[#This Row],[Headline Social Housing Cost]]/Cons_Unit_Costs[[#This Row],[Closing social housing units managed]],"")</f>
        <v>3.2381370826010545</v>
      </c>
      <c r="G173" s="157">
        <f>IF(Cons_Unit_Costs[[#This Row],[Closing social housing units managed]]&gt;0,Cons_Unit_Costs[[#This Row],[Management]]/Cons_Unit_Costs[[#This Row],[Closing social housing units managed]],"")</f>
        <v>1.1615616369570676</v>
      </c>
      <c r="H173" s="156">
        <v>9253</v>
      </c>
      <c r="I173" s="157">
        <f>IF(Cons_Unit_Costs[[#This Row],[Closing social housing units managed]]&gt;0,Cons_Unit_Costs[[#This Row],[Service charge costs]]/Cons_Unit_Costs[[#This Row],[Closing social housing units managed]],"")</f>
        <v>0.1625659050966608</v>
      </c>
      <c r="J173" s="156">
        <v>1295</v>
      </c>
      <c r="K173" s="157">
        <f>IF(Cons_Unit_Costs[[#This Row],[Closing social housing units managed]]&gt;0,(Cons_Unit_Costs[[#This Row],[Routine maintenance]]+Cons_Unit_Costs[[#This Row],[Planned maintenance]])/Cons_Unit_Costs[[#This Row],[Closing social housing units managed]],"")</f>
        <v>0.60921416018076824</v>
      </c>
      <c r="L173" s="156">
        <v>3717</v>
      </c>
      <c r="M173" s="156">
        <v>1136</v>
      </c>
      <c r="N173" s="157">
        <f>IF(Cons_Unit_Costs[[#This Row],[Closing social housing units managed]]&gt;0,(Cons_Unit_Costs[[#This Row],[Major repairs expenditure]]+Cons_Unit_Costs[[#This Row],[Capitalised major repairs expenditure for period]])/Cons_Unit_Costs[[#This Row],[Closing social housing units managed]],"")</f>
        <v>1.2638714536781321</v>
      </c>
      <c r="O173" s="156">
        <v>483</v>
      </c>
      <c r="P173" s="156">
        <v>9585</v>
      </c>
      <c r="Q173"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4.0923926688425809E-2</v>
      </c>
      <c r="R173" s="156">
        <v>326</v>
      </c>
      <c r="S173" s="156">
        <v>0</v>
      </c>
      <c r="T173" s="156">
        <v>0</v>
      </c>
      <c r="U173" s="156">
        <v>0</v>
      </c>
      <c r="V173" s="156">
        <v>0</v>
      </c>
      <c r="W173" s="158">
        <v>3.2610058948952716E-3</v>
      </c>
      <c r="X173" s="158">
        <v>0.13558259124545341</v>
      </c>
      <c r="Y173" s="156" t="s">
        <v>1257</v>
      </c>
      <c r="Z173" s="159">
        <v>38432</v>
      </c>
      <c r="AA173" s="156" t="s">
        <v>1268</v>
      </c>
      <c r="AB173" s="156" t="s">
        <v>1264</v>
      </c>
      <c r="AC173" s="157">
        <v>0.94806171416737062</v>
      </c>
    </row>
    <row r="174" spans="1:29" x14ac:dyDescent="0.2">
      <c r="A174" s="153" t="s">
        <v>677</v>
      </c>
      <c r="B174" s="153" t="s">
        <v>676</v>
      </c>
      <c r="C174" s="154" t="s">
        <v>200</v>
      </c>
      <c r="D174" s="155">
        <v>6322</v>
      </c>
      <c r="E17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18795</v>
      </c>
      <c r="F174" s="157">
        <f>IF(Cons_Unit_Costs[[#This Row],[Closing social housing units managed]]&gt;0,Cons_Unit_Costs[[#This Row],[Headline Social Housing Cost]]/Cons_Unit_Costs[[#This Row],[Closing social housing units managed]],"")</f>
        <v>2.9729515975956975</v>
      </c>
      <c r="G174" s="157">
        <f>IF(Cons_Unit_Costs[[#This Row],[Closing social housing units managed]]&gt;0,Cons_Unit_Costs[[#This Row],[Management]]/Cons_Unit_Costs[[#This Row],[Closing social housing units managed]],"")</f>
        <v>0.41901297057893072</v>
      </c>
      <c r="H174" s="156">
        <v>2649</v>
      </c>
      <c r="I174" s="157">
        <f>IF(Cons_Unit_Costs[[#This Row],[Closing social housing units managed]]&gt;0,Cons_Unit_Costs[[#This Row],[Service charge costs]]/Cons_Unit_Costs[[#This Row],[Closing social housing units managed]],"")</f>
        <v>0.23837393229990508</v>
      </c>
      <c r="J174" s="156">
        <v>1507</v>
      </c>
      <c r="K174" s="157">
        <f>IF(Cons_Unit_Costs[[#This Row],[Closing social housing units managed]]&gt;0,(Cons_Unit_Costs[[#This Row],[Routine maintenance]]+Cons_Unit_Costs[[#This Row],[Planned maintenance]])/Cons_Unit_Costs[[#This Row],[Closing social housing units managed]],"")</f>
        <v>1.5234103131920278</v>
      </c>
      <c r="L174" s="156">
        <v>5595</v>
      </c>
      <c r="M174" s="156">
        <v>4036</v>
      </c>
      <c r="N174" s="157">
        <f>IF(Cons_Unit_Costs[[#This Row],[Closing social housing units managed]]&gt;0,(Cons_Unit_Costs[[#This Row],[Major repairs expenditure]]+Cons_Unit_Costs[[#This Row],[Capitalised major repairs expenditure for period]])/Cons_Unit_Costs[[#This Row],[Closing social housing units managed]],"")</f>
        <v>0.60281556469471687</v>
      </c>
      <c r="O174" s="156">
        <v>0</v>
      </c>
      <c r="P174" s="156">
        <v>3811</v>
      </c>
      <c r="Q17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0.18933881683011705</v>
      </c>
      <c r="R174" s="156">
        <v>0</v>
      </c>
      <c r="S174" s="156">
        <v>0</v>
      </c>
      <c r="T174" s="156">
        <v>621</v>
      </c>
      <c r="U174" s="156">
        <v>576</v>
      </c>
      <c r="V174" s="156">
        <v>0</v>
      </c>
      <c r="W174" s="158">
        <v>5.0457269000315358E-3</v>
      </c>
      <c r="X174" s="158">
        <v>0.10438347524440239</v>
      </c>
      <c r="Y174" s="156" t="s">
        <v>1257</v>
      </c>
      <c r="Z174" s="159">
        <v>35618</v>
      </c>
      <c r="AA174" s="156" t="s">
        <v>1268</v>
      </c>
      <c r="AB174" s="156" t="s">
        <v>1259</v>
      </c>
      <c r="AC174" s="157">
        <v>1.0100518065930573</v>
      </c>
    </row>
    <row r="175" spans="1:29" x14ac:dyDescent="0.2">
      <c r="A175" s="153" t="s">
        <v>161</v>
      </c>
      <c r="B175" s="153" t="s">
        <v>160</v>
      </c>
      <c r="C175" s="154" t="s">
        <v>200</v>
      </c>
      <c r="D175" s="155">
        <v>1145</v>
      </c>
      <c r="E17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4027</v>
      </c>
      <c r="F175" s="157">
        <f>IF(Cons_Unit_Costs[[#This Row],[Closing social housing units managed]]&gt;0,Cons_Unit_Costs[[#This Row],[Headline Social Housing Cost]]/Cons_Unit_Costs[[#This Row],[Closing social housing units managed]],"")</f>
        <v>3.5170305676855893</v>
      </c>
      <c r="G175" s="157">
        <f>IF(Cons_Unit_Costs[[#This Row],[Closing social housing units managed]]&gt;0,Cons_Unit_Costs[[#This Row],[Management]]/Cons_Unit_Costs[[#This Row],[Closing social housing units managed]],"")</f>
        <v>1.3170305676855896</v>
      </c>
      <c r="H175" s="156">
        <v>1508</v>
      </c>
      <c r="I175" s="157">
        <f>IF(Cons_Unit_Costs[[#This Row],[Closing social housing units managed]]&gt;0,Cons_Unit_Costs[[#This Row],[Service charge costs]]/Cons_Unit_Costs[[#This Row],[Closing social housing units managed]],"")</f>
        <v>0.18165938864628822</v>
      </c>
      <c r="J175" s="156">
        <v>208</v>
      </c>
      <c r="K175" s="157">
        <f>IF(Cons_Unit_Costs[[#This Row],[Closing social housing units managed]]&gt;0,(Cons_Unit_Costs[[#This Row],[Routine maintenance]]+Cons_Unit_Costs[[#This Row],[Planned maintenance]])/Cons_Unit_Costs[[#This Row],[Closing social housing units managed]],"")</f>
        <v>1.3615720524017467</v>
      </c>
      <c r="L175" s="156">
        <v>475</v>
      </c>
      <c r="M175" s="156">
        <v>1084</v>
      </c>
      <c r="N175" s="157">
        <f>IF(Cons_Unit_Costs[[#This Row],[Closing social housing units managed]]&gt;0,(Cons_Unit_Costs[[#This Row],[Major repairs expenditure]]+Cons_Unit_Costs[[#This Row],[Capitalised major repairs expenditure for period]])/Cons_Unit_Costs[[#This Row],[Closing social housing units managed]],"")</f>
        <v>0.53275109170305679</v>
      </c>
      <c r="O175" s="156">
        <v>168</v>
      </c>
      <c r="P175" s="156">
        <v>442</v>
      </c>
      <c r="Q17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0.1240174672489083</v>
      </c>
      <c r="R175" s="156">
        <v>51</v>
      </c>
      <c r="S175" s="156">
        <v>60</v>
      </c>
      <c r="T175" s="156">
        <v>31</v>
      </c>
      <c r="U175" s="156">
        <v>0</v>
      </c>
      <c r="V175" s="156">
        <v>0</v>
      </c>
      <c r="W175" s="158">
        <v>0.11435523114355231</v>
      </c>
      <c r="X175" s="158">
        <v>0</v>
      </c>
      <c r="Y175" s="156" t="s">
        <v>1256</v>
      </c>
      <c r="Z175" s="159"/>
      <c r="AA175" s="156" t="s">
        <v>1279</v>
      </c>
      <c r="AB175" s="156" t="s">
        <v>1265</v>
      </c>
      <c r="AC175" s="157">
        <v>0.96617455710897793</v>
      </c>
    </row>
    <row r="176" spans="1:29" x14ac:dyDescent="0.2">
      <c r="A176" s="160" t="s">
        <v>163</v>
      </c>
      <c r="B176" s="153" t="s">
        <v>162</v>
      </c>
      <c r="C176" s="154" t="s">
        <v>200</v>
      </c>
      <c r="D176" s="155">
        <v>3093</v>
      </c>
      <c r="E17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12959</v>
      </c>
      <c r="F176" s="157">
        <f>IF(Cons_Unit_Costs[[#This Row],[Closing social housing units managed]]&gt;0,Cons_Unit_Costs[[#This Row],[Headline Social Housing Cost]]/Cons_Unit_Costs[[#This Row],[Closing social housing units managed]],"")</f>
        <v>4.1897833818299386</v>
      </c>
      <c r="G176" s="157">
        <f>IF(Cons_Unit_Costs[[#This Row],[Closing social housing units managed]]&gt;0,Cons_Unit_Costs[[#This Row],[Management]]/Cons_Unit_Costs[[#This Row],[Closing social housing units managed]],"")</f>
        <v>1.1393469123827999</v>
      </c>
      <c r="H176" s="156">
        <v>3524</v>
      </c>
      <c r="I176" s="157">
        <f>IF(Cons_Unit_Costs[[#This Row],[Closing social housing units managed]]&gt;0,Cons_Unit_Costs[[#This Row],[Service charge costs]]/Cons_Unit_Costs[[#This Row],[Closing social housing units managed]],"")</f>
        <v>0.16521176850953767</v>
      </c>
      <c r="J176" s="156">
        <v>511</v>
      </c>
      <c r="K176" s="157">
        <f>IF(Cons_Unit_Costs[[#This Row],[Closing social housing units managed]]&gt;0,(Cons_Unit_Costs[[#This Row],[Routine maintenance]]+Cons_Unit_Costs[[#This Row],[Planned maintenance]])/Cons_Unit_Costs[[#This Row],[Closing social housing units managed]],"")</f>
        <v>0.96378920142256708</v>
      </c>
      <c r="L176" s="156">
        <v>1820</v>
      </c>
      <c r="M176" s="156">
        <v>1161</v>
      </c>
      <c r="N176" s="157">
        <f>IF(Cons_Unit_Costs[[#This Row],[Closing social housing units managed]]&gt;0,(Cons_Unit_Costs[[#This Row],[Major repairs expenditure]]+Cons_Unit_Costs[[#This Row],[Capitalised major repairs expenditure for period]])/Cons_Unit_Costs[[#This Row],[Closing social housing units managed]],"")</f>
        <v>1.8079534432589719</v>
      </c>
      <c r="O176" s="156">
        <v>0</v>
      </c>
      <c r="P176" s="156">
        <v>5592</v>
      </c>
      <c r="Q17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0.11348205625606207</v>
      </c>
      <c r="R176" s="156">
        <v>0</v>
      </c>
      <c r="S176" s="156">
        <v>0</v>
      </c>
      <c r="T176" s="156">
        <v>351</v>
      </c>
      <c r="U176" s="156">
        <v>0</v>
      </c>
      <c r="V176" s="156">
        <v>0</v>
      </c>
      <c r="W176" s="158">
        <v>0</v>
      </c>
      <c r="X176" s="158">
        <v>0.13921188630490955</v>
      </c>
      <c r="Y176" s="156" t="s">
        <v>1257</v>
      </c>
      <c r="Z176" s="159">
        <v>40973</v>
      </c>
      <c r="AA176" s="156" t="s">
        <v>1269</v>
      </c>
      <c r="AB176" s="156" t="s">
        <v>1262</v>
      </c>
      <c r="AC176" s="157">
        <v>0.91566538624456639</v>
      </c>
    </row>
    <row r="177" spans="1:29" x14ac:dyDescent="0.2">
      <c r="A177" s="153" t="s">
        <v>678</v>
      </c>
      <c r="B177" s="153" t="s">
        <v>679</v>
      </c>
      <c r="C177" s="154" t="s">
        <v>200</v>
      </c>
      <c r="D177" s="155">
        <v>3748</v>
      </c>
      <c r="E17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13148</v>
      </c>
      <c r="F177" s="157">
        <f>IF(Cons_Unit_Costs[[#This Row],[Closing social housing units managed]]&gt;0,Cons_Unit_Costs[[#This Row],[Headline Social Housing Cost]]/Cons_Unit_Costs[[#This Row],[Closing social housing units managed]],"")</f>
        <v>3.5080042689434365</v>
      </c>
      <c r="G177" s="157">
        <f>IF(Cons_Unit_Costs[[#This Row],[Closing social housing units managed]]&gt;0,Cons_Unit_Costs[[#This Row],[Management]]/Cons_Unit_Costs[[#This Row],[Closing social housing units managed]],"")</f>
        <v>1.2705442902881536</v>
      </c>
      <c r="H177" s="156">
        <v>4762</v>
      </c>
      <c r="I177" s="157">
        <f>IF(Cons_Unit_Costs[[#This Row],[Closing social housing units managed]]&gt;0,Cons_Unit_Costs[[#This Row],[Service charge costs]]/Cons_Unit_Costs[[#This Row],[Closing social housing units managed]],"")</f>
        <v>0.19877267876200641</v>
      </c>
      <c r="J177" s="156">
        <v>745</v>
      </c>
      <c r="K177" s="157">
        <f>IF(Cons_Unit_Costs[[#This Row],[Closing social housing units managed]]&gt;0,(Cons_Unit_Costs[[#This Row],[Routine maintenance]]+Cons_Unit_Costs[[#This Row],[Planned maintenance]])/Cons_Unit_Costs[[#This Row],[Closing social housing units managed]],"")</f>
        <v>1.0885805763073639</v>
      </c>
      <c r="L177" s="156">
        <v>2392</v>
      </c>
      <c r="M177" s="156">
        <v>1688</v>
      </c>
      <c r="N177" s="157">
        <f>IF(Cons_Unit_Costs[[#This Row],[Closing social housing units managed]]&gt;0,(Cons_Unit_Costs[[#This Row],[Major repairs expenditure]]+Cons_Unit_Costs[[#This Row],[Capitalised major repairs expenditure for period]])/Cons_Unit_Costs[[#This Row],[Closing social housing units managed]],"")</f>
        <v>0.79829242262540023</v>
      </c>
      <c r="O177" s="156">
        <v>589</v>
      </c>
      <c r="P177" s="156">
        <v>2403</v>
      </c>
      <c r="Q17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0.15181430096051227</v>
      </c>
      <c r="R177" s="156">
        <v>0</v>
      </c>
      <c r="S177" s="156">
        <v>0</v>
      </c>
      <c r="T177" s="156">
        <v>569</v>
      </c>
      <c r="U177" s="156">
        <v>0</v>
      </c>
      <c r="V177" s="156">
        <v>0</v>
      </c>
      <c r="W177" s="158">
        <v>8.0042689434364994E-4</v>
      </c>
      <c r="X177" s="158">
        <v>3.1483457844183563E-2</v>
      </c>
      <c r="Y177" s="156" t="s">
        <v>1257</v>
      </c>
      <c r="Z177" s="159">
        <v>36437</v>
      </c>
      <c r="AA177" s="156" t="s">
        <v>1268</v>
      </c>
      <c r="AB177" s="156" t="s">
        <v>1262</v>
      </c>
      <c r="AC177" s="157">
        <v>0.91566538624456639</v>
      </c>
    </row>
    <row r="178" spans="1:29" x14ac:dyDescent="0.2">
      <c r="A178" s="153" t="s">
        <v>685</v>
      </c>
      <c r="B178" s="153" t="s">
        <v>686</v>
      </c>
      <c r="C178" s="154" t="s">
        <v>200</v>
      </c>
      <c r="D178" s="155">
        <v>5760</v>
      </c>
      <c r="E17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32334</v>
      </c>
      <c r="F178" s="157">
        <f>IF(Cons_Unit_Costs[[#This Row],[Closing social housing units managed]]&gt;0,Cons_Unit_Costs[[#This Row],[Headline Social Housing Cost]]/Cons_Unit_Costs[[#This Row],[Closing social housing units managed]],"")</f>
        <v>5.6135416666666664</v>
      </c>
      <c r="G178" s="157">
        <f>IF(Cons_Unit_Costs[[#This Row],[Closing social housing units managed]]&gt;0,Cons_Unit_Costs[[#This Row],[Management]]/Cons_Unit_Costs[[#This Row],[Closing social housing units managed]],"")</f>
        <v>0.82673611111111112</v>
      </c>
      <c r="H178" s="156">
        <v>4762</v>
      </c>
      <c r="I178" s="157">
        <f>IF(Cons_Unit_Costs[[#This Row],[Closing social housing units managed]]&gt;0,Cons_Unit_Costs[[#This Row],[Service charge costs]]/Cons_Unit_Costs[[#This Row],[Closing social housing units managed]],"")</f>
        <v>0.52951388888888884</v>
      </c>
      <c r="J178" s="156">
        <v>3050</v>
      </c>
      <c r="K178" s="157">
        <f>IF(Cons_Unit_Costs[[#This Row],[Closing social housing units managed]]&gt;0,(Cons_Unit_Costs[[#This Row],[Routine maintenance]]+Cons_Unit_Costs[[#This Row],[Planned maintenance]])/Cons_Unit_Costs[[#This Row],[Closing social housing units managed]],"")</f>
        <v>0.98645833333333333</v>
      </c>
      <c r="L178" s="156">
        <v>4696</v>
      </c>
      <c r="M178" s="156">
        <v>986</v>
      </c>
      <c r="N178" s="157">
        <f>IF(Cons_Unit_Costs[[#This Row],[Closing social housing units managed]]&gt;0,(Cons_Unit_Costs[[#This Row],[Major repairs expenditure]]+Cons_Unit_Costs[[#This Row],[Capitalised major repairs expenditure for period]])/Cons_Unit_Costs[[#This Row],[Closing social housing units managed]],"")</f>
        <v>0.66128472222222223</v>
      </c>
      <c r="O178" s="156">
        <v>0</v>
      </c>
      <c r="P178" s="156">
        <v>3809</v>
      </c>
      <c r="Q17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2.6095486111111112</v>
      </c>
      <c r="R178" s="156">
        <v>6657</v>
      </c>
      <c r="S178" s="156">
        <v>3682</v>
      </c>
      <c r="T178" s="156">
        <v>4692</v>
      </c>
      <c r="U178" s="156">
        <v>0</v>
      </c>
      <c r="V178" s="156">
        <v>0</v>
      </c>
      <c r="W178" s="158">
        <v>0.18835496317081726</v>
      </c>
      <c r="X178" s="158">
        <v>9.6808137495615579E-2</v>
      </c>
      <c r="Y178" s="156" t="s">
        <v>1256</v>
      </c>
      <c r="Z178" s="159"/>
      <c r="AA178" s="156" t="s">
        <v>1279</v>
      </c>
      <c r="AB178" s="156" t="s">
        <v>1264</v>
      </c>
      <c r="AC178" s="157">
        <v>0.94481683096017821</v>
      </c>
    </row>
    <row r="179" spans="1:29" x14ac:dyDescent="0.2">
      <c r="A179" s="153" t="s">
        <v>690</v>
      </c>
      <c r="B179" s="153" t="s">
        <v>691</v>
      </c>
      <c r="C179" s="154" t="s">
        <v>200</v>
      </c>
      <c r="D179" s="155">
        <v>27425</v>
      </c>
      <c r="E179"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105574</v>
      </c>
      <c r="F179" s="157">
        <f>IF(Cons_Unit_Costs[[#This Row],[Closing social housing units managed]]&gt;0,Cons_Unit_Costs[[#This Row],[Headline Social Housing Cost]]/Cons_Unit_Costs[[#This Row],[Closing social housing units managed]],"")</f>
        <v>3.8495533272561531</v>
      </c>
      <c r="G179" s="157">
        <f>IF(Cons_Unit_Costs[[#This Row],[Closing social housing units managed]]&gt;0,Cons_Unit_Costs[[#This Row],[Management]]/Cons_Unit_Costs[[#This Row],[Closing social housing units managed]],"")</f>
        <v>1.4994712853236098</v>
      </c>
      <c r="H179" s="156">
        <v>41123</v>
      </c>
      <c r="I179" s="157">
        <f>IF(Cons_Unit_Costs[[#This Row],[Closing social housing units managed]]&gt;0,Cons_Unit_Costs[[#This Row],[Service charge costs]]/Cons_Unit_Costs[[#This Row],[Closing social housing units managed]],"")</f>
        <v>0.6368277119416591</v>
      </c>
      <c r="J179" s="156">
        <v>17465</v>
      </c>
      <c r="K179" s="157">
        <f>IF(Cons_Unit_Costs[[#This Row],[Closing social housing units managed]]&gt;0,(Cons_Unit_Costs[[#This Row],[Routine maintenance]]+Cons_Unit_Costs[[#This Row],[Planned maintenance]])/Cons_Unit_Costs[[#This Row],[Closing social housing units managed]],"")</f>
        <v>0.8701185050136736</v>
      </c>
      <c r="L179" s="156">
        <v>21163</v>
      </c>
      <c r="M179" s="156">
        <v>2700</v>
      </c>
      <c r="N179" s="157">
        <f>IF(Cons_Unit_Costs[[#This Row],[Closing social housing units managed]]&gt;0,(Cons_Unit_Costs[[#This Row],[Major repairs expenditure]]+Cons_Unit_Costs[[#This Row],[Capitalised major repairs expenditure for period]])/Cons_Unit_Costs[[#This Row],[Closing social housing units managed]],"")</f>
        <v>0.63489516864175022</v>
      </c>
      <c r="O179" s="156">
        <v>0</v>
      </c>
      <c r="P179" s="156">
        <v>17412</v>
      </c>
      <c r="Q179"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0.20824065633546035</v>
      </c>
      <c r="R179" s="156">
        <v>3447</v>
      </c>
      <c r="S179" s="156">
        <v>2264</v>
      </c>
      <c r="T179" s="156">
        <v>0</v>
      </c>
      <c r="U179" s="156">
        <v>0</v>
      </c>
      <c r="V179" s="156">
        <v>0</v>
      </c>
      <c r="W179" s="158">
        <v>7.4102514878095606E-3</v>
      </c>
      <c r="X179" s="158">
        <v>0</v>
      </c>
      <c r="Y179" s="156" t="s">
        <v>1256</v>
      </c>
      <c r="Z179" s="159"/>
      <c r="AA179" s="156" t="s">
        <v>1279</v>
      </c>
      <c r="AB179" s="156" t="s">
        <v>1259</v>
      </c>
      <c r="AC179" s="157">
        <v>1.1020113603497916</v>
      </c>
    </row>
    <row r="180" spans="1:29" x14ac:dyDescent="0.2">
      <c r="A180" s="153" t="s">
        <v>693</v>
      </c>
      <c r="B180" s="153" t="s">
        <v>694</v>
      </c>
      <c r="C180" s="154" t="s">
        <v>200</v>
      </c>
      <c r="D180" s="155">
        <v>5838</v>
      </c>
      <c r="E180"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12923</v>
      </c>
      <c r="F180" s="157">
        <f>IF(Cons_Unit_Costs[[#This Row],[Closing social housing units managed]]&gt;0,Cons_Unit_Costs[[#This Row],[Headline Social Housing Cost]]/Cons_Unit_Costs[[#This Row],[Closing social housing units managed]],"")</f>
        <v>2.2136005481329222</v>
      </c>
      <c r="G180" s="157">
        <f>IF(Cons_Unit_Costs[[#This Row],[Closing social housing units managed]]&gt;0,Cons_Unit_Costs[[#This Row],[Management]]/Cons_Unit_Costs[[#This Row],[Closing social housing units managed]],"")</f>
        <v>0.94535799931483389</v>
      </c>
      <c r="H180" s="156">
        <v>5519</v>
      </c>
      <c r="I180" s="157">
        <f>IF(Cons_Unit_Costs[[#This Row],[Closing social housing units managed]]&gt;0,Cons_Unit_Costs[[#This Row],[Service charge costs]]/Cons_Unit_Costs[[#This Row],[Closing social housing units managed]],"")</f>
        <v>4.6248715313463515E-2</v>
      </c>
      <c r="J180" s="156">
        <v>270</v>
      </c>
      <c r="K180" s="157">
        <f>IF(Cons_Unit_Costs[[#This Row],[Closing social housing units managed]]&gt;0,(Cons_Unit_Costs[[#This Row],[Routine maintenance]]+Cons_Unit_Costs[[#This Row],[Planned maintenance]])/Cons_Unit_Costs[[#This Row],[Closing social housing units managed]],"")</f>
        <v>0.67660157588215142</v>
      </c>
      <c r="L180" s="156">
        <v>2768</v>
      </c>
      <c r="M180" s="156">
        <v>1182</v>
      </c>
      <c r="N180" s="157">
        <f>IF(Cons_Unit_Costs[[#This Row],[Closing social housing units managed]]&gt;0,(Cons_Unit_Costs[[#This Row],[Major repairs expenditure]]+Cons_Unit_Costs[[#This Row],[Capitalised major repairs expenditure for period]])/Cons_Unit_Costs[[#This Row],[Closing social housing units managed]],"")</f>
        <v>0.21514217197670435</v>
      </c>
      <c r="O180" s="156">
        <v>656</v>
      </c>
      <c r="P180" s="156">
        <v>600</v>
      </c>
      <c r="Q180"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0.33025008564576908</v>
      </c>
      <c r="R180" s="156">
        <v>738</v>
      </c>
      <c r="S180" s="156">
        <v>0</v>
      </c>
      <c r="T180" s="156">
        <v>0</v>
      </c>
      <c r="U180" s="156">
        <v>0</v>
      </c>
      <c r="V180" s="156">
        <v>1190</v>
      </c>
      <c r="W180" s="158">
        <v>8.0507022953066124E-3</v>
      </c>
      <c r="X180" s="158">
        <v>0</v>
      </c>
      <c r="Y180" s="156" t="s">
        <v>1257</v>
      </c>
      <c r="Z180" s="159">
        <v>39412</v>
      </c>
      <c r="AA180" s="156" t="s">
        <v>1280</v>
      </c>
      <c r="AB180" s="156" t="s">
        <v>1262</v>
      </c>
      <c r="AC180" s="157">
        <v>0.9156653862445665</v>
      </c>
    </row>
    <row r="181" spans="1:29" x14ac:dyDescent="0.2">
      <c r="A181" s="153" t="s">
        <v>697</v>
      </c>
      <c r="B181" s="153" t="s">
        <v>696</v>
      </c>
      <c r="C181" s="154" t="s">
        <v>200</v>
      </c>
      <c r="D181" s="155">
        <v>51504</v>
      </c>
      <c r="E181"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155727</v>
      </c>
      <c r="F181" s="157">
        <f>IF(Cons_Unit_Costs[[#This Row],[Closing social housing units managed]]&gt;0,Cons_Unit_Costs[[#This Row],[Headline Social Housing Cost]]/Cons_Unit_Costs[[#This Row],[Closing social housing units managed]],"")</f>
        <v>3.0235904007455732</v>
      </c>
      <c r="G181" s="157">
        <f>IF(Cons_Unit_Costs[[#This Row],[Closing social housing units managed]]&gt;0,Cons_Unit_Costs[[#This Row],[Management]]/Cons_Unit_Costs[[#This Row],[Closing social housing units managed]],"")</f>
        <v>1.0959148803976391</v>
      </c>
      <c r="H181" s="156">
        <v>56444</v>
      </c>
      <c r="I181" s="157">
        <f>IF(Cons_Unit_Costs[[#This Row],[Closing social housing units managed]]&gt;0,Cons_Unit_Costs[[#This Row],[Service charge costs]]/Cons_Unit_Costs[[#This Row],[Closing social housing units managed]],"")</f>
        <v>0.27027027027027029</v>
      </c>
      <c r="J181" s="156">
        <v>13920</v>
      </c>
      <c r="K181" s="157">
        <f>IF(Cons_Unit_Costs[[#This Row],[Closing social housing units managed]]&gt;0,(Cons_Unit_Costs[[#This Row],[Routine maintenance]]+Cons_Unit_Costs[[#This Row],[Planned maintenance]])/Cons_Unit_Costs[[#This Row],[Closing social housing units managed]],"")</f>
        <v>0.92985010872941909</v>
      </c>
      <c r="L181" s="156">
        <v>36859</v>
      </c>
      <c r="M181" s="156">
        <v>11032</v>
      </c>
      <c r="N181" s="157">
        <f>IF(Cons_Unit_Costs[[#This Row],[Closing social housing units managed]]&gt;0,(Cons_Unit_Costs[[#This Row],[Major repairs expenditure]]+Cons_Unit_Costs[[#This Row],[Capitalised major repairs expenditure for period]])/Cons_Unit_Costs[[#This Row],[Closing social housing units managed]],"")</f>
        <v>0.68155871388630007</v>
      </c>
      <c r="O181" s="156">
        <v>21935</v>
      </c>
      <c r="P181" s="156">
        <v>13168</v>
      </c>
      <c r="Q181"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4.5996427461944704E-2</v>
      </c>
      <c r="R181" s="156">
        <v>290</v>
      </c>
      <c r="S181" s="156">
        <v>0</v>
      </c>
      <c r="T181" s="156">
        <v>498</v>
      </c>
      <c r="U181" s="156">
        <v>221</v>
      </c>
      <c r="V181" s="156">
        <v>1360</v>
      </c>
      <c r="W181" s="158">
        <v>1.9646249975515642E-2</v>
      </c>
      <c r="X181" s="158">
        <v>6.2444910191369753E-2</v>
      </c>
      <c r="Y181" s="156" t="s">
        <v>1256</v>
      </c>
      <c r="Z181" s="159"/>
      <c r="AA181" s="156" t="s">
        <v>1279</v>
      </c>
      <c r="AB181" s="156" t="s">
        <v>1259</v>
      </c>
      <c r="AC181" s="157">
        <v>0.99285644436657994</v>
      </c>
    </row>
    <row r="182" spans="1:29" x14ac:dyDescent="0.2">
      <c r="A182" s="153" t="s">
        <v>700</v>
      </c>
      <c r="B182" s="153" t="s">
        <v>701</v>
      </c>
      <c r="C182" s="154" t="s">
        <v>200</v>
      </c>
      <c r="D182" s="155">
        <v>2202</v>
      </c>
      <c r="E182"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57001</v>
      </c>
      <c r="F182" s="157">
        <f>IF(Cons_Unit_Costs[[#This Row],[Closing social housing units managed]]&gt;0,Cons_Unit_Costs[[#This Row],[Headline Social Housing Cost]]/Cons_Unit_Costs[[#This Row],[Closing social housing units managed]],"")</f>
        <v>25.886012715712987</v>
      </c>
      <c r="G182" s="157">
        <f>IF(Cons_Unit_Costs[[#This Row],[Closing social housing units managed]]&gt;0,Cons_Unit_Costs[[#This Row],[Management]]/Cons_Unit_Costs[[#This Row],[Closing social housing units managed]],"")</f>
        <v>8.5631244323342415</v>
      </c>
      <c r="H182" s="156">
        <v>18856</v>
      </c>
      <c r="I182" s="157">
        <f>IF(Cons_Unit_Costs[[#This Row],[Closing social housing units managed]]&gt;0,Cons_Unit_Costs[[#This Row],[Service charge costs]]/Cons_Unit_Costs[[#This Row],[Closing social housing units managed]],"")</f>
        <v>3.4927338782924613</v>
      </c>
      <c r="J182" s="156">
        <v>7691</v>
      </c>
      <c r="K182" s="157">
        <f>IF(Cons_Unit_Costs[[#This Row],[Closing social housing units managed]]&gt;0,(Cons_Unit_Costs[[#This Row],[Routine maintenance]]+Cons_Unit_Costs[[#This Row],[Planned maintenance]])/Cons_Unit_Costs[[#This Row],[Closing social housing units managed]],"")</f>
        <v>0.79427792915531337</v>
      </c>
      <c r="L182" s="156">
        <v>867</v>
      </c>
      <c r="M182" s="156">
        <v>882</v>
      </c>
      <c r="N182" s="157">
        <f>IF(Cons_Unit_Costs[[#This Row],[Closing social housing units managed]]&gt;0,(Cons_Unit_Costs[[#This Row],[Major repairs expenditure]]+Cons_Unit_Costs[[#This Row],[Capitalised major repairs expenditure for period]])/Cons_Unit_Costs[[#This Row],[Closing social housing units managed]],"")</f>
        <v>1.4336966394187103</v>
      </c>
      <c r="O182" s="156">
        <v>0</v>
      </c>
      <c r="P182" s="156">
        <v>3157</v>
      </c>
      <c r="Q182"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11.602179836512262</v>
      </c>
      <c r="R182" s="156">
        <v>371</v>
      </c>
      <c r="S182" s="156">
        <v>25177</v>
      </c>
      <c r="T182" s="156">
        <v>0</v>
      </c>
      <c r="U182" s="156">
        <v>0</v>
      </c>
      <c r="V182" s="156">
        <v>0</v>
      </c>
      <c r="W182" s="158">
        <v>0.97683235046335304</v>
      </c>
      <c r="X182" s="158">
        <v>2.316764953664701E-2</v>
      </c>
      <c r="Y182" s="156" t="s">
        <v>1256</v>
      </c>
      <c r="Z182" s="159"/>
      <c r="AA182" s="156" t="s">
        <v>1279</v>
      </c>
      <c r="AB182" s="156" t="s">
        <v>1267</v>
      </c>
      <c r="AC182" s="157">
        <v>1.2476770922427836</v>
      </c>
    </row>
    <row r="183" spans="1:29" x14ac:dyDescent="0.2">
      <c r="A183" s="153" t="s">
        <v>706</v>
      </c>
      <c r="B183" s="153" t="s">
        <v>705</v>
      </c>
      <c r="C183" s="154" t="s">
        <v>200</v>
      </c>
      <c r="D183" s="155">
        <v>3503</v>
      </c>
      <c r="E183"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15143</v>
      </c>
      <c r="F183" s="157">
        <f>IF(Cons_Unit_Costs[[#This Row],[Closing social housing units managed]]&gt;0,Cons_Unit_Costs[[#This Row],[Headline Social Housing Cost]]/Cons_Unit_Costs[[#This Row],[Closing social housing units managed]],"")</f>
        <v>4.3228661147587779</v>
      </c>
      <c r="G183" s="157">
        <f>IF(Cons_Unit_Costs[[#This Row],[Closing social housing units managed]]&gt;0,Cons_Unit_Costs[[#This Row],[Management]]/Cons_Unit_Costs[[#This Row],[Closing social housing units managed]],"")</f>
        <v>0.77619183556951188</v>
      </c>
      <c r="H183" s="156">
        <v>2719</v>
      </c>
      <c r="I183" s="157">
        <f>IF(Cons_Unit_Costs[[#This Row],[Closing social housing units managed]]&gt;0,Cons_Unit_Costs[[#This Row],[Service charge costs]]/Cons_Unit_Costs[[#This Row],[Closing social housing units managed]],"")</f>
        <v>0.98258635455324006</v>
      </c>
      <c r="J183" s="156">
        <v>3442</v>
      </c>
      <c r="K183" s="157">
        <f>IF(Cons_Unit_Costs[[#This Row],[Closing social housing units managed]]&gt;0,(Cons_Unit_Costs[[#This Row],[Routine maintenance]]+Cons_Unit_Costs[[#This Row],[Planned maintenance]])/Cons_Unit_Costs[[#This Row],[Closing social housing units managed]],"")</f>
        <v>1.4561804167856123</v>
      </c>
      <c r="L183" s="156">
        <v>3550</v>
      </c>
      <c r="M183" s="156">
        <v>1551</v>
      </c>
      <c r="N183" s="157">
        <f>IF(Cons_Unit_Costs[[#This Row],[Closing social housing units managed]]&gt;0,(Cons_Unit_Costs[[#This Row],[Major repairs expenditure]]+Cons_Unit_Costs[[#This Row],[Capitalised major repairs expenditure for period]])/Cons_Unit_Costs[[#This Row],[Closing social housing units managed]],"")</f>
        <v>0.3668284327719098</v>
      </c>
      <c r="O183" s="156">
        <v>280</v>
      </c>
      <c r="P183" s="156">
        <v>1005</v>
      </c>
      <c r="Q183"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0.74107907507850412</v>
      </c>
      <c r="R183" s="156">
        <v>654</v>
      </c>
      <c r="S183" s="156">
        <v>306</v>
      </c>
      <c r="T183" s="156">
        <v>39</v>
      </c>
      <c r="U183" s="156">
        <v>295</v>
      </c>
      <c r="V183" s="156">
        <v>1302</v>
      </c>
      <c r="W183" s="158">
        <v>0.11029842012873026</v>
      </c>
      <c r="X183" s="158">
        <v>0.11819777647747221</v>
      </c>
      <c r="Y183" s="156" t="s">
        <v>1256</v>
      </c>
      <c r="Z183" s="159"/>
      <c r="AA183" s="156" t="s">
        <v>1279</v>
      </c>
      <c r="AB183" s="156" t="s">
        <v>1262</v>
      </c>
      <c r="AC183" s="157">
        <v>0.91722517397786574</v>
      </c>
    </row>
    <row r="184" spans="1:29" x14ac:dyDescent="0.2">
      <c r="A184" s="153" t="s">
        <v>166</v>
      </c>
      <c r="B184" s="153" t="s">
        <v>1</v>
      </c>
      <c r="C184" s="154" t="s">
        <v>200</v>
      </c>
      <c r="D184" s="155">
        <v>6185</v>
      </c>
      <c r="E18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16588</v>
      </c>
      <c r="F184" s="157">
        <f>IF(Cons_Unit_Costs[[#This Row],[Closing social housing units managed]]&gt;0,Cons_Unit_Costs[[#This Row],[Headline Social Housing Cost]]/Cons_Unit_Costs[[#This Row],[Closing social housing units managed]],"")</f>
        <v>2.6819725141471302</v>
      </c>
      <c r="G184" s="157">
        <f>IF(Cons_Unit_Costs[[#This Row],[Closing social housing units managed]]&gt;0,Cons_Unit_Costs[[#This Row],[Management]]/Cons_Unit_Costs[[#This Row],[Closing social housing units managed]],"")</f>
        <v>0.791269199676637</v>
      </c>
      <c r="H184" s="156">
        <v>4894</v>
      </c>
      <c r="I184" s="157">
        <f>IF(Cons_Unit_Costs[[#This Row],[Closing social housing units managed]]&gt;0,Cons_Unit_Costs[[#This Row],[Service charge costs]]/Cons_Unit_Costs[[#This Row],[Closing social housing units managed]],"")</f>
        <v>0.12174616006467259</v>
      </c>
      <c r="J184" s="156">
        <v>753</v>
      </c>
      <c r="K184" s="157">
        <f>IF(Cons_Unit_Costs[[#This Row],[Closing social housing units managed]]&gt;0,(Cons_Unit_Costs[[#This Row],[Routine maintenance]]+Cons_Unit_Costs[[#This Row],[Planned maintenance]])/Cons_Unit_Costs[[#This Row],[Closing social housing units managed]],"")</f>
        <v>0.91851253031527891</v>
      </c>
      <c r="L184" s="156">
        <v>4311</v>
      </c>
      <c r="M184" s="156">
        <v>1370</v>
      </c>
      <c r="N184" s="157">
        <f>IF(Cons_Unit_Costs[[#This Row],[Closing social housing units managed]]&gt;0,(Cons_Unit_Costs[[#This Row],[Major repairs expenditure]]+Cons_Unit_Costs[[#This Row],[Capitalised major repairs expenditure for period]])/Cons_Unit_Costs[[#This Row],[Closing social housing units managed]],"")</f>
        <v>0.75230396119644305</v>
      </c>
      <c r="O184" s="156">
        <v>0</v>
      </c>
      <c r="P184" s="156">
        <v>4653</v>
      </c>
      <c r="Q18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9.8140662894098632E-2</v>
      </c>
      <c r="R184" s="156">
        <v>0</v>
      </c>
      <c r="S184" s="156">
        <v>287</v>
      </c>
      <c r="T184" s="156">
        <v>320</v>
      </c>
      <c r="U184" s="156">
        <v>0</v>
      </c>
      <c r="V184" s="156">
        <v>0</v>
      </c>
      <c r="W184" s="158">
        <v>1.2942889500080893E-3</v>
      </c>
      <c r="X184" s="158">
        <v>0.22488270506390551</v>
      </c>
      <c r="Y184" s="156" t="s">
        <v>1257</v>
      </c>
      <c r="Z184" s="159">
        <v>38754</v>
      </c>
      <c r="AA184" s="156" t="s">
        <v>1280</v>
      </c>
      <c r="AB184" s="156" t="s">
        <v>1260</v>
      </c>
      <c r="AC184" s="157">
        <v>0.9157155816938729</v>
      </c>
    </row>
    <row r="185" spans="1:29" x14ac:dyDescent="0.2">
      <c r="A185" s="153" t="s">
        <v>707</v>
      </c>
      <c r="B185" s="153" t="s">
        <v>708</v>
      </c>
      <c r="C185" s="154" t="s">
        <v>200</v>
      </c>
      <c r="D185" s="155">
        <v>2787</v>
      </c>
      <c r="E18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11885</v>
      </c>
      <c r="F185" s="157">
        <f>IF(Cons_Unit_Costs[[#This Row],[Closing social housing units managed]]&gt;0,Cons_Unit_Costs[[#This Row],[Headline Social Housing Cost]]/Cons_Unit_Costs[[#This Row],[Closing social housing units managed]],"")</f>
        <v>4.2644420523860784</v>
      </c>
      <c r="G185" s="157">
        <f>IF(Cons_Unit_Costs[[#This Row],[Closing social housing units managed]]&gt;0,Cons_Unit_Costs[[#This Row],[Management]]/Cons_Unit_Costs[[#This Row],[Closing social housing units managed]],"")</f>
        <v>0.9282382490132759</v>
      </c>
      <c r="H185" s="156">
        <v>2587</v>
      </c>
      <c r="I185" s="157">
        <f>IF(Cons_Unit_Costs[[#This Row],[Closing social housing units managed]]&gt;0,Cons_Unit_Costs[[#This Row],[Service charge costs]]/Cons_Unit_Costs[[#This Row],[Closing social housing units managed]],"")</f>
        <v>0.66271977036239682</v>
      </c>
      <c r="J185" s="156">
        <v>1847</v>
      </c>
      <c r="K185" s="157">
        <f>IF(Cons_Unit_Costs[[#This Row],[Closing social housing units managed]]&gt;0,(Cons_Unit_Costs[[#This Row],[Routine maintenance]]+Cons_Unit_Costs[[#This Row],[Planned maintenance]])/Cons_Unit_Costs[[#This Row],[Closing social housing units managed]],"")</f>
        <v>1.0319339791890922</v>
      </c>
      <c r="L185" s="156">
        <v>2270</v>
      </c>
      <c r="M185" s="156">
        <v>606</v>
      </c>
      <c r="N185" s="157">
        <f>IF(Cons_Unit_Costs[[#This Row],[Closing social housing units managed]]&gt;0,(Cons_Unit_Costs[[#This Row],[Major repairs expenditure]]+Cons_Unit_Costs[[#This Row],[Capitalised major repairs expenditure for period]])/Cons_Unit_Costs[[#This Row],[Closing social housing units managed]],"")</f>
        <v>0.28202368137782563</v>
      </c>
      <c r="O185" s="156">
        <v>0</v>
      </c>
      <c r="P185" s="156">
        <v>786</v>
      </c>
      <c r="Q18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1.3595263724434876</v>
      </c>
      <c r="R185" s="156">
        <v>49</v>
      </c>
      <c r="S185" s="156">
        <v>3472</v>
      </c>
      <c r="T185" s="156">
        <v>207</v>
      </c>
      <c r="U185" s="156">
        <v>61</v>
      </c>
      <c r="V185" s="156">
        <v>0</v>
      </c>
      <c r="W185" s="158">
        <v>4.0319651289502358E-2</v>
      </c>
      <c r="X185" s="158">
        <v>0.19542317471848891</v>
      </c>
      <c r="Y185" s="156" t="s">
        <v>1256</v>
      </c>
      <c r="Z185" s="159"/>
      <c r="AA185" s="156" t="s">
        <v>1279</v>
      </c>
      <c r="AB185" s="156" t="s">
        <v>1260</v>
      </c>
      <c r="AC185" s="157">
        <v>0.91571558169387279</v>
      </c>
    </row>
    <row r="186" spans="1:29" x14ac:dyDescent="0.2">
      <c r="A186" s="153" t="s">
        <v>716</v>
      </c>
      <c r="B186" s="153" t="s">
        <v>717</v>
      </c>
      <c r="C186" s="154" t="s">
        <v>200</v>
      </c>
      <c r="D186" s="155">
        <v>30505</v>
      </c>
      <c r="E18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90603</v>
      </c>
      <c r="F186" s="157">
        <f>IF(Cons_Unit_Costs[[#This Row],[Closing social housing units managed]]&gt;0,Cons_Unit_Costs[[#This Row],[Headline Social Housing Cost]]/Cons_Unit_Costs[[#This Row],[Closing social housing units managed]],"")</f>
        <v>2.9701032617603671</v>
      </c>
      <c r="G186" s="157">
        <f>IF(Cons_Unit_Costs[[#This Row],[Closing social housing units managed]]&gt;0,Cons_Unit_Costs[[#This Row],[Management]]/Cons_Unit_Costs[[#This Row],[Closing social housing units managed]],"")</f>
        <v>0.94909031306343228</v>
      </c>
      <c r="H186" s="156">
        <v>28952</v>
      </c>
      <c r="I186" s="157">
        <f>IF(Cons_Unit_Costs[[#This Row],[Closing social housing units managed]]&gt;0,Cons_Unit_Costs[[#This Row],[Service charge costs]]/Cons_Unit_Costs[[#This Row],[Closing social housing units managed]],"")</f>
        <v>0.53623996066218649</v>
      </c>
      <c r="J186" s="156">
        <v>16358</v>
      </c>
      <c r="K186" s="157">
        <f>IF(Cons_Unit_Costs[[#This Row],[Closing social housing units managed]]&gt;0,(Cons_Unit_Costs[[#This Row],[Routine maintenance]]+Cons_Unit_Costs[[#This Row],[Planned maintenance]])/Cons_Unit_Costs[[#This Row],[Closing social housing units managed]],"")</f>
        <v>0.87877397148008518</v>
      </c>
      <c r="L186" s="156">
        <v>21471</v>
      </c>
      <c r="M186" s="156">
        <v>5336</v>
      </c>
      <c r="N186" s="157">
        <f>IF(Cons_Unit_Costs[[#This Row],[Closing social housing units managed]]&gt;0,(Cons_Unit_Costs[[#This Row],[Major repairs expenditure]]+Cons_Unit_Costs[[#This Row],[Capitalised major repairs expenditure for period]])/Cons_Unit_Costs[[#This Row],[Closing social housing units managed]],"")</f>
        <v>0.55518767415177839</v>
      </c>
      <c r="O186" s="156">
        <v>6300</v>
      </c>
      <c r="P186" s="156">
        <v>10636</v>
      </c>
      <c r="Q18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5.081134240288477E-2</v>
      </c>
      <c r="R186" s="156">
        <v>0</v>
      </c>
      <c r="S186" s="156">
        <v>0</v>
      </c>
      <c r="T186" s="156">
        <v>958</v>
      </c>
      <c r="U186" s="156">
        <v>592</v>
      </c>
      <c r="V186" s="156">
        <v>0</v>
      </c>
      <c r="W186" s="158">
        <v>2.0423176627198208E-2</v>
      </c>
      <c r="X186" s="158">
        <v>8.8068380858964485E-2</v>
      </c>
      <c r="Y186" s="156" t="s">
        <v>1258</v>
      </c>
      <c r="Z186" s="159">
        <v>34418</v>
      </c>
      <c r="AA186" s="156" t="s">
        <v>1268</v>
      </c>
      <c r="AB186" s="156" t="s">
        <v>1258</v>
      </c>
      <c r="AC186" s="157">
        <v>0.96641687485441341</v>
      </c>
    </row>
    <row r="187" spans="1:29" x14ac:dyDescent="0.2">
      <c r="A187" s="153" t="s">
        <v>721</v>
      </c>
      <c r="B187" s="153" t="s">
        <v>720</v>
      </c>
      <c r="C187" s="154" t="s">
        <v>200</v>
      </c>
      <c r="D187" s="155">
        <v>2874</v>
      </c>
      <c r="E18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7113</v>
      </c>
      <c r="F187" s="157">
        <f>IF(Cons_Unit_Costs[[#This Row],[Closing social housing units managed]]&gt;0,Cons_Unit_Costs[[#This Row],[Headline Social Housing Cost]]/Cons_Unit_Costs[[#This Row],[Closing social housing units managed]],"")</f>
        <v>2.4749478079331944</v>
      </c>
      <c r="G187" s="157">
        <f>IF(Cons_Unit_Costs[[#This Row],[Closing social housing units managed]]&gt;0,Cons_Unit_Costs[[#This Row],[Management]]/Cons_Unit_Costs[[#This Row],[Closing social housing units managed]],"")</f>
        <v>1.1416144745998609</v>
      </c>
      <c r="H187" s="156">
        <v>3281</v>
      </c>
      <c r="I187" s="157">
        <f>IF(Cons_Unit_Costs[[#This Row],[Closing social housing units managed]]&gt;0,Cons_Unit_Costs[[#This Row],[Service charge costs]]/Cons_Unit_Costs[[#This Row],[Closing social housing units managed]],"")</f>
        <v>0.38865692414752956</v>
      </c>
      <c r="J187" s="156">
        <v>1117</v>
      </c>
      <c r="K187" s="157">
        <f>IF(Cons_Unit_Costs[[#This Row],[Closing social housing units managed]]&gt;0,(Cons_Unit_Costs[[#This Row],[Routine maintenance]]+Cons_Unit_Costs[[#This Row],[Planned maintenance]])/Cons_Unit_Costs[[#This Row],[Closing social housing units managed]],"")</f>
        <v>0.68128044537230337</v>
      </c>
      <c r="L187" s="156">
        <v>1818</v>
      </c>
      <c r="M187" s="156">
        <v>140</v>
      </c>
      <c r="N187" s="157">
        <f>IF(Cons_Unit_Costs[[#This Row],[Closing social housing units managed]]&gt;0,(Cons_Unit_Costs[[#This Row],[Major repairs expenditure]]+Cons_Unit_Costs[[#This Row],[Capitalised major repairs expenditure for period]])/Cons_Unit_Costs[[#This Row],[Closing social housing units managed]],"")</f>
        <v>0.26339596381350033</v>
      </c>
      <c r="O187" s="156">
        <v>0</v>
      </c>
      <c r="P187" s="156">
        <v>757</v>
      </c>
      <c r="Q18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v>
      </c>
      <c r="R187" s="156">
        <v>0</v>
      </c>
      <c r="S187" s="156">
        <v>0</v>
      </c>
      <c r="T187" s="156">
        <v>0</v>
      </c>
      <c r="U187" s="156">
        <v>0</v>
      </c>
      <c r="V187" s="156">
        <v>0</v>
      </c>
      <c r="W187" s="158">
        <v>3.3273703041144902E-2</v>
      </c>
      <c r="X187" s="158">
        <v>0.14776386404293382</v>
      </c>
      <c r="Y187" s="156" t="s">
        <v>1256</v>
      </c>
      <c r="Z187" s="159"/>
      <c r="AA187" s="156" t="s">
        <v>1279</v>
      </c>
      <c r="AB187" s="156" t="s">
        <v>1263</v>
      </c>
      <c r="AC187" s="157">
        <v>1.0022399874355168</v>
      </c>
    </row>
    <row r="188" spans="1:29" x14ac:dyDescent="0.2">
      <c r="A188" s="160" t="s">
        <v>722</v>
      </c>
      <c r="B188" s="153" t="s">
        <v>723</v>
      </c>
      <c r="C188" s="154" t="s">
        <v>200</v>
      </c>
      <c r="D188" s="155">
        <v>1953</v>
      </c>
      <c r="E18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15508</v>
      </c>
      <c r="F188" s="157">
        <f>IF(Cons_Unit_Costs[[#This Row],[Closing social housing units managed]]&gt;0,Cons_Unit_Costs[[#This Row],[Headline Social Housing Cost]]/Cons_Unit_Costs[[#This Row],[Closing social housing units managed]],"")</f>
        <v>7.9406041986687148</v>
      </c>
      <c r="G188" s="157">
        <f>IF(Cons_Unit_Costs[[#This Row],[Closing social housing units managed]]&gt;0,Cons_Unit_Costs[[#This Row],[Management]]/Cons_Unit_Costs[[#This Row],[Closing social housing units managed]],"")</f>
        <v>0.81413210445468509</v>
      </c>
      <c r="H188" s="156">
        <v>1590</v>
      </c>
      <c r="I188" s="157">
        <f>IF(Cons_Unit_Costs[[#This Row],[Closing social housing units managed]]&gt;0,Cons_Unit_Costs[[#This Row],[Service charge costs]]/Cons_Unit_Costs[[#This Row],[Closing social housing units managed]],"")</f>
        <v>7.1264720942140301</v>
      </c>
      <c r="J188" s="156">
        <v>13918</v>
      </c>
      <c r="K188" s="157">
        <f>IF(Cons_Unit_Costs[[#This Row],[Closing social housing units managed]]&gt;0,(Cons_Unit_Costs[[#This Row],[Routine maintenance]]+Cons_Unit_Costs[[#This Row],[Planned maintenance]])/Cons_Unit_Costs[[#This Row],[Closing social housing units managed]],"")</f>
        <v>0</v>
      </c>
      <c r="L188" s="156">
        <v>0</v>
      </c>
      <c r="M188" s="156">
        <v>0</v>
      </c>
      <c r="N188" s="157">
        <f>IF(Cons_Unit_Costs[[#This Row],[Closing social housing units managed]]&gt;0,(Cons_Unit_Costs[[#This Row],[Major repairs expenditure]]+Cons_Unit_Costs[[#This Row],[Capitalised major repairs expenditure for period]])/Cons_Unit_Costs[[#This Row],[Closing social housing units managed]],"")</f>
        <v>0</v>
      </c>
      <c r="O188" s="156">
        <v>0</v>
      </c>
      <c r="P188" s="156">
        <v>0</v>
      </c>
      <c r="Q18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v>
      </c>
      <c r="R188" s="156">
        <v>0</v>
      </c>
      <c r="S188" s="156">
        <v>0</v>
      </c>
      <c r="T188" s="156">
        <v>0</v>
      </c>
      <c r="U188" s="156">
        <v>0</v>
      </c>
      <c r="V188" s="156">
        <v>0</v>
      </c>
      <c r="W188" s="158">
        <v>1</v>
      </c>
      <c r="X188" s="158">
        <v>0</v>
      </c>
      <c r="Y188" s="156" t="s">
        <v>1256</v>
      </c>
      <c r="Z188" s="159"/>
      <c r="AA188" s="156" t="s">
        <v>1279</v>
      </c>
      <c r="AB188" s="156" t="s">
        <v>1260</v>
      </c>
      <c r="AC188" s="157">
        <v>0.9157275329913267</v>
      </c>
    </row>
    <row r="189" spans="1:29" x14ac:dyDescent="0.2">
      <c r="A189" s="153" t="s">
        <v>724</v>
      </c>
      <c r="B189" s="153" t="s">
        <v>725</v>
      </c>
      <c r="C189" s="154" t="s">
        <v>200</v>
      </c>
      <c r="D189" s="155">
        <v>8823</v>
      </c>
      <c r="E189"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40874</v>
      </c>
      <c r="F189" s="157">
        <f>IF(Cons_Unit_Costs[[#This Row],[Closing social housing units managed]]&gt;0,Cons_Unit_Costs[[#This Row],[Headline Social Housing Cost]]/Cons_Unit_Costs[[#This Row],[Closing social housing units managed]],"")</f>
        <v>4.6326646265442593</v>
      </c>
      <c r="G189" s="157">
        <f>IF(Cons_Unit_Costs[[#This Row],[Closing social housing units managed]]&gt;0,Cons_Unit_Costs[[#This Row],[Management]]/Cons_Unit_Costs[[#This Row],[Closing social housing units managed]],"")</f>
        <v>1.2891306811742038</v>
      </c>
      <c r="H189" s="156">
        <v>11374</v>
      </c>
      <c r="I189" s="157">
        <f>IF(Cons_Unit_Costs[[#This Row],[Closing social housing units managed]]&gt;0,Cons_Unit_Costs[[#This Row],[Service charge costs]]/Cons_Unit_Costs[[#This Row],[Closing social housing units managed]],"")</f>
        <v>0.33446673467074689</v>
      </c>
      <c r="J189" s="156">
        <v>2951</v>
      </c>
      <c r="K189" s="157">
        <f>IF(Cons_Unit_Costs[[#This Row],[Closing social housing units managed]]&gt;0,(Cons_Unit_Costs[[#This Row],[Routine maintenance]]+Cons_Unit_Costs[[#This Row],[Planned maintenance]])/Cons_Unit_Costs[[#This Row],[Closing social housing units managed]],"")</f>
        <v>0.77842003853564545</v>
      </c>
      <c r="L189" s="156">
        <v>4315</v>
      </c>
      <c r="M189" s="156">
        <v>2553</v>
      </c>
      <c r="N189" s="157">
        <f>IF(Cons_Unit_Costs[[#This Row],[Closing social housing units managed]]&gt;0,(Cons_Unit_Costs[[#This Row],[Major repairs expenditure]]+Cons_Unit_Costs[[#This Row],[Capitalised major repairs expenditure for period]])/Cons_Unit_Costs[[#This Row],[Closing social housing units managed]],"")</f>
        <v>0.49733650685707809</v>
      </c>
      <c r="O189" s="156">
        <v>0</v>
      </c>
      <c r="P189" s="156">
        <v>4388</v>
      </c>
      <c r="Q189"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1.7333106653065851</v>
      </c>
      <c r="R189" s="156">
        <v>0</v>
      </c>
      <c r="S189" s="156">
        <v>2796</v>
      </c>
      <c r="T189" s="156">
        <v>12497</v>
      </c>
      <c r="U189" s="156">
        <v>0</v>
      </c>
      <c r="V189" s="156">
        <v>0</v>
      </c>
      <c r="W189" s="158">
        <v>2.7880452001267292E-2</v>
      </c>
      <c r="X189" s="158">
        <v>8.3430140458337736E-3</v>
      </c>
      <c r="Y189" s="156" t="s">
        <v>1256</v>
      </c>
      <c r="Z189" s="159"/>
      <c r="AA189" s="156" t="s">
        <v>1279</v>
      </c>
      <c r="AB189" s="156" t="s">
        <v>1263</v>
      </c>
      <c r="AC189" s="157">
        <v>1.0943665651041652</v>
      </c>
    </row>
    <row r="190" spans="1:29" x14ac:dyDescent="0.2">
      <c r="A190" s="153" t="s">
        <v>732</v>
      </c>
      <c r="B190" s="153" t="s">
        <v>733</v>
      </c>
      <c r="C190" s="154" t="s">
        <v>200</v>
      </c>
      <c r="D190" s="155">
        <v>3601</v>
      </c>
      <c r="E190"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10603</v>
      </c>
      <c r="F190" s="157">
        <f>IF(Cons_Unit_Costs[[#This Row],[Closing social housing units managed]]&gt;0,Cons_Unit_Costs[[#This Row],[Headline Social Housing Cost]]/Cons_Unit_Costs[[#This Row],[Closing social housing units managed]],"")</f>
        <v>2.9444598722577062</v>
      </c>
      <c r="G190" s="157">
        <f>IF(Cons_Unit_Costs[[#This Row],[Closing social housing units managed]]&gt;0,Cons_Unit_Costs[[#This Row],[Management]]/Cons_Unit_Costs[[#This Row],[Closing social housing units managed]],"")</f>
        <v>1.0036101083032491</v>
      </c>
      <c r="H190" s="156">
        <v>3614</v>
      </c>
      <c r="I190" s="157">
        <f>IF(Cons_Unit_Costs[[#This Row],[Closing social housing units managed]]&gt;0,Cons_Unit_Costs[[#This Row],[Service charge costs]]/Cons_Unit_Costs[[#This Row],[Closing social housing units managed]],"")</f>
        <v>0.23632324354346015</v>
      </c>
      <c r="J190" s="156">
        <v>851</v>
      </c>
      <c r="K190" s="157">
        <f>IF(Cons_Unit_Costs[[#This Row],[Closing social housing units managed]]&gt;0,(Cons_Unit_Costs[[#This Row],[Routine maintenance]]+Cons_Unit_Costs[[#This Row],[Planned maintenance]])/Cons_Unit_Costs[[#This Row],[Closing social housing units managed]],"")</f>
        <v>0.68231046931407946</v>
      </c>
      <c r="L190" s="156">
        <v>1718</v>
      </c>
      <c r="M190" s="156">
        <v>739</v>
      </c>
      <c r="N190" s="157">
        <f>IF(Cons_Unit_Costs[[#This Row],[Closing social housing units managed]]&gt;0,(Cons_Unit_Costs[[#This Row],[Major repairs expenditure]]+Cons_Unit_Costs[[#This Row],[Capitalised major repairs expenditure for period]])/Cons_Unit_Costs[[#This Row],[Closing social housing units managed]],"")</f>
        <v>0.95917800610941406</v>
      </c>
      <c r="O190" s="156">
        <v>1776</v>
      </c>
      <c r="P190" s="156">
        <v>1678</v>
      </c>
      <c r="Q190"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6.3038044987503469E-2</v>
      </c>
      <c r="R190" s="156">
        <v>52</v>
      </c>
      <c r="S190" s="156">
        <v>175</v>
      </c>
      <c r="T190" s="156">
        <v>0</v>
      </c>
      <c r="U190" s="156">
        <v>0</v>
      </c>
      <c r="V190" s="156">
        <v>0</v>
      </c>
      <c r="W190" s="158">
        <v>0</v>
      </c>
      <c r="X190" s="158">
        <v>0.27641379310344827</v>
      </c>
      <c r="Y190" s="156" t="s">
        <v>1257</v>
      </c>
      <c r="Z190" s="159">
        <v>38021</v>
      </c>
      <c r="AA190" s="156" t="s">
        <v>1268</v>
      </c>
      <c r="AB190" s="156" t="s">
        <v>1265</v>
      </c>
      <c r="AC190" s="157">
        <v>0.96617455710897804</v>
      </c>
    </row>
    <row r="191" spans="1:29" x14ac:dyDescent="0.2">
      <c r="A191" s="153" t="s">
        <v>736</v>
      </c>
      <c r="B191" s="153" t="s">
        <v>737</v>
      </c>
      <c r="C191" s="154" t="s">
        <v>200</v>
      </c>
      <c r="D191" s="155">
        <v>13478</v>
      </c>
      <c r="E191"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40767</v>
      </c>
      <c r="F191" s="157">
        <f>IF(Cons_Unit_Costs[[#This Row],[Closing social housing units managed]]&gt;0,Cons_Unit_Costs[[#This Row],[Headline Social Housing Cost]]/Cons_Unit_Costs[[#This Row],[Closing social housing units managed]],"")</f>
        <v>3.0247069298115448</v>
      </c>
      <c r="G191" s="157">
        <f>IF(Cons_Unit_Costs[[#This Row],[Closing social housing units managed]]&gt;0,Cons_Unit_Costs[[#This Row],[Management]]/Cons_Unit_Costs[[#This Row],[Closing social housing units managed]],"")</f>
        <v>0.35123905623979818</v>
      </c>
      <c r="H191" s="156">
        <v>4734</v>
      </c>
      <c r="I191" s="157">
        <f>IF(Cons_Unit_Costs[[#This Row],[Closing social housing units managed]]&gt;0,Cons_Unit_Costs[[#This Row],[Service charge costs]]/Cons_Unit_Costs[[#This Row],[Closing social housing units managed]],"")</f>
        <v>0.92966315477073747</v>
      </c>
      <c r="J191" s="156">
        <v>12530</v>
      </c>
      <c r="K191" s="157">
        <f>IF(Cons_Unit_Costs[[#This Row],[Closing social housing units managed]]&gt;0,(Cons_Unit_Costs[[#This Row],[Routine maintenance]]+Cons_Unit_Costs[[#This Row],[Planned maintenance]])/Cons_Unit_Costs[[#This Row],[Closing social housing units managed]],"")</f>
        <v>0.72443982786763617</v>
      </c>
      <c r="L191" s="156">
        <v>8510</v>
      </c>
      <c r="M191" s="156">
        <v>1254</v>
      </c>
      <c r="N191" s="157">
        <f>IF(Cons_Unit_Costs[[#This Row],[Closing social housing units managed]]&gt;0,(Cons_Unit_Costs[[#This Row],[Major repairs expenditure]]+Cons_Unit_Costs[[#This Row],[Capitalised major repairs expenditure for period]])/Cons_Unit_Costs[[#This Row],[Closing social housing units managed]],"")</f>
        <v>0.33625166938714945</v>
      </c>
      <c r="O191" s="156">
        <v>2239</v>
      </c>
      <c r="P191" s="156">
        <v>2293</v>
      </c>
      <c r="Q191"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0.68311322154622345</v>
      </c>
      <c r="R191" s="156">
        <v>281</v>
      </c>
      <c r="S191" s="156">
        <v>0</v>
      </c>
      <c r="T191" s="156">
        <v>8926</v>
      </c>
      <c r="U191" s="156">
        <v>0</v>
      </c>
      <c r="V191" s="156">
        <v>0</v>
      </c>
      <c r="W191" s="158">
        <v>0</v>
      </c>
      <c r="X191" s="158">
        <v>1.7153453871117292E-3</v>
      </c>
      <c r="Y191" s="156" t="s">
        <v>1256</v>
      </c>
      <c r="Z191" s="159"/>
      <c r="AA191" s="156" t="s">
        <v>1279</v>
      </c>
      <c r="AB191" s="156" t="s">
        <v>1259</v>
      </c>
      <c r="AC191" s="157">
        <v>1.0849445546032415</v>
      </c>
    </row>
    <row r="192" spans="1:29" x14ac:dyDescent="0.2">
      <c r="A192" s="153" t="s">
        <v>739</v>
      </c>
      <c r="B192" s="153" t="s">
        <v>740</v>
      </c>
      <c r="C192" s="154" t="s">
        <v>200</v>
      </c>
      <c r="D192" s="155">
        <v>2015</v>
      </c>
      <c r="E192"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43378</v>
      </c>
      <c r="F192" s="157">
        <f>IF(Cons_Unit_Costs[[#This Row],[Closing social housing units managed]]&gt;0,Cons_Unit_Costs[[#This Row],[Headline Social Housing Cost]]/Cons_Unit_Costs[[#This Row],[Closing social housing units managed]],"")</f>
        <v>21.527543424317617</v>
      </c>
      <c r="G192" s="157">
        <f>IF(Cons_Unit_Costs[[#This Row],[Closing social housing units managed]]&gt;0,Cons_Unit_Costs[[#This Row],[Management]]/Cons_Unit_Costs[[#This Row],[Closing social housing units managed]],"")</f>
        <v>3.5751861042183624</v>
      </c>
      <c r="H192" s="156">
        <v>7204</v>
      </c>
      <c r="I192" s="157">
        <f>IF(Cons_Unit_Costs[[#This Row],[Closing social housing units managed]]&gt;0,Cons_Unit_Costs[[#This Row],[Service charge costs]]/Cons_Unit_Costs[[#This Row],[Closing social housing units managed]],"")</f>
        <v>14.515136476426798</v>
      </c>
      <c r="J192" s="156">
        <v>29248</v>
      </c>
      <c r="K192" s="157">
        <f>IF(Cons_Unit_Costs[[#This Row],[Closing social housing units managed]]&gt;0,(Cons_Unit_Costs[[#This Row],[Routine maintenance]]+Cons_Unit_Costs[[#This Row],[Planned maintenance]])/Cons_Unit_Costs[[#This Row],[Closing social housing units managed]],"")</f>
        <v>0.5533498759305211</v>
      </c>
      <c r="L192" s="156">
        <v>1115</v>
      </c>
      <c r="M192" s="156">
        <v>0</v>
      </c>
      <c r="N192" s="157">
        <f>IF(Cons_Unit_Costs[[#This Row],[Closing social housing units managed]]&gt;0,(Cons_Unit_Costs[[#This Row],[Major repairs expenditure]]+Cons_Unit_Costs[[#This Row],[Capitalised major repairs expenditure for period]])/Cons_Unit_Costs[[#This Row],[Closing social housing units managed]],"")</f>
        <v>2.8838709677419354</v>
      </c>
      <c r="O192" s="156">
        <v>418</v>
      </c>
      <c r="P192" s="156">
        <v>5393</v>
      </c>
      <c r="Q192"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v>
      </c>
      <c r="R192" s="156">
        <v>0</v>
      </c>
      <c r="S192" s="156">
        <v>0</v>
      </c>
      <c r="T192" s="156">
        <v>0</v>
      </c>
      <c r="U192" s="156">
        <v>0</v>
      </c>
      <c r="V192" s="156">
        <v>0</v>
      </c>
      <c r="W192" s="158">
        <v>0</v>
      </c>
      <c r="X192" s="158">
        <v>0.98942598187311182</v>
      </c>
      <c r="Y192" s="156" t="s">
        <v>1256</v>
      </c>
      <c r="Z192" s="159"/>
      <c r="AA192" s="156" t="s">
        <v>1279</v>
      </c>
      <c r="AB192" s="156" t="s">
        <v>1258</v>
      </c>
      <c r="AC192" s="157">
        <v>0.97743885050867507</v>
      </c>
    </row>
    <row r="193" spans="1:29" x14ac:dyDescent="0.2">
      <c r="A193" s="153" t="s">
        <v>742</v>
      </c>
      <c r="B193" s="153" t="s">
        <v>167</v>
      </c>
      <c r="C193" s="154" t="s">
        <v>200</v>
      </c>
      <c r="D193" s="155">
        <v>2741</v>
      </c>
      <c r="E193"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16379</v>
      </c>
      <c r="F193" s="157">
        <f>IF(Cons_Unit_Costs[[#This Row],[Closing social housing units managed]]&gt;0,Cons_Unit_Costs[[#This Row],[Headline Social Housing Cost]]/Cons_Unit_Costs[[#This Row],[Closing social housing units managed]],"")</f>
        <v>5.9755563662896751</v>
      </c>
      <c r="G193" s="157">
        <f>IF(Cons_Unit_Costs[[#This Row],[Closing social housing units managed]]&gt;0,Cons_Unit_Costs[[#This Row],[Management]]/Cons_Unit_Costs[[#This Row],[Closing social housing units managed]],"")</f>
        <v>1.5231667274717255</v>
      </c>
      <c r="H193" s="156">
        <v>4175</v>
      </c>
      <c r="I193" s="157">
        <f>IF(Cons_Unit_Costs[[#This Row],[Closing social housing units managed]]&gt;0,Cons_Unit_Costs[[#This Row],[Service charge costs]]/Cons_Unit_Costs[[#This Row],[Closing social housing units managed]],"")</f>
        <v>2.1488507843852607</v>
      </c>
      <c r="J193" s="156">
        <v>5890</v>
      </c>
      <c r="K193" s="157">
        <f>IF(Cons_Unit_Costs[[#This Row],[Closing social housing units managed]]&gt;0,(Cons_Unit_Costs[[#This Row],[Routine maintenance]]+Cons_Unit_Costs[[#This Row],[Planned maintenance]])/Cons_Unit_Costs[[#This Row],[Closing social housing units managed]],"")</f>
        <v>1.0558190441444728</v>
      </c>
      <c r="L193" s="156">
        <v>1861</v>
      </c>
      <c r="M193" s="156">
        <v>1033</v>
      </c>
      <c r="N193" s="157">
        <f>IF(Cons_Unit_Costs[[#This Row],[Closing social housing units managed]]&gt;0,(Cons_Unit_Costs[[#This Row],[Major repairs expenditure]]+Cons_Unit_Costs[[#This Row],[Capitalised major repairs expenditure for period]])/Cons_Unit_Costs[[#This Row],[Closing social housing units managed]],"")</f>
        <v>0.4242977015687705</v>
      </c>
      <c r="O193" s="156">
        <v>0</v>
      </c>
      <c r="P193" s="156">
        <v>1163</v>
      </c>
      <c r="Q193"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0.82342210871944543</v>
      </c>
      <c r="R193" s="156">
        <v>105</v>
      </c>
      <c r="S193" s="156">
        <v>1080</v>
      </c>
      <c r="T193" s="156">
        <v>638</v>
      </c>
      <c r="U193" s="156">
        <v>0</v>
      </c>
      <c r="V193" s="156">
        <v>434</v>
      </c>
      <c r="W193" s="158">
        <v>6.6373303997066369E-2</v>
      </c>
      <c r="X193" s="158">
        <v>0.13274660799413274</v>
      </c>
      <c r="Y193" s="156" t="s">
        <v>1256</v>
      </c>
      <c r="Z193" s="159"/>
      <c r="AA193" s="156" t="s">
        <v>1279</v>
      </c>
      <c r="AB193" s="156" t="s">
        <v>1263</v>
      </c>
      <c r="AC193" s="157">
        <v>1.0022399874355168</v>
      </c>
    </row>
    <row r="194" spans="1:29" x14ac:dyDescent="0.2">
      <c r="A194" s="153" t="s">
        <v>743</v>
      </c>
      <c r="B194" s="153" t="s">
        <v>744</v>
      </c>
      <c r="C194" s="154" t="s">
        <v>200</v>
      </c>
      <c r="D194" s="155">
        <v>1486</v>
      </c>
      <c r="E19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11450</v>
      </c>
      <c r="F194" s="157">
        <f>IF(Cons_Unit_Costs[[#This Row],[Closing social housing units managed]]&gt;0,Cons_Unit_Costs[[#This Row],[Headline Social Housing Cost]]/Cons_Unit_Costs[[#This Row],[Closing social housing units managed]],"")</f>
        <v>7.7052489905787347</v>
      </c>
      <c r="G194" s="157">
        <f>IF(Cons_Unit_Costs[[#This Row],[Closing social housing units managed]]&gt;0,Cons_Unit_Costs[[#This Row],[Management]]/Cons_Unit_Costs[[#This Row],[Closing social housing units managed]],"")</f>
        <v>1.5699865410497982</v>
      </c>
      <c r="H194" s="156">
        <v>2333</v>
      </c>
      <c r="I194" s="157">
        <f>IF(Cons_Unit_Costs[[#This Row],[Closing social housing units managed]]&gt;0,Cons_Unit_Costs[[#This Row],[Service charge costs]]/Cons_Unit_Costs[[#This Row],[Closing social housing units managed]],"")</f>
        <v>1.3088829071332435</v>
      </c>
      <c r="J194" s="156">
        <v>1945</v>
      </c>
      <c r="K194" s="157">
        <f>IF(Cons_Unit_Costs[[#This Row],[Closing social housing units managed]]&gt;0,(Cons_Unit_Costs[[#This Row],[Routine maintenance]]+Cons_Unit_Costs[[#This Row],[Planned maintenance]])/Cons_Unit_Costs[[#This Row],[Closing social housing units managed]],"")</f>
        <v>1.446164199192463</v>
      </c>
      <c r="L194" s="156">
        <v>1741</v>
      </c>
      <c r="M194" s="156">
        <v>408</v>
      </c>
      <c r="N194" s="157">
        <f>IF(Cons_Unit_Costs[[#This Row],[Closing social housing units managed]]&gt;0,(Cons_Unit_Costs[[#This Row],[Major repairs expenditure]]+Cons_Unit_Costs[[#This Row],[Capitalised major repairs expenditure for period]])/Cons_Unit_Costs[[#This Row],[Closing social housing units managed]],"")</f>
        <v>0.96769851951547781</v>
      </c>
      <c r="O194" s="156">
        <v>0</v>
      </c>
      <c r="P194" s="156">
        <v>1438</v>
      </c>
      <c r="Q19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2.4125168236877523</v>
      </c>
      <c r="R194" s="156">
        <v>3585</v>
      </c>
      <c r="S194" s="156">
        <v>0</v>
      </c>
      <c r="T194" s="156">
        <v>0</v>
      </c>
      <c r="U194" s="156">
        <v>0</v>
      </c>
      <c r="V194" s="156">
        <v>0</v>
      </c>
      <c r="W194" s="158">
        <v>0.14939434724091522</v>
      </c>
      <c r="X194" s="158">
        <v>0.15679676985195154</v>
      </c>
      <c r="Y194" s="156" t="s">
        <v>1256</v>
      </c>
      <c r="Z194" s="159"/>
      <c r="AA194" s="156" t="s">
        <v>1279</v>
      </c>
      <c r="AB194" s="156" t="s">
        <v>1267</v>
      </c>
      <c r="AC194" s="157">
        <v>1.2488627787394371</v>
      </c>
    </row>
    <row r="195" spans="1:29" x14ac:dyDescent="0.2">
      <c r="A195" s="153" t="s">
        <v>745</v>
      </c>
      <c r="B195" s="153" t="s">
        <v>746</v>
      </c>
      <c r="C195" s="154" t="s">
        <v>200</v>
      </c>
      <c r="D195" s="155">
        <v>5937</v>
      </c>
      <c r="E19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23267</v>
      </c>
      <c r="F195" s="157">
        <f>IF(Cons_Unit_Costs[[#This Row],[Closing social housing units managed]]&gt;0,Cons_Unit_Costs[[#This Row],[Headline Social Housing Cost]]/Cons_Unit_Costs[[#This Row],[Closing social housing units managed]],"")</f>
        <v>3.9189826511706247</v>
      </c>
      <c r="G195" s="157">
        <f>IF(Cons_Unit_Costs[[#This Row],[Closing social housing units managed]]&gt;0,Cons_Unit_Costs[[#This Row],[Management]]/Cons_Unit_Costs[[#This Row],[Closing social housing units managed]],"")</f>
        <v>0.93515243388916958</v>
      </c>
      <c r="H195" s="156">
        <v>5552</v>
      </c>
      <c r="I195" s="157">
        <f>IF(Cons_Unit_Costs[[#This Row],[Closing social housing units managed]]&gt;0,Cons_Unit_Costs[[#This Row],[Service charge costs]]/Cons_Unit_Costs[[#This Row],[Closing social housing units managed]],"")</f>
        <v>0.39194879568805796</v>
      </c>
      <c r="J195" s="156">
        <v>2327</v>
      </c>
      <c r="K195" s="157">
        <f>IF(Cons_Unit_Costs[[#This Row],[Closing social housing units managed]]&gt;0,(Cons_Unit_Costs[[#This Row],[Routine maintenance]]+Cons_Unit_Costs[[#This Row],[Planned maintenance]])/Cons_Unit_Costs[[#This Row],[Closing social housing units managed]],"")</f>
        <v>0.83712312615799223</v>
      </c>
      <c r="L195" s="156">
        <v>3189</v>
      </c>
      <c r="M195" s="156">
        <v>1781</v>
      </c>
      <c r="N195" s="157">
        <f>IF(Cons_Unit_Costs[[#This Row],[Closing social housing units managed]]&gt;0,(Cons_Unit_Costs[[#This Row],[Major repairs expenditure]]+Cons_Unit_Costs[[#This Row],[Capitalised major repairs expenditure for period]])/Cons_Unit_Costs[[#This Row],[Closing social housing units managed]],"")</f>
        <v>1.0151591712986356</v>
      </c>
      <c r="O195" s="156">
        <v>654</v>
      </c>
      <c r="P195" s="156">
        <v>5373</v>
      </c>
      <c r="Q19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0.73959912413676943</v>
      </c>
      <c r="R195" s="156">
        <v>3764</v>
      </c>
      <c r="S195" s="156">
        <v>365</v>
      </c>
      <c r="T195" s="156">
        <v>262</v>
      </c>
      <c r="U195" s="156">
        <v>0</v>
      </c>
      <c r="V195" s="156">
        <v>0</v>
      </c>
      <c r="W195" s="158">
        <v>0.3365902964959569</v>
      </c>
      <c r="X195" s="158">
        <v>0</v>
      </c>
      <c r="Y195" s="156" t="s">
        <v>1257</v>
      </c>
      <c r="Z195" s="159">
        <v>36612</v>
      </c>
      <c r="AA195" s="156" t="s">
        <v>1268</v>
      </c>
      <c r="AB195" s="156" t="s">
        <v>1260</v>
      </c>
      <c r="AC195" s="157">
        <v>0.91571558169387279</v>
      </c>
    </row>
    <row r="196" spans="1:29" x14ac:dyDescent="0.2">
      <c r="A196" s="153" t="s">
        <v>749</v>
      </c>
      <c r="B196" s="153" t="s">
        <v>748</v>
      </c>
      <c r="C196" s="154" t="s">
        <v>200</v>
      </c>
      <c r="D196" s="155">
        <v>64482</v>
      </c>
      <c r="E19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197000</v>
      </c>
      <c r="F196" s="157">
        <f>IF(Cons_Unit_Costs[[#This Row],[Closing social housing units managed]]&gt;0,Cons_Unit_Costs[[#This Row],[Headline Social Housing Cost]]/Cons_Unit_Costs[[#This Row],[Closing social housing units managed]],"")</f>
        <v>3.0551161564467604</v>
      </c>
      <c r="G196" s="157">
        <f>IF(Cons_Unit_Costs[[#This Row],[Closing social housing units managed]]&gt;0,Cons_Unit_Costs[[#This Row],[Management]]/Cons_Unit_Costs[[#This Row],[Closing social housing units managed]],"")</f>
        <v>1.1832759529791259</v>
      </c>
      <c r="H196" s="156">
        <v>76300</v>
      </c>
      <c r="I196" s="157">
        <f>IF(Cons_Unit_Costs[[#This Row],[Closing social housing units managed]]&gt;0,Cons_Unit_Costs[[#This Row],[Service charge costs]]/Cons_Unit_Costs[[#This Row],[Closing social housing units managed]],"")</f>
        <v>0.378400173691883</v>
      </c>
      <c r="J196" s="156">
        <v>24400</v>
      </c>
      <c r="K196" s="157">
        <f>IF(Cons_Unit_Costs[[#This Row],[Closing social housing units managed]]&gt;0,(Cons_Unit_Costs[[#This Row],[Routine maintenance]]+Cons_Unit_Costs[[#This Row],[Planned maintenance]])/Cons_Unit_Costs[[#This Row],[Closing social housing units managed]],"")</f>
        <v>0.66840358549672774</v>
      </c>
      <c r="L196" s="156">
        <v>29900</v>
      </c>
      <c r="M196" s="156">
        <v>13200</v>
      </c>
      <c r="N196" s="157">
        <f>IF(Cons_Unit_Costs[[#This Row],[Closing social housing units managed]]&gt;0,(Cons_Unit_Costs[[#This Row],[Major repairs expenditure]]+Cons_Unit_Costs[[#This Row],[Capitalised major repairs expenditure for period]])/Cons_Unit_Costs[[#This Row],[Closing social housing units managed]],"")</f>
        <v>0.48850842095468505</v>
      </c>
      <c r="O196" s="156">
        <v>11100</v>
      </c>
      <c r="P196" s="156">
        <v>20400</v>
      </c>
      <c r="Q19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0.33652802332433857</v>
      </c>
      <c r="R196" s="156">
        <v>0</v>
      </c>
      <c r="S196" s="156">
        <v>200</v>
      </c>
      <c r="T196" s="156">
        <v>20600</v>
      </c>
      <c r="U196" s="156">
        <v>900</v>
      </c>
      <c r="V196" s="156">
        <v>0</v>
      </c>
      <c r="W196" s="158">
        <v>1.4925847121216933E-2</v>
      </c>
      <c r="X196" s="158">
        <v>0.13639683699069516</v>
      </c>
      <c r="Y196" s="156" t="s">
        <v>1256</v>
      </c>
      <c r="Z196" s="159"/>
      <c r="AA196" s="156" t="s">
        <v>1279</v>
      </c>
      <c r="AB196" s="156" t="s">
        <v>1258</v>
      </c>
      <c r="AC196" s="157">
        <v>0.98087282405206866</v>
      </c>
    </row>
    <row r="197" spans="1:29" x14ac:dyDescent="0.2">
      <c r="A197" s="153" t="s">
        <v>750</v>
      </c>
      <c r="B197" s="153" t="s">
        <v>751</v>
      </c>
      <c r="C197" s="154" t="s">
        <v>200</v>
      </c>
      <c r="D197" s="155">
        <v>6244</v>
      </c>
      <c r="E19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20902</v>
      </c>
      <c r="F197" s="157">
        <f>IF(Cons_Unit_Costs[[#This Row],[Closing social housing units managed]]&gt;0,Cons_Unit_Costs[[#This Row],[Headline Social Housing Cost]]/Cons_Unit_Costs[[#This Row],[Closing social housing units managed]],"")</f>
        <v>3.3475336322869955</v>
      </c>
      <c r="G197" s="157">
        <f>IF(Cons_Unit_Costs[[#This Row],[Closing social housing units managed]]&gt;0,Cons_Unit_Costs[[#This Row],[Management]]/Cons_Unit_Costs[[#This Row],[Closing social housing units managed]],"")</f>
        <v>0.57927610506085847</v>
      </c>
      <c r="H197" s="156">
        <v>3617</v>
      </c>
      <c r="I197" s="157">
        <f>IF(Cons_Unit_Costs[[#This Row],[Closing social housing units managed]]&gt;0,Cons_Unit_Costs[[#This Row],[Service charge costs]]/Cons_Unit_Costs[[#This Row],[Closing social housing units managed]],"")</f>
        <v>0.31310057655349133</v>
      </c>
      <c r="J197" s="156">
        <v>1955</v>
      </c>
      <c r="K197" s="157">
        <f>IF(Cons_Unit_Costs[[#This Row],[Closing social housing units managed]]&gt;0,(Cons_Unit_Costs[[#This Row],[Routine maintenance]]+Cons_Unit_Costs[[#This Row],[Planned maintenance]])/Cons_Unit_Costs[[#This Row],[Closing social housing units managed]],"")</f>
        <v>0.89926329276105066</v>
      </c>
      <c r="L197" s="156">
        <v>3511</v>
      </c>
      <c r="M197" s="156">
        <v>2104</v>
      </c>
      <c r="N197" s="157">
        <f>IF(Cons_Unit_Costs[[#This Row],[Closing social housing units managed]]&gt;0,(Cons_Unit_Costs[[#This Row],[Major repairs expenditure]]+Cons_Unit_Costs[[#This Row],[Capitalised major repairs expenditure for period]])/Cons_Unit_Costs[[#This Row],[Closing social housing units managed]],"")</f>
        <v>1.4008648302370275</v>
      </c>
      <c r="O197" s="156">
        <v>4708</v>
      </c>
      <c r="P197" s="156">
        <v>4039</v>
      </c>
      <c r="Q19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0.15502882767456758</v>
      </c>
      <c r="R197" s="156">
        <v>12</v>
      </c>
      <c r="S197" s="156">
        <v>249</v>
      </c>
      <c r="T197" s="156">
        <v>707</v>
      </c>
      <c r="U197" s="156">
        <v>0</v>
      </c>
      <c r="V197" s="156">
        <v>0</v>
      </c>
      <c r="W197" s="158">
        <v>1.2300319488817891E-2</v>
      </c>
      <c r="X197" s="158">
        <v>5.7028753993610223E-2</v>
      </c>
      <c r="Y197" s="156" t="s">
        <v>1257</v>
      </c>
      <c r="Z197" s="159">
        <v>37431</v>
      </c>
      <c r="AA197" s="156" t="s">
        <v>1268</v>
      </c>
      <c r="AB197" s="156" t="s">
        <v>1263</v>
      </c>
      <c r="AC197" s="157">
        <v>1.0022399874355168</v>
      </c>
    </row>
    <row r="198" spans="1:29" x14ac:dyDescent="0.2">
      <c r="A198" s="153" t="s">
        <v>752</v>
      </c>
      <c r="B198" s="153" t="s">
        <v>753</v>
      </c>
      <c r="C198" s="154" t="s">
        <v>200</v>
      </c>
      <c r="D198" s="155">
        <v>11749</v>
      </c>
      <c r="E19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36786</v>
      </c>
      <c r="F198" s="157">
        <f>IF(Cons_Unit_Costs[[#This Row],[Closing social housing units managed]]&gt;0,Cons_Unit_Costs[[#This Row],[Headline Social Housing Cost]]/Cons_Unit_Costs[[#This Row],[Closing social housing units managed]],"")</f>
        <v>3.1309898714784237</v>
      </c>
      <c r="G198" s="157">
        <f>IF(Cons_Unit_Costs[[#This Row],[Closing social housing units managed]]&gt;0,Cons_Unit_Costs[[#This Row],[Management]]/Cons_Unit_Costs[[#This Row],[Closing social housing units managed]],"")</f>
        <v>1.1684398672227423</v>
      </c>
      <c r="H198" s="156">
        <v>13728</v>
      </c>
      <c r="I198" s="157">
        <f>IF(Cons_Unit_Costs[[#This Row],[Closing social housing units managed]]&gt;0,Cons_Unit_Costs[[#This Row],[Service charge costs]]/Cons_Unit_Costs[[#This Row],[Closing social housing units managed]],"")</f>
        <v>0.24274406332453827</v>
      </c>
      <c r="J198" s="156">
        <v>2852</v>
      </c>
      <c r="K198" s="157">
        <f>IF(Cons_Unit_Costs[[#This Row],[Closing social housing units managed]]&gt;0,(Cons_Unit_Costs[[#This Row],[Routine maintenance]]+Cons_Unit_Costs[[#This Row],[Planned maintenance]])/Cons_Unit_Costs[[#This Row],[Closing social housing units managed]],"")</f>
        <v>1.0716656736743553</v>
      </c>
      <c r="L198" s="156">
        <v>5460</v>
      </c>
      <c r="M198" s="156">
        <v>7131</v>
      </c>
      <c r="N198" s="157">
        <f>IF(Cons_Unit_Costs[[#This Row],[Closing social housing units managed]]&gt;0,(Cons_Unit_Costs[[#This Row],[Major repairs expenditure]]+Cons_Unit_Costs[[#This Row],[Capitalised major repairs expenditure for period]])/Cons_Unit_Costs[[#This Row],[Closing social housing units managed]],"")</f>
        <v>0.55809005021703972</v>
      </c>
      <c r="O198" s="156">
        <v>0</v>
      </c>
      <c r="P198" s="156">
        <v>6557</v>
      </c>
      <c r="Q19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9.0050217039748068E-2</v>
      </c>
      <c r="R198" s="156">
        <v>0</v>
      </c>
      <c r="S198" s="156">
        <v>0</v>
      </c>
      <c r="T198" s="156">
        <v>1058</v>
      </c>
      <c r="U198" s="156">
        <v>0</v>
      </c>
      <c r="V198" s="156">
        <v>0</v>
      </c>
      <c r="W198" s="158">
        <v>1.8197879858657243E-2</v>
      </c>
      <c r="X198" s="158">
        <v>9.9469964664310948E-2</v>
      </c>
      <c r="Y198" s="156" t="s">
        <v>1257</v>
      </c>
      <c r="Z198" s="159">
        <v>37165</v>
      </c>
      <c r="AA198" s="156" t="s">
        <v>1268</v>
      </c>
      <c r="AB198" s="156" t="s">
        <v>1260</v>
      </c>
      <c r="AC198" s="157">
        <v>0.9157155816938729</v>
      </c>
    </row>
    <row r="199" spans="1:29" x14ac:dyDescent="0.2">
      <c r="A199" s="153" t="s">
        <v>754</v>
      </c>
      <c r="B199" s="153" t="s">
        <v>755</v>
      </c>
      <c r="C199" s="154" t="s">
        <v>200</v>
      </c>
      <c r="D199" s="155">
        <v>1505</v>
      </c>
      <c r="E199"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6963</v>
      </c>
      <c r="F199" s="157">
        <f>IF(Cons_Unit_Costs[[#This Row],[Closing social housing units managed]]&gt;0,Cons_Unit_Costs[[#This Row],[Headline Social Housing Cost]]/Cons_Unit_Costs[[#This Row],[Closing social housing units managed]],"")</f>
        <v>4.6265780730897008</v>
      </c>
      <c r="G199" s="157">
        <f>IF(Cons_Unit_Costs[[#This Row],[Closing social housing units managed]]&gt;0,Cons_Unit_Costs[[#This Row],[Management]]/Cons_Unit_Costs[[#This Row],[Closing social housing units managed]],"")</f>
        <v>0.96279069767441861</v>
      </c>
      <c r="H199" s="156">
        <v>1449</v>
      </c>
      <c r="I199" s="157">
        <f>IF(Cons_Unit_Costs[[#This Row],[Closing social housing units managed]]&gt;0,Cons_Unit_Costs[[#This Row],[Service charge costs]]/Cons_Unit_Costs[[#This Row],[Closing social housing units managed]],"")</f>
        <v>1.1661129568106312</v>
      </c>
      <c r="J199" s="156">
        <v>1755</v>
      </c>
      <c r="K199" s="157">
        <f>IF(Cons_Unit_Costs[[#This Row],[Closing social housing units managed]]&gt;0,(Cons_Unit_Costs[[#This Row],[Routine maintenance]]+Cons_Unit_Costs[[#This Row],[Planned maintenance]])/Cons_Unit_Costs[[#This Row],[Closing social housing units managed]],"")</f>
        <v>1.2830564784053156</v>
      </c>
      <c r="L199" s="156">
        <v>1694</v>
      </c>
      <c r="M199" s="156">
        <v>237</v>
      </c>
      <c r="N199" s="157">
        <f>IF(Cons_Unit_Costs[[#This Row],[Closing social housing units managed]]&gt;0,(Cons_Unit_Costs[[#This Row],[Major repairs expenditure]]+Cons_Unit_Costs[[#This Row],[Capitalised major repairs expenditure for period]])/Cons_Unit_Costs[[#This Row],[Closing social housing units managed]],"")</f>
        <v>1.0485049833887043</v>
      </c>
      <c r="O199" s="156">
        <v>479</v>
      </c>
      <c r="P199" s="156">
        <v>1099</v>
      </c>
      <c r="Q199"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0.16611295681063123</v>
      </c>
      <c r="R199" s="156">
        <v>0</v>
      </c>
      <c r="S199" s="156">
        <v>0</v>
      </c>
      <c r="T199" s="156">
        <v>0</v>
      </c>
      <c r="U199" s="156">
        <v>73</v>
      </c>
      <c r="V199" s="156">
        <v>177</v>
      </c>
      <c r="W199" s="158">
        <v>2.0422055820285907E-3</v>
      </c>
      <c r="X199" s="158">
        <v>0.12933968686181074</v>
      </c>
      <c r="Y199" s="156" t="s">
        <v>1256</v>
      </c>
      <c r="Z199" s="159"/>
      <c r="AA199" s="156" t="s">
        <v>1279</v>
      </c>
      <c r="AB199" s="156" t="s">
        <v>1267</v>
      </c>
      <c r="AC199" s="157">
        <v>1.2476145071999378</v>
      </c>
    </row>
    <row r="200" spans="1:29" x14ac:dyDescent="0.2">
      <c r="A200" s="153" t="s">
        <v>170</v>
      </c>
      <c r="B200" s="153" t="s">
        <v>169</v>
      </c>
      <c r="C200" s="154" t="s">
        <v>201</v>
      </c>
      <c r="D200" s="155">
        <v>2360</v>
      </c>
      <c r="E200"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18128</v>
      </c>
      <c r="F200" s="157">
        <f>IF(Cons_Unit_Costs[[#This Row],[Closing social housing units managed]]&gt;0,Cons_Unit_Costs[[#This Row],[Headline Social Housing Cost]]/Cons_Unit_Costs[[#This Row],[Closing social housing units managed]],"")</f>
        <v>7.68135593220339</v>
      </c>
      <c r="G200" s="157">
        <f>IF(Cons_Unit_Costs[[#This Row],[Closing social housing units managed]]&gt;0,Cons_Unit_Costs[[#This Row],[Management]]/Cons_Unit_Costs[[#This Row],[Closing social housing units managed]],"")</f>
        <v>1.388135593220339</v>
      </c>
      <c r="H200" s="156">
        <v>3276</v>
      </c>
      <c r="I200" s="157">
        <f>IF(Cons_Unit_Costs[[#This Row],[Closing social housing units managed]]&gt;0,Cons_Unit_Costs[[#This Row],[Service charge costs]]/Cons_Unit_Costs[[#This Row],[Closing social housing units managed]],"")</f>
        <v>0.43983050847457628</v>
      </c>
      <c r="J200" s="156">
        <v>1038</v>
      </c>
      <c r="K200" s="157">
        <f>IF(Cons_Unit_Costs[[#This Row],[Closing social housing units managed]]&gt;0,(Cons_Unit_Costs[[#This Row],[Routine maintenance]]+Cons_Unit_Costs[[#This Row],[Planned maintenance]])/Cons_Unit_Costs[[#This Row],[Closing social housing units managed]],"")</f>
        <v>0.99152542372881358</v>
      </c>
      <c r="L200" s="156">
        <v>1673</v>
      </c>
      <c r="M200" s="156">
        <v>667</v>
      </c>
      <c r="N200" s="157">
        <f>IF(Cons_Unit_Costs[[#This Row],[Closing social housing units managed]]&gt;0,(Cons_Unit_Costs[[#This Row],[Major repairs expenditure]]+Cons_Unit_Costs[[#This Row],[Capitalised major repairs expenditure for period]])/Cons_Unit_Costs[[#This Row],[Closing social housing units managed]],"")</f>
        <v>0.69576271186440675</v>
      </c>
      <c r="O200" s="156">
        <v>188</v>
      </c>
      <c r="P200" s="156">
        <v>1454</v>
      </c>
      <c r="Q200"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4.1661016949152545</v>
      </c>
      <c r="R200" s="156">
        <v>277</v>
      </c>
      <c r="S200" s="156">
        <v>7407</v>
      </c>
      <c r="T200" s="156">
        <v>545</v>
      </c>
      <c r="U200" s="156">
        <v>0</v>
      </c>
      <c r="V200" s="156">
        <v>1603</v>
      </c>
      <c r="W200" s="158">
        <v>3.1859248692344272E-2</v>
      </c>
      <c r="X200" s="158">
        <v>0.183547313361864</v>
      </c>
      <c r="Y200" s="156" t="s">
        <v>1256</v>
      </c>
      <c r="Z200" s="159"/>
      <c r="AA200" s="156" t="s">
        <v>1279</v>
      </c>
      <c r="AB200" s="156" t="s">
        <v>1264</v>
      </c>
      <c r="AC200" s="157">
        <v>0.94309683767003005</v>
      </c>
    </row>
    <row r="201" spans="1:29" x14ac:dyDescent="0.2">
      <c r="A201" s="153" t="s">
        <v>172</v>
      </c>
      <c r="B201" s="153" t="s">
        <v>171</v>
      </c>
      <c r="C201" s="154" t="s">
        <v>200</v>
      </c>
      <c r="D201" s="155">
        <v>2502</v>
      </c>
      <c r="E201"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6915</v>
      </c>
      <c r="F201" s="157">
        <f>IF(Cons_Unit_Costs[[#This Row],[Closing social housing units managed]]&gt;0,Cons_Unit_Costs[[#This Row],[Headline Social Housing Cost]]/Cons_Unit_Costs[[#This Row],[Closing social housing units managed]],"")</f>
        <v>2.7637889688249402</v>
      </c>
      <c r="G201" s="157">
        <f>IF(Cons_Unit_Costs[[#This Row],[Closing social housing units managed]]&gt;0,Cons_Unit_Costs[[#This Row],[Management]]/Cons_Unit_Costs[[#This Row],[Closing social housing units managed]],"")</f>
        <v>0.66586730615507594</v>
      </c>
      <c r="H201" s="156">
        <v>1666</v>
      </c>
      <c r="I201" s="157">
        <f>IF(Cons_Unit_Costs[[#This Row],[Closing social housing units managed]]&gt;0,Cons_Unit_Costs[[#This Row],[Service charge costs]]/Cons_Unit_Costs[[#This Row],[Closing social housing units managed]],"")</f>
        <v>0.3613109512390088</v>
      </c>
      <c r="J201" s="156">
        <v>904</v>
      </c>
      <c r="K201" s="157">
        <f>IF(Cons_Unit_Costs[[#This Row],[Closing social housing units managed]]&gt;0,(Cons_Unit_Costs[[#This Row],[Routine maintenance]]+Cons_Unit_Costs[[#This Row],[Planned maintenance]])/Cons_Unit_Costs[[#This Row],[Closing social housing units managed]],"")</f>
        <v>0.88169464428457234</v>
      </c>
      <c r="L201" s="156">
        <v>1368</v>
      </c>
      <c r="M201" s="156">
        <v>838</v>
      </c>
      <c r="N201" s="157">
        <f>IF(Cons_Unit_Costs[[#This Row],[Closing social housing units managed]]&gt;0,(Cons_Unit_Costs[[#This Row],[Major repairs expenditure]]+Cons_Unit_Costs[[#This Row],[Capitalised major repairs expenditure for period]])/Cons_Unit_Costs[[#This Row],[Closing social housing units managed]],"")</f>
        <v>0.85491606714628299</v>
      </c>
      <c r="O201" s="156">
        <v>506</v>
      </c>
      <c r="P201" s="156">
        <v>1633</v>
      </c>
      <c r="Q201"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v>
      </c>
      <c r="R201" s="156">
        <v>0</v>
      </c>
      <c r="S201" s="156">
        <v>0</v>
      </c>
      <c r="T201" s="156">
        <v>0</v>
      </c>
      <c r="U201" s="156">
        <v>0</v>
      </c>
      <c r="V201" s="156">
        <v>0</v>
      </c>
      <c r="W201" s="158">
        <v>0</v>
      </c>
      <c r="X201" s="158">
        <v>5.3985660059046814E-2</v>
      </c>
      <c r="Y201" s="156" t="s">
        <v>1256</v>
      </c>
      <c r="Z201" s="159"/>
      <c r="AA201" s="156" t="s">
        <v>1279</v>
      </c>
      <c r="AB201" s="156" t="s">
        <v>1260</v>
      </c>
      <c r="AC201" s="157">
        <v>0.91571558169387279</v>
      </c>
    </row>
    <row r="202" spans="1:29" x14ac:dyDescent="0.2">
      <c r="A202" s="153" t="s">
        <v>756</v>
      </c>
      <c r="B202" s="153" t="s">
        <v>757</v>
      </c>
      <c r="C202" s="154" t="s">
        <v>200</v>
      </c>
      <c r="D202" s="155">
        <v>50705</v>
      </c>
      <c r="E202"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242066</v>
      </c>
      <c r="F202" s="157">
        <f>IF(Cons_Unit_Costs[[#This Row],[Closing social housing units managed]]&gt;0,Cons_Unit_Costs[[#This Row],[Headline Social Housing Cost]]/Cons_Unit_Costs[[#This Row],[Closing social housing units managed]],"")</f>
        <v>4.774006508233902</v>
      </c>
      <c r="G202" s="157">
        <f>IF(Cons_Unit_Costs[[#This Row],[Closing social housing units managed]]&gt;0,Cons_Unit_Costs[[#This Row],[Management]]/Cons_Unit_Costs[[#This Row],[Closing social housing units managed]],"")</f>
        <v>0.93892121092594416</v>
      </c>
      <c r="H202" s="156">
        <v>47608</v>
      </c>
      <c r="I202" s="157">
        <f>IF(Cons_Unit_Costs[[#This Row],[Closing social housing units managed]]&gt;0,Cons_Unit_Costs[[#This Row],[Service charge costs]]/Cons_Unit_Costs[[#This Row],[Closing social housing units managed]],"")</f>
        <v>0.66121684252046153</v>
      </c>
      <c r="J202" s="156">
        <v>33527</v>
      </c>
      <c r="K202" s="157">
        <f>IF(Cons_Unit_Costs[[#This Row],[Closing social housing units managed]]&gt;0,(Cons_Unit_Costs[[#This Row],[Routine maintenance]]+Cons_Unit_Costs[[#This Row],[Planned maintenance]])/Cons_Unit_Costs[[#This Row],[Closing social housing units managed]],"")</f>
        <v>1.0002563849718962</v>
      </c>
      <c r="L202" s="156">
        <v>50718</v>
      </c>
      <c r="M202" s="156">
        <v>0</v>
      </c>
      <c r="N202" s="157">
        <f>IF(Cons_Unit_Costs[[#This Row],[Closing social housing units managed]]&gt;0,(Cons_Unit_Costs[[#This Row],[Major repairs expenditure]]+Cons_Unit_Costs[[#This Row],[Capitalised major repairs expenditure for period]])/Cons_Unit_Costs[[#This Row],[Closing social housing units managed]],"")</f>
        <v>0.77909476382999709</v>
      </c>
      <c r="O202" s="156">
        <v>9598</v>
      </c>
      <c r="P202" s="156">
        <v>29906</v>
      </c>
      <c r="Q202"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1.3945173059856031</v>
      </c>
      <c r="R202" s="156">
        <v>0</v>
      </c>
      <c r="S202" s="156">
        <v>30913</v>
      </c>
      <c r="T202" s="156">
        <v>35612</v>
      </c>
      <c r="U202" s="156">
        <v>0</v>
      </c>
      <c r="V202" s="156">
        <v>4184</v>
      </c>
      <c r="W202" s="158">
        <v>9.2048355450536926E-2</v>
      </c>
      <c r="X202" s="158">
        <v>0.10479124032152577</v>
      </c>
      <c r="Y202" s="156" t="s">
        <v>1256</v>
      </c>
      <c r="Z202" s="159"/>
      <c r="AA202" s="156" t="s">
        <v>1279</v>
      </c>
      <c r="AB202" s="156" t="s">
        <v>1262</v>
      </c>
      <c r="AC202" s="157">
        <v>0.94179692417504879</v>
      </c>
    </row>
    <row r="203" spans="1:29" x14ac:dyDescent="0.2">
      <c r="A203" s="153" t="s">
        <v>763</v>
      </c>
      <c r="B203" s="153" t="s">
        <v>764</v>
      </c>
      <c r="C203" s="154" t="s">
        <v>200</v>
      </c>
      <c r="D203" s="155">
        <v>12455</v>
      </c>
      <c r="E203"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38634</v>
      </c>
      <c r="F203" s="157">
        <f>IF(Cons_Unit_Costs[[#This Row],[Closing social housing units managed]]&gt;0,Cons_Unit_Costs[[#This Row],[Headline Social Housing Cost]]/Cons_Unit_Costs[[#This Row],[Closing social housing units managed]],"")</f>
        <v>3.1018867924528304</v>
      </c>
      <c r="G203" s="157">
        <f>IF(Cons_Unit_Costs[[#This Row],[Closing social housing units managed]]&gt;0,Cons_Unit_Costs[[#This Row],[Management]]/Cons_Unit_Costs[[#This Row],[Closing social housing units managed]],"")</f>
        <v>0.29530309112806102</v>
      </c>
      <c r="H203" s="156">
        <v>3678</v>
      </c>
      <c r="I203" s="157">
        <f>IF(Cons_Unit_Costs[[#This Row],[Closing social housing units managed]]&gt;0,Cons_Unit_Costs[[#This Row],[Service charge costs]]/Cons_Unit_Costs[[#This Row],[Closing social housing units managed]],"")</f>
        <v>0.87699718988358089</v>
      </c>
      <c r="J203" s="156">
        <v>10923</v>
      </c>
      <c r="K203" s="157">
        <f>IF(Cons_Unit_Costs[[#This Row],[Closing social housing units managed]]&gt;0,(Cons_Unit_Costs[[#This Row],[Routine maintenance]]+Cons_Unit_Costs[[#This Row],[Planned maintenance]])/Cons_Unit_Costs[[#This Row],[Closing social housing units managed]],"")</f>
        <v>0.9203532717784022</v>
      </c>
      <c r="L203" s="156">
        <v>11463</v>
      </c>
      <c r="M203" s="156">
        <v>0</v>
      </c>
      <c r="N203" s="157">
        <f>IF(Cons_Unit_Costs[[#This Row],[Closing social housing units managed]]&gt;0,(Cons_Unit_Costs[[#This Row],[Major repairs expenditure]]+Cons_Unit_Costs[[#This Row],[Capitalised major repairs expenditure for period]])/Cons_Unit_Costs[[#This Row],[Closing social housing units managed]],"")</f>
        <v>0.93103171417101571</v>
      </c>
      <c r="O203" s="156">
        <v>5481</v>
      </c>
      <c r="P203" s="156">
        <v>6115</v>
      </c>
      <c r="Q203"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7.8201525491770368E-2</v>
      </c>
      <c r="R203" s="156">
        <v>0</v>
      </c>
      <c r="S203" s="156">
        <v>0</v>
      </c>
      <c r="T203" s="156">
        <v>974</v>
      </c>
      <c r="U203" s="156">
        <v>0</v>
      </c>
      <c r="V203" s="156">
        <v>0</v>
      </c>
      <c r="W203" s="158">
        <v>8.7288597926895792E-3</v>
      </c>
      <c r="X203" s="158">
        <v>0.11487802977164679</v>
      </c>
      <c r="Y203" s="156" t="s">
        <v>1258</v>
      </c>
      <c r="Z203" s="159">
        <v>36244</v>
      </c>
      <c r="AA203" s="156" t="s">
        <v>1268</v>
      </c>
      <c r="AB203" s="156" t="s">
        <v>1260</v>
      </c>
      <c r="AC203" s="157">
        <v>0.9157155816938729</v>
      </c>
    </row>
    <row r="204" spans="1:29" x14ac:dyDescent="0.2">
      <c r="A204" s="153" t="s">
        <v>767</v>
      </c>
      <c r="B204" s="153" t="s">
        <v>768</v>
      </c>
      <c r="C204" s="154" t="s">
        <v>200</v>
      </c>
      <c r="D204" s="155">
        <v>33442</v>
      </c>
      <c r="E20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104865</v>
      </c>
      <c r="F204" s="157">
        <f>IF(Cons_Unit_Costs[[#This Row],[Closing social housing units managed]]&gt;0,Cons_Unit_Costs[[#This Row],[Headline Social Housing Cost]]/Cons_Unit_Costs[[#This Row],[Closing social housing units managed]],"")</f>
        <v>3.1357275282578794</v>
      </c>
      <c r="G204" s="157">
        <f>IF(Cons_Unit_Costs[[#This Row],[Closing social housing units managed]]&gt;0,Cons_Unit_Costs[[#This Row],[Management]]/Cons_Unit_Costs[[#This Row],[Closing social housing units managed]],"")</f>
        <v>0.50400693738412772</v>
      </c>
      <c r="H204" s="156">
        <v>16855</v>
      </c>
      <c r="I204" s="157">
        <f>IF(Cons_Unit_Costs[[#This Row],[Closing social housing units managed]]&gt;0,Cons_Unit_Costs[[#This Row],[Service charge costs]]/Cons_Unit_Costs[[#This Row],[Closing social housing units managed]],"")</f>
        <v>0.30288260271514861</v>
      </c>
      <c r="J204" s="156">
        <v>10129</v>
      </c>
      <c r="K204" s="157">
        <f>IF(Cons_Unit_Costs[[#This Row],[Closing social housing units managed]]&gt;0,(Cons_Unit_Costs[[#This Row],[Routine maintenance]]+Cons_Unit_Costs[[#This Row],[Planned maintenance]])/Cons_Unit_Costs[[#This Row],[Closing social housing units managed]],"")</f>
        <v>0.85509239877997723</v>
      </c>
      <c r="L204" s="156">
        <v>23917</v>
      </c>
      <c r="M204" s="156">
        <v>4679</v>
      </c>
      <c r="N204" s="157">
        <f>IF(Cons_Unit_Costs[[#This Row],[Closing social housing units managed]]&gt;0,(Cons_Unit_Costs[[#This Row],[Major repairs expenditure]]+Cons_Unit_Costs[[#This Row],[Capitalised major repairs expenditure for period]])/Cons_Unit_Costs[[#This Row],[Closing social housing units managed]],"")</f>
        <v>1.1670653669038933</v>
      </c>
      <c r="O204" s="156">
        <v>23498</v>
      </c>
      <c r="P204" s="156">
        <v>15531</v>
      </c>
      <c r="Q20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0.30668022247473237</v>
      </c>
      <c r="R204" s="156">
        <v>123</v>
      </c>
      <c r="S204" s="156">
        <v>1411</v>
      </c>
      <c r="T204" s="156">
        <v>8604</v>
      </c>
      <c r="U204" s="156">
        <v>0</v>
      </c>
      <c r="V204" s="156">
        <v>118</v>
      </c>
      <c r="W204" s="158">
        <v>6.4110391989253878E-3</v>
      </c>
      <c r="X204" s="158">
        <v>7.3055318109659304E-2</v>
      </c>
      <c r="Y204" s="156" t="s">
        <v>1258</v>
      </c>
      <c r="Z204" s="159">
        <v>38306</v>
      </c>
      <c r="AA204" s="156" t="s">
        <v>1268</v>
      </c>
      <c r="AB204" s="156" t="s">
        <v>1266</v>
      </c>
      <c r="AC204" s="157">
        <v>0.90347092454837263</v>
      </c>
    </row>
    <row r="205" spans="1:29" x14ac:dyDescent="0.2">
      <c r="A205" s="153" t="s">
        <v>176</v>
      </c>
      <c r="B205" s="153" t="s">
        <v>174</v>
      </c>
      <c r="C205" s="154" t="s">
        <v>200</v>
      </c>
      <c r="D205" s="155">
        <v>4431</v>
      </c>
      <c r="E20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18145</v>
      </c>
      <c r="F205" s="157">
        <f>IF(Cons_Unit_Costs[[#This Row],[Closing social housing units managed]]&gt;0,Cons_Unit_Costs[[#This Row],[Headline Social Housing Cost]]/Cons_Unit_Costs[[#This Row],[Closing social housing units managed]],"")</f>
        <v>4.0950124125479572</v>
      </c>
      <c r="G205" s="157">
        <f>IF(Cons_Unit_Costs[[#This Row],[Closing social housing units managed]]&gt;0,Cons_Unit_Costs[[#This Row],[Management]]/Cons_Unit_Costs[[#This Row],[Closing social housing units managed]],"")</f>
        <v>1.4145791017828933</v>
      </c>
      <c r="H205" s="156">
        <v>6268</v>
      </c>
      <c r="I205" s="157">
        <f>IF(Cons_Unit_Costs[[#This Row],[Closing social housing units managed]]&gt;0,Cons_Unit_Costs[[#This Row],[Service charge costs]]/Cons_Unit_Costs[[#This Row],[Closing social housing units managed]],"")</f>
        <v>0.45317084179643419</v>
      </c>
      <c r="J205" s="156">
        <v>2008</v>
      </c>
      <c r="K205" s="157">
        <f>IF(Cons_Unit_Costs[[#This Row],[Closing social housing units managed]]&gt;0,(Cons_Unit_Costs[[#This Row],[Routine maintenance]]+Cons_Unit_Costs[[#This Row],[Planned maintenance]])/Cons_Unit_Costs[[#This Row],[Closing social housing units managed]],"")</f>
        <v>0.96163394267659674</v>
      </c>
      <c r="L205" s="156">
        <v>2655</v>
      </c>
      <c r="M205" s="156">
        <v>1606</v>
      </c>
      <c r="N205" s="157">
        <f>IF(Cons_Unit_Costs[[#This Row],[Closing social housing units managed]]&gt;0,(Cons_Unit_Costs[[#This Row],[Major repairs expenditure]]+Cons_Unit_Costs[[#This Row],[Capitalised major repairs expenditure for period]])/Cons_Unit_Costs[[#This Row],[Closing social housing units managed]],"")</f>
        <v>0.90318212593094105</v>
      </c>
      <c r="O205" s="156">
        <v>0</v>
      </c>
      <c r="P205" s="156">
        <v>4002</v>
      </c>
      <c r="Q20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0.36244640036109232</v>
      </c>
      <c r="R205" s="156">
        <v>0</v>
      </c>
      <c r="S205" s="156">
        <v>286</v>
      </c>
      <c r="T205" s="156">
        <v>1018</v>
      </c>
      <c r="U205" s="156">
        <v>302</v>
      </c>
      <c r="V205" s="156">
        <v>0</v>
      </c>
      <c r="W205" s="158">
        <v>0</v>
      </c>
      <c r="X205" s="158">
        <v>0.14510800508259211</v>
      </c>
      <c r="Y205" s="156" t="s">
        <v>1257</v>
      </c>
      <c r="Z205" s="159">
        <v>39526</v>
      </c>
      <c r="AA205" s="156" t="s">
        <v>1280</v>
      </c>
      <c r="AB205" s="156" t="s">
        <v>1263</v>
      </c>
      <c r="AC205" s="157">
        <v>1.0023963268069773</v>
      </c>
    </row>
    <row r="206" spans="1:29" x14ac:dyDescent="0.2">
      <c r="A206" s="153" t="s">
        <v>773</v>
      </c>
      <c r="B206" s="153" t="s">
        <v>774</v>
      </c>
      <c r="C206" s="154" t="s">
        <v>200</v>
      </c>
      <c r="D206" s="155">
        <v>36030</v>
      </c>
      <c r="E20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99373</v>
      </c>
      <c r="F206" s="157">
        <f>IF(Cons_Unit_Costs[[#This Row],[Closing social housing units managed]]&gt;0,Cons_Unit_Costs[[#This Row],[Headline Social Housing Cost]]/Cons_Unit_Costs[[#This Row],[Closing social housing units managed]],"")</f>
        <v>2.7580627255065222</v>
      </c>
      <c r="G206" s="157">
        <f>IF(Cons_Unit_Costs[[#This Row],[Closing social housing units managed]]&gt;0,Cons_Unit_Costs[[#This Row],[Management]]/Cons_Unit_Costs[[#This Row],[Closing social housing units managed]],"")</f>
        <v>0.84901470996391892</v>
      </c>
      <c r="H206" s="156">
        <v>30590</v>
      </c>
      <c r="I206" s="157">
        <f>IF(Cons_Unit_Costs[[#This Row],[Closing social housing units managed]]&gt;0,Cons_Unit_Costs[[#This Row],[Service charge costs]]/Cons_Unit_Costs[[#This Row],[Closing social housing units managed]],"")</f>
        <v>0.25648071051901195</v>
      </c>
      <c r="J206" s="156">
        <v>9241</v>
      </c>
      <c r="K206" s="157">
        <f>IF(Cons_Unit_Costs[[#This Row],[Closing social housing units managed]]&gt;0,(Cons_Unit_Costs[[#This Row],[Routine maintenance]]+Cons_Unit_Costs[[#This Row],[Planned maintenance]])/Cons_Unit_Costs[[#This Row],[Closing social housing units managed]],"")</f>
        <v>0.79739106300305296</v>
      </c>
      <c r="L206" s="156">
        <v>28730</v>
      </c>
      <c r="M206" s="156">
        <v>0</v>
      </c>
      <c r="N206" s="157">
        <f>IF(Cons_Unit_Costs[[#This Row],[Closing social housing units managed]]&gt;0,(Cons_Unit_Costs[[#This Row],[Major repairs expenditure]]+Cons_Unit_Costs[[#This Row],[Capitalised major repairs expenditure for period]])/Cons_Unit_Costs[[#This Row],[Closing social housing units managed]],"")</f>
        <v>0.55031917846239242</v>
      </c>
      <c r="O206" s="156">
        <v>5859</v>
      </c>
      <c r="P206" s="156">
        <v>13969</v>
      </c>
      <c r="Q20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0.30485706355814601</v>
      </c>
      <c r="R206" s="156">
        <v>6205</v>
      </c>
      <c r="S206" s="156">
        <v>604</v>
      </c>
      <c r="T206" s="156">
        <v>2479</v>
      </c>
      <c r="U206" s="156">
        <v>1708</v>
      </c>
      <c r="V206" s="156">
        <v>-12</v>
      </c>
      <c r="W206" s="158">
        <v>1.1663817349583633E-2</v>
      </c>
      <c r="X206" s="158">
        <v>4.0837147741686425E-2</v>
      </c>
      <c r="Y206" s="156" t="s">
        <v>1257</v>
      </c>
      <c r="Z206" s="159">
        <v>36956</v>
      </c>
      <c r="AA206" s="156" t="s">
        <v>1268</v>
      </c>
      <c r="AB206" s="156" t="s">
        <v>1264</v>
      </c>
      <c r="AC206" s="157">
        <v>0.93408232439124994</v>
      </c>
    </row>
    <row r="207" spans="1:29" x14ac:dyDescent="0.2">
      <c r="A207" s="153" t="s">
        <v>775</v>
      </c>
      <c r="B207" s="153" t="s">
        <v>776</v>
      </c>
      <c r="C207" s="154" t="s">
        <v>200</v>
      </c>
      <c r="D207" s="155">
        <v>21589</v>
      </c>
      <c r="E20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57519</v>
      </c>
      <c r="F207" s="157">
        <f>IF(Cons_Unit_Costs[[#This Row],[Closing social housing units managed]]&gt;0,Cons_Unit_Costs[[#This Row],[Headline Social Housing Cost]]/Cons_Unit_Costs[[#This Row],[Closing social housing units managed]],"")</f>
        <v>2.664273472601788</v>
      </c>
      <c r="G207" s="157">
        <f>IF(Cons_Unit_Costs[[#This Row],[Closing social housing units managed]]&gt;0,Cons_Unit_Costs[[#This Row],[Management]]/Cons_Unit_Costs[[#This Row],[Closing social housing units managed]],"")</f>
        <v>0.95136412061698084</v>
      </c>
      <c r="H207" s="156">
        <v>20539</v>
      </c>
      <c r="I207" s="157">
        <f>IF(Cons_Unit_Costs[[#This Row],[Closing social housing units managed]]&gt;0,Cons_Unit_Costs[[#This Row],[Service charge costs]]/Cons_Unit_Costs[[#This Row],[Closing social housing units managed]],"")</f>
        <v>0.11867154569456667</v>
      </c>
      <c r="J207" s="156">
        <v>2562</v>
      </c>
      <c r="K207" s="157">
        <f>IF(Cons_Unit_Costs[[#This Row],[Closing social housing units managed]]&gt;0,(Cons_Unit_Costs[[#This Row],[Routine maintenance]]+Cons_Unit_Costs[[#This Row],[Planned maintenance]])/Cons_Unit_Costs[[#This Row],[Closing social housing units managed]],"")</f>
        <v>0.86414377692343325</v>
      </c>
      <c r="L207" s="156">
        <v>10767</v>
      </c>
      <c r="M207" s="156">
        <v>7889</v>
      </c>
      <c r="N207" s="157">
        <f>IF(Cons_Unit_Costs[[#This Row],[Closing social housing units managed]]&gt;0,(Cons_Unit_Costs[[#This Row],[Major repairs expenditure]]+Cons_Unit_Costs[[#This Row],[Capitalised major repairs expenditure for period]])/Cons_Unit_Costs[[#This Row],[Closing social housing units managed]],"")</f>
        <v>0.52980684607902173</v>
      </c>
      <c r="O207" s="156">
        <v>4610</v>
      </c>
      <c r="P207" s="156">
        <v>6828</v>
      </c>
      <c r="Q20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0.20028718328778544</v>
      </c>
      <c r="R207" s="156">
        <v>2297</v>
      </c>
      <c r="S207" s="156">
        <v>570</v>
      </c>
      <c r="T207" s="156">
        <v>0</v>
      </c>
      <c r="U207" s="156">
        <v>0</v>
      </c>
      <c r="V207" s="156">
        <v>1457</v>
      </c>
      <c r="W207" s="158">
        <v>3.6056025516571903E-3</v>
      </c>
      <c r="X207" s="158">
        <v>0.11653492349650996</v>
      </c>
      <c r="Y207" s="156" t="s">
        <v>1258</v>
      </c>
      <c r="Z207" s="159">
        <v>37438</v>
      </c>
      <c r="AA207" s="156" t="s">
        <v>1268</v>
      </c>
      <c r="AB207" s="156" t="s">
        <v>1262</v>
      </c>
      <c r="AC207" s="157">
        <v>0.9156653862445665</v>
      </c>
    </row>
    <row r="208" spans="1:29" x14ac:dyDescent="0.2">
      <c r="A208" s="153" t="s">
        <v>779</v>
      </c>
      <c r="B208" s="153" t="s">
        <v>778</v>
      </c>
      <c r="C208" s="154" t="s">
        <v>200</v>
      </c>
      <c r="D208" s="155">
        <v>3193</v>
      </c>
      <c r="E20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12429</v>
      </c>
      <c r="F208" s="157">
        <f>IF(Cons_Unit_Costs[[#This Row],[Closing social housing units managed]]&gt;0,Cons_Unit_Costs[[#This Row],[Headline Social Housing Cost]]/Cons_Unit_Costs[[#This Row],[Closing social housing units managed]],"")</f>
        <v>3.8925775133103664</v>
      </c>
      <c r="G208" s="157">
        <f>IF(Cons_Unit_Costs[[#This Row],[Closing social housing units managed]]&gt;0,Cons_Unit_Costs[[#This Row],[Management]]/Cons_Unit_Costs[[#This Row],[Closing social housing units managed]],"")</f>
        <v>0.80050109614782339</v>
      </c>
      <c r="H208" s="156">
        <v>2556</v>
      </c>
      <c r="I208" s="157">
        <f>IF(Cons_Unit_Costs[[#This Row],[Closing social housing units managed]]&gt;0,Cons_Unit_Costs[[#This Row],[Service charge costs]]/Cons_Unit_Costs[[#This Row],[Closing social housing units managed]],"")</f>
        <v>1.0974005637331663</v>
      </c>
      <c r="J208" s="156">
        <v>3504</v>
      </c>
      <c r="K208" s="157">
        <f>IF(Cons_Unit_Costs[[#This Row],[Closing social housing units managed]]&gt;0,(Cons_Unit_Costs[[#This Row],[Routine maintenance]]+Cons_Unit_Costs[[#This Row],[Planned maintenance]])/Cons_Unit_Costs[[#This Row],[Closing social housing units managed]],"")</f>
        <v>1.5408706545568431</v>
      </c>
      <c r="L208" s="156">
        <v>2484</v>
      </c>
      <c r="M208" s="156">
        <v>2436</v>
      </c>
      <c r="N208" s="157">
        <f>IF(Cons_Unit_Costs[[#This Row],[Closing social housing units managed]]&gt;0,(Cons_Unit_Costs[[#This Row],[Major repairs expenditure]]+Cons_Unit_Costs[[#This Row],[Capitalised major repairs expenditure for period]])/Cons_Unit_Costs[[#This Row],[Closing social housing units managed]],"")</f>
        <v>0.22110867522705918</v>
      </c>
      <c r="O208" s="156">
        <v>0</v>
      </c>
      <c r="P208" s="156">
        <v>706</v>
      </c>
      <c r="Q20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0.23269652364547447</v>
      </c>
      <c r="R208" s="156">
        <v>0</v>
      </c>
      <c r="S208" s="156">
        <v>0</v>
      </c>
      <c r="T208" s="156">
        <v>0</v>
      </c>
      <c r="U208" s="156">
        <v>320</v>
      </c>
      <c r="V208" s="156">
        <v>423</v>
      </c>
      <c r="W208" s="158">
        <v>0</v>
      </c>
      <c r="X208" s="158">
        <v>0</v>
      </c>
      <c r="Y208" s="156" t="s">
        <v>1257</v>
      </c>
      <c r="Z208" s="159">
        <v>36612</v>
      </c>
      <c r="AA208" s="156" t="s">
        <v>1268</v>
      </c>
      <c r="AB208" s="156" t="s">
        <v>1267</v>
      </c>
      <c r="AC208" s="157">
        <v>1.2488627787394371</v>
      </c>
    </row>
    <row r="209" spans="1:29" x14ac:dyDescent="0.2">
      <c r="A209" s="153" t="s">
        <v>179</v>
      </c>
      <c r="B209" s="153" t="s">
        <v>177</v>
      </c>
      <c r="C209" s="154" t="s">
        <v>200</v>
      </c>
      <c r="D209" s="155">
        <v>8755</v>
      </c>
      <c r="E209"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24715</v>
      </c>
      <c r="F209" s="157">
        <f>IF(Cons_Unit_Costs[[#This Row],[Closing social housing units managed]]&gt;0,Cons_Unit_Costs[[#This Row],[Headline Social Housing Cost]]/Cons_Unit_Costs[[#This Row],[Closing social housing units managed]],"")</f>
        <v>2.8229583095374071</v>
      </c>
      <c r="G209" s="157">
        <f>IF(Cons_Unit_Costs[[#This Row],[Closing social housing units managed]]&gt;0,Cons_Unit_Costs[[#This Row],[Management]]/Cons_Unit_Costs[[#This Row],[Closing social housing units managed]],"")</f>
        <v>1.0323243860651057</v>
      </c>
      <c r="H209" s="156">
        <v>9038</v>
      </c>
      <c r="I209" s="157">
        <f>IF(Cons_Unit_Costs[[#This Row],[Closing social housing units managed]]&gt;0,Cons_Unit_Costs[[#This Row],[Service charge costs]]/Cons_Unit_Costs[[#This Row],[Closing social housing units managed]],"")</f>
        <v>0.30371216447744148</v>
      </c>
      <c r="J209" s="156">
        <v>2659</v>
      </c>
      <c r="K209" s="157">
        <f>IF(Cons_Unit_Costs[[#This Row],[Closing social housing units managed]]&gt;0,(Cons_Unit_Costs[[#This Row],[Routine maintenance]]+Cons_Unit_Costs[[#This Row],[Planned maintenance]])/Cons_Unit_Costs[[#This Row],[Closing social housing units managed]],"")</f>
        <v>0.98697886921758993</v>
      </c>
      <c r="L209" s="156">
        <v>4496</v>
      </c>
      <c r="M209" s="156">
        <v>4145</v>
      </c>
      <c r="N209" s="157">
        <f>IF(Cons_Unit_Costs[[#This Row],[Closing social housing units managed]]&gt;0,(Cons_Unit_Costs[[#This Row],[Major repairs expenditure]]+Cons_Unit_Costs[[#This Row],[Capitalised major repairs expenditure for period]])/Cons_Unit_Costs[[#This Row],[Closing social housing units managed]],"")</f>
        <v>0.49994288977727014</v>
      </c>
      <c r="O209" s="156">
        <v>1041</v>
      </c>
      <c r="P209" s="156">
        <v>3336</v>
      </c>
      <c r="Q209"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v>
      </c>
      <c r="R209" s="156">
        <v>0</v>
      </c>
      <c r="S209" s="156">
        <v>0</v>
      </c>
      <c r="T209" s="156">
        <v>0</v>
      </c>
      <c r="U209" s="156">
        <v>0</v>
      </c>
      <c r="V209" s="156">
        <v>0</v>
      </c>
      <c r="W209" s="158">
        <v>5.01196035994988E-3</v>
      </c>
      <c r="X209" s="158">
        <v>4.6360633329536396E-2</v>
      </c>
      <c r="Y209" s="156" t="s">
        <v>1257</v>
      </c>
      <c r="Z209" s="159">
        <v>33632</v>
      </c>
      <c r="AA209" s="156" t="s">
        <v>1268</v>
      </c>
      <c r="AB209" s="156" t="s">
        <v>1259</v>
      </c>
      <c r="AC209" s="157">
        <v>1.0118524159776632</v>
      </c>
    </row>
    <row r="210" spans="1:29" x14ac:dyDescent="0.2">
      <c r="A210" s="153" t="s">
        <v>780</v>
      </c>
      <c r="B210" s="153" t="s">
        <v>781</v>
      </c>
      <c r="C210" s="154" t="s">
        <v>200</v>
      </c>
      <c r="D210" s="155">
        <v>8897</v>
      </c>
      <c r="E210"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32186</v>
      </c>
      <c r="F210" s="157">
        <f>IF(Cons_Unit_Costs[[#This Row],[Closing social housing units managed]]&gt;0,Cons_Unit_Costs[[#This Row],[Headline Social Housing Cost]]/Cons_Unit_Costs[[#This Row],[Closing social housing units managed]],"")</f>
        <v>3.6176239181746657</v>
      </c>
      <c r="G210" s="157">
        <f>IF(Cons_Unit_Costs[[#This Row],[Closing social housing units managed]]&gt;0,Cons_Unit_Costs[[#This Row],[Management]]/Cons_Unit_Costs[[#This Row],[Closing social housing units managed]],"")</f>
        <v>1.3099921321793864</v>
      </c>
      <c r="H210" s="156">
        <v>11655</v>
      </c>
      <c r="I210" s="157">
        <f>IF(Cons_Unit_Costs[[#This Row],[Closing social housing units managed]]&gt;0,Cons_Unit_Costs[[#This Row],[Service charge costs]]/Cons_Unit_Costs[[#This Row],[Closing social housing units managed]],"")</f>
        <v>0.42542430032595258</v>
      </c>
      <c r="J210" s="156">
        <v>3785</v>
      </c>
      <c r="K210" s="157">
        <f>IF(Cons_Unit_Costs[[#This Row],[Closing social housing units managed]]&gt;0,(Cons_Unit_Costs[[#This Row],[Routine maintenance]]+Cons_Unit_Costs[[#This Row],[Planned maintenance]])/Cons_Unit_Costs[[#This Row],[Closing social housing units managed]],"")</f>
        <v>0.87827357536248174</v>
      </c>
      <c r="L210" s="156">
        <v>4142</v>
      </c>
      <c r="M210" s="156">
        <v>3672</v>
      </c>
      <c r="N210" s="157">
        <f>IF(Cons_Unit_Costs[[#This Row],[Closing social housing units managed]]&gt;0,(Cons_Unit_Costs[[#This Row],[Major repairs expenditure]]+Cons_Unit_Costs[[#This Row],[Capitalised major repairs expenditure for period]])/Cons_Unit_Costs[[#This Row],[Closing social housing units managed]],"")</f>
        <v>0.39350342812183881</v>
      </c>
      <c r="O210" s="156">
        <v>417</v>
      </c>
      <c r="P210" s="156">
        <v>3084</v>
      </c>
      <c r="Q210"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0.61043048218500617</v>
      </c>
      <c r="R210" s="156">
        <v>806</v>
      </c>
      <c r="S210" s="156">
        <v>2038</v>
      </c>
      <c r="T210" s="156">
        <v>996</v>
      </c>
      <c r="U210" s="156">
        <v>0</v>
      </c>
      <c r="V210" s="156">
        <v>1591</v>
      </c>
      <c r="W210" s="158">
        <v>2.2479487467685737E-3</v>
      </c>
      <c r="X210" s="158">
        <v>0.28593908058896256</v>
      </c>
      <c r="Y210" s="156" t="s">
        <v>1257</v>
      </c>
      <c r="Z210" s="159">
        <v>38425</v>
      </c>
      <c r="AA210" s="156" t="s">
        <v>1268</v>
      </c>
      <c r="AB210" s="156" t="s">
        <v>1262</v>
      </c>
      <c r="AC210" s="157">
        <v>0.9156653862445665</v>
      </c>
    </row>
    <row r="211" spans="1:29" x14ac:dyDescent="0.2">
      <c r="A211" s="153" t="s">
        <v>783</v>
      </c>
      <c r="B211" s="153" t="s">
        <v>784</v>
      </c>
      <c r="C211" s="154" t="s">
        <v>200</v>
      </c>
      <c r="D211" s="155">
        <v>5828</v>
      </c>
      <c r="E211"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16426</v>
      </c>
      <c r="F211" s="157">
        <f>IF(Cons_Unit_Costs[[#This Row],[Closing social housing units managed]]&gt;0,Cons_Unit_Costs[[#This Row],[Headline Social Housing Cost]]/Cons_Unit_Costs[[#This Row],[Closing social housing units managed]],"")</f>
        <v>2.8184625943719972</v>
      </c>
      <c r="G211" s="157">
        <f>IF(Cons_Unit_Costs[[#This Row],[Closing social housing units managed]]&gt;0,Cons_Unit_Costs[[#This Row],[Management]]/Cons_Unit_Costs[[#This Row],[Closing social housing units managed]],"")</f>
        <v>0.84849004804392592</v>
      </c>
      <c r="H211" s="156">
        <v>4945</v>
      </c>
      <c r="I211" s="157">
        <f>IF(Cons_Unit_Costs[[#This Row],[Closing social housing units managed]]&gt;0,Cons_Unit_Costs[[#This Row],[Service charge costs]]/Cons_Unit_Costs[[#This Row],[Closing social housing units managed]],"")</f>
        <v>0.23592999313658203</v>
      </c>
      <c r="J211" s="156">
        <v>1375</v>
      </c>
      <c r="K211" s="157">
        <f>IF(Cons_Unit_Costs[[#This Row],[Closing social housing units managed]]&gt;0,(Cons_Unit_Costs[[#This Row],[Routine maintenance]]+Cons_Unit_Costs[[#This Row],[Planned maintenance]])/Cons_Unit_Costs[[#This Row],[Closing social housing units managed]],"")</f>
        <v>1.0046328071379547</v>
      </c>
      <c r="L211" s="156">
        <v>2106</v>
      </c>
      <c r="M211" s="156">
        <v>3749</v>
      </c>
      <c r="N211" s="157">
        <f>IF(Cons_Unit_Costs[[#This Row],[Closing social housing units managed]]&gt;0,(Cons_Unit_Costs[[#This Row],[Major repairs expenditure]]+Cons_Unit_Costs[[#This Row],[Capitalised major repairs expenditure for period]])/Cons_Unit_Costs[[#This Row],[Closing social housing units managed]],"")</f>
        <v>0.4861015785861359</v>
      </c>
      <c r="O211" s="156">
        <v>648</v>
      </c>
      <c r="P211" s="156">
        <v>2185</v>
      </c>
      <c r="Q211"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0.24330816746739878</v>
      </c>
      <c r="R211" s="156">
        <v>219</v>
      </c>
      <c r="S211" s="156">
        <v>472</v>
      </c>
      <c r="T211" s="156">
        <v>0</v>
      </c>
      <c r="U211" s="156">
        <v>727</v>
      </c>
      <c r="V211" s="156">
        <v>0</v>
      </c>
      <c r="W211" s="158">
        <v>3.4317089910775565E-4</v>
      </c>
      <c r="X211" s="158">
        <v>3.2258064516129031E-2</v>
      </c>
      <c r="Y211" s="156" t="s">
        <v>1257</v>
      </c>
      <c r="Z211" s="159">
        <v>36976</v>
      </c>
      <c r="AA211" s="156" t="s">
        <v>1268</v>
      </c>
      <c r="AB211" s="156" t="s">
        <v>1260</v>
      </c>
      <c r="AC211" s="157">
        <v>0.91589099876937397</v>
      </c>
    </row>
    <row r="212" spans="1:29" x14ac:dyDescent="0.2">
      <c r="A212" s="153" t="s">
        <v>203</v>
      </c>
      <c r="B212" s="153" t="s">
        <v>180</v>
      </c>
      <c r="C212" s="154" t="s">
        <v>200</v>
      </c>
      <c r="D212" s="155">
        <v>3169</v>
      </c>
      <c r="E212"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23736</v>
      </c>
      <c r="F212" s="157">
        <f>IF(Cons_Unit_Costs[[#This Row],[Closing social housing units managed]]&gt;0,Cons_Unit_Costs[[#This Row],[Headline Social Housing Cost]]/Cons_Unit_Costs[[#This Row],[Closing social housing units managed]],"")</f>
        <v>7.4900599558220256</v>
      </c>
      <c r="G212" s="157">
        <f>IF(Cons_Unit_Costs[[#This Row],[Closing social housing units managed]]&gt;0,Cons_Unit_Costs[[#This Row],[Management]]/Cons_Unit_Costs[[#This Row],[Closing social housing units managed]],"")</f>
        <v>0.68570526980119917</v>
      </c>
      <c r="H212" s="156">
        <v>2173</v>
      </c>
      <c r="I212" s="157">
        <f>IF(Cons_Unit_Costs[[#This Row],[Closing social housing units managed]]&gt;0,Cons_Unit_Costs[[#This Row],[Service charge costs]]/Cons_Unit_Costs[[#This Row],[Closing social housing units managed]],"")</f>
        <v>1.2537077942568633</v>
      </c>
      <c r="J212" s="156">
        <v>3973</v>
      </c>
      <c r="K212" s="157">
        <f>IF(Cons_Unit_Costs[[#This Row],[Closing social housing units managed]]&gt;0,(Cons_Unit_Costs[[#This Row],[Routine maintenance]]+Cons_Unit_Costs[[#This Row],[Planned maintenance]])/Cons_Unit_Costs[[#This Row],[Closing social housing units managed]],"")</f>
        <v>0.95171978542126856</v>
      </c>
      <c r="L212" s="156">
        <v>2190</v>
      </c>
      <c r="M212" s="156">
        <v>826</v>
      </c>
      <c r="N212" s="157">
        <f>IF(Cons_Unit_Costs[[#This Row],[Closing social housing units managed]]&gt;0,(Cons_Unit_Costs[[#This Row],[Major repairs expenditure]]+Cons_Unit_Costs[[#This Row],[Capitalised major repairs expenditure for period]])/Cons_Unit_Costs[[#This Row],[Closing social housing units managed]],"")</f>
        <v>0.39255285579047017</v>
      </c>
      <c r="O212" s="156">
        <v>0</v>
      </c>
      <c r="P212" s="156">
        <v>1244</v>
      </c>
      <c r="Q212"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4.2063742505522246</v>
      </c>
      <c r="R212" s="156">
        <v>0</v>
      </c>
      <c r="S212" s="156">
        <v>0</v>
      </c>
      <c r="T212" s="156">
        <v>13330</v>
      </c>
      <c r="U212" s="156">
        <v>0</v>
      </c>
      <c r="V212" s="156">
        <v>0</v>
      </c>
      <c r="W212" s="158">
        <v>0.11145404663923182</v>
      </c>
      <c r="X212" s="158">
        <v>1.954732510288066E-2</v>
      </c>
      <c r="Y212" s="156" t="s">
        <v>1256</v>
      </c>
      <c r="Z212" s="159"/>
      <c r="AA212" s="156" t="s">
        <v>1279</v>
      </c>
      <c r="AB212" s="156" t="s">
        <v>1260</v>
      </c>
      <c r="AC212" s="157">
        <v>0.91629032748907724</v>
      </c>
    </row>
    <row r="213" spans="1:29" x14ac:dyDescent="0.2">
      <c r="A213" s="153" t="s">
        <v>788</v>
      </c>
      <c r="B213" s="153" t="s">
        <v>789</v>
      </c>
      <c r="C213" s="154" t="s">
        <v>200</v>
      </c>
      <c r="D213" s="155">
        <v>1334</v>
      </c>
      <c r="E213"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4077</v>
      </c>
      <c r="F213" s="157">
        <f>IF(Cons_Unit_Costs[[#This Row],[Closing social housing units managed]]&gt;0,Cons_Unit_Costs[[#This Row],[Headline Social Housing Cost]]/Cons_Unit_Costs[[#This Row],[Closing social housing units managed]],"")</f>
        <v>3.0562218890554722</v>
      </c>
      <c r="G213" s="157">
        <f>IF(Cons_Unit_Costs[[#This Row],[Closing social housing units managed]]&gt;0,Cons_Unit_Costs[[#This Row],[Management]]/Cons_Unit_Costs[[#This Row],[Closing social housing units managed]],"")</f>
        <v>1.1221889055472263</v>
      </c>
      <c r="H213" s="156">
        <v>1497</v>
      </c>
      <c r="I213" s="157">
        <f>IF(Cons_Unit_Costs[[#This Row],[Closing social housing units managed]]&gt;0,Cons_Unit_Costs[[#This Row],[Service charge costs]]/Cons_Unit_Costs[[#This Row],[Closing social housing units managed]],"")</f>
        <v>0.56596701649175407</v>
      </c>
      <c r="J213" s="156">
        <v>755</v>
      </c>
      <c r="K213" s="157">
        <f>IF(Cons_Unit_Costs[[#This Row],[Closing social housing units managed]]&gt;0,(Cons_Unit_Costs[[#This Row],[Routine maintenance]]+Cons_Unit_Costs[[#This Row],[Planned maintenance]])/Cons_Unit_Costs[[#This Row],[Closing social housing units managed]],"")</f>
        <v>0.83283358320839584</v>
      </c>
      <c r="L213" s="156">
        <v>986</v>
      </c>
      <c r="M213" s="156">
        <v>125</v>
      </c>
      <c r="N213" s="157">
        <f>IF(Cons_Unit_Costs[[#This Row],[Closing social housing units managed]]&gt;0,(Cons_Unit_Costs[[#This Row],[Major repairs expenditure]]+Cons_Unit_Costs[[#This Row],[Capitalised major repairs expenditure for period]])/Cons_Unit_Costs[[#This Row],[Closing social housing units managed]],"")</f>
        <v>0.4572713643178411</v>
      </c>
      <c r="O213" s="156">
        <v>0</v>
      </c>
      <c r="P213" s="156">
        <v>610</v>
      </c>
      <c r="Q213"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7.7961019490254871E-2</v>
      </c>
      <c r="R213" s="156">
        <v>104</v>
      </c>
      <c r="S213" s="156">
        <v>0</v>
      </c>
      <c r="T213" s="156">
        <v>0</v>
      </c>
      <c r="U213" s="156">
        <v>0</v>
      </c>
      <c r="V213" s="156">
        <v>0</v>
      </c>
      <c r="W213" s="158">
        <v>6.2452972159518436E-2</v>
      </c>
      <c r="X213" s="158">
        <v>4.2889390519187359E-2</v>
      </c>
      <c r="Y213" s="156" t="s">
        <v>1256</v>
      </c>
      <c r="Z213" s="159"/>
      <c r="AA213" s="156" t="s">
        <v>1279</v>
      </c>
      <c r="AB213" s="156" t="s">
        <v>1261</v>
      </c>
      <c r="AC213" s="157">
        <v>0.92038375847935383</v>
      </c>
    </row>
    <row r="214" spans="1:29" x14ac:dyDescent="0.2">
      <c r="A214" s="153" t="s">
        <v>791</v>
      </c>
      <c r="B214" s="153" t="s">
        <v>792</v>
      </c>
      <c r="C214" s="154" t="s">
        <v>200</v>
      </c>
      <c r="D214" s="155">
        <v>3735</v>
      </c>
      <c r="E21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11163</v>
      </c>
      <c r="F214" s="157">
        <f>IF(Cons_Unit_Costs[[#This Row],[Closing social housing units managed]]&gt;0,Cons_Unit_Costs[[#This Row],[Headline Social Housing Cost]]/Cons_Unit_Costs[[#This Row],[Closing social housing units managed]],"")</f>
        <v>2.9887550200803212</v>
      </c>
      <c r="G214" s="157">
        <f>IF(Cons_Unit_Costs[[#This Row],[Closing social housing units managed]]&gt;0,Cons_Unit_Costs[[#This Row],[Management]]/Cons_Unit_Costs[[#This Row],[Closing social housing units managed]],"")</f>
        <v>0.96251673360107093</v>
      </c>
      <c r="H214" s="156">
        <v>3595</v>
      </c>
      <c r="I214" s="157">
        <f>IF(Cons_Unit_Costs[[#This Row],[Closing social housing units managed]]&gt;0,Cons_Unit_Costs[[#This Row],[Service charge costs]]/Cons_Unit_Costs[[#This Row],[Closing social housing units managed]],"")</f>
        <v>0.52155287817938423</v>
      </c>
      <c r="J214" s="156">
        <v>1948</v>
      </c>
      <c r="K214" s="157">
        <f>IF(Cons_Unit_Costs[[#This Row],[Closing social housing units managed]]&gt;0,(Cons_Unit_Costs[[#This Row],[Routine maintenance]]+Cons_Unit_Costs[[#This Row],[Planned maintenance]])/Cons_Unit_Costs[[#This Row],[Closing social housing units managed]],"")</f>
        <v>0.72985274431057567</v>
      </c>
      <c r="L214" s="156">
        <v>1781</v>
      </c>
      <c r="M214" s="156">
        <v>945</v>
      </c>
      <c r="N214" s="157">
        <f>IF(Cons_Unit_Costs[[#This Row],[Closing social housing units managed]]&gt;0,(Cons_Unit_Costs[[#This Row],[Major repairs expenditure]]+Cons_Unit_Costs[[#This Row],[Capitalised major repairs expenditure for period]])/Cons_Unit_Costs[[#This Row],[Closing social housing units managed]],"")</f>
        <v>0.76439089692101736</v>
      </c>
      <c r="O214" s="156">
        <v>760</v>
      </c>
      <c r="P214" s="156">
        <v>2095</v>
      </c>
      <c r="Q21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1.0441767068273093E-2</v>
      </c>
      <c r="R214" s="156">
        <v>34</v>
      </c>
      <c r="S214" s="156">
        <v>4</v>
      </c>
      <c r="T214" s="156">
        <v>1</v>
      </c>
      <c r="U214" s="156">
        <v>0</v>
      </c>
      <c r="V214" s="156">
        <v>0</v>
      </c>
      <c r="W214" s="158">
        <v>1.3026607538802661E-2</v>
      </c>
      <c r="X214" s="158">
        <v>0.14495565410199557</v>
      </c>
      <c r="Y214" s="156" t="s">
        <v>1256</v>
      </c>
      <c r="Z214" s="159"/>
      <c r="AA214" s="156" t="s">
        <v>1279</v>
      </c>
      <c r="AB214" s="156" t="s">
        <v>1262</v>
      </c>
      <c r="AC214" s="157">
        <v>0.91071799031618728</v>
      </c>
    </row>
    <row r="215" spans="1:29" x14ac:dyDescent="0.2">
      <c r="A215" s="153" t="s">
        <v>797</v>
      </c>
      <c r="B215" s="153" t="s">
        <v>796</v>
      </c>
      <c r="C215" s="154" t="s">
        <v>200</v>
      </c>
      <c r="D215" s="155">
        <v>3894</v>
      </c>
      <c r="E21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12373</v>
      </c>
      <c r="F215" s="157">
        <f>IF(Cons_Unit_Costs[[#This Row],[Closing social housing units managed]]&gt;0,Cons_Unit_Costs[[#This Row],[Headline Social Housing Cost]]/Cons_Unit_Costs[[#This Row],[Closing social housing units managed]],"")</f>
        <v>3.1774524910118132</v>
      </c>
      <c r="G215" s="157">
        <f>IF(Cons_Unit_Costs[[#This Row],[Closing social housing units managed]]&gt;0,Cons_Unit_Costs[[#This Row],[Management]]/Cons_Unit_Costs[[#This Row],[Closing social housing units managed]],"")</f>
        <v>1.03954802259887</v>
      </c>
      <c r="H215" s="156">
        <v>4048</v>
      </c>
      <c r="I215" s="157">
        <f>IF(Cons_Unit_Costs[[#This Row],[Closing social housing units managed]]&gt;0,Cons_Unit_Costs[[#This Row],[Service charge costs]]/Cons_Unit_Costs[[#This Row],[Closing social housing units managed]],"")</f>
        <v>0.12737544940934772</v>
      </c>
      <c r="J215" s="156">
        <v>496</v>
      </c>
      <c r="K215" s="157">
        <f>IF(Cons_Unit_Costs[[#This Row],[Closing social housing units managed]]&gt;0,(Cons_Unit_Costs[[#This Row],[Routine maintenance]]+Cons_Unit_Costs[[#This Row],[Planned maintenance]])/Cons_Unit_Costs[[#This Row],[Closing social housing units managed]],"")</f>
        <v>1.233949666153056</v>
      </c>
      <c r="L215" s="156">
        <v>2284</v>
      </c>
      <c r="M215" s="156">
        <v>2521</v>
      </c>
      <c r="N215" s="157">
        <f>IF(Cons_Unit_Costs[[#This Row],[Closing social housing units managed]]&gt;0,(Cons_Unit_Costs[[#This Row],[Major repairs expenditure]]+Cons_Unit_Costs[[#This Row],[Capitalised major repairs expenditure for period]])/Cons_Unit_Costs[[#This Row],[Closing social housing units managed]],"")</f>
        <v>0.67411402157164868</v>
      </c>
      <c r="O215" s="156">
        <v>0</v>
      </c>
      <c r="P215" s="156">
        <v>2625</v>
      </c>
      <c r="Q21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0.1024653312788906</v>
      </c>
      <c r="R215" s="156">
        <v>223</v>
      </c>
      <c r="S215" s="156">
        <v>0</v>
      </c>
      <c r="T215" s="156">
        <v>176</v>
      </c>
      <c r="U215" s="156">
        <v>0</v>
      </c>
      <c r="V215" s="156">
        <v>0</v>
      </c>
      <c r="W215" s="158">
        <v>0</v>
      </c>
      <c r="X215" s="158">
        <v>0.15254237288135594</v>
      </c>
      <c r="Y215" s="156" t="s">
        <v>1257</v>
      </c>
      <c r="Z215" s="159">
        <v>37711</v>
      </c>
      <c r="AA215" s="156" t="s">
        <v>1268</v>
      </c>
      <c r="AB215" s="156" t="s">
        <v>1265</v>
      </c>
      <c r="AC215" s="157">
        <v>0.96574693867325678</v>
      </c>
    </row>
    <row r="216" spans="1:29" x14ac:dyDescent="0.2">
      <c r="A216" s="153" t="s">
        <v>183</v>
      </c>
      <c r="B216" s="153" t="s">
        <v>182</v>
      </c>
      <c r="C216" s="154" t="s">
        <v>200</v>
      </c>
      <c r="D216" s="155">
        <v>1004</v>
      </c>
      <c r="E21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3263</v>
      </c>
      <c r="F216" s="157">
        <f>IF(Cons_Unit_Costs[[#This Row],[Closing social housing units managed]]&gt;0,Cons_Unit_Costs[[#This Row],[Headline Social Housing Cost]]/Cons_Unit_Costs[[#This Row],[Closing social housing units managed]],"")</f>
        <v>3.25</v>
      </c>
      <c r="G216" s="157">
        <f>IF(Cons_Unit_Costs[[#This Row],[Closing social housing units managed]]&gt;0,Cons_Unit_Costs[[#This Row],[Management]]/Cons_Unit_Costs[[#This Row],[Closing social housing units managed]],"")</f>
        <v>0.64243027888446214</v>
      </c>
      <c r="H216" s="156">
        <v>645</v>
      </c>
      <c r="I216" s="157">
        <f>IF(Cons_Unit_Costs[[#This Row],[Closing social housing units managed]]&gt;0,Cons_Unit_Costs[[#This Row],[Service charge costs]]/Cons_Unit_Costs[[#This Row],[Closing social housing units managed]],"")</f>
        <v>0.3197211155378486</v>
      </c>
      <c r="J216" s="156">
        <v>321</v>
      </c>
      <c r="K216" s="157">
        <f>IF(Cons_Unit_Costs[[#This Row],[Closing social housing units managed]]&gt;0,(Cons_Unit_Costs[[#This Row],[Routine maintenance]]+Cons_Unit_Costs[[#This Row],[Planned maintenance]])/Cons_Unit_Costs[[#This Row],[Closing social housing units managed]],"")</f>
        <v>1.4800796812749004</v>
      </c>
      <c r="L216" s="156">
        <v>1059</v>
      </c>
      <c r="M216" s="156">
        <v>427</v>
      </c>
      <c r="N216" s="157">
        <f>IF(Cons_Unit_Costs[[#This Row],[Closing social housing units managed]]&gt;0,(Cons_Unit_Costs[[#This Row],[Major repairs expenditure]]+Cons_Unit_Costs[[#This Row],[Capitalised major repairs expenditure for period]])/Cons_Unit_Costs[[#This Row],[Closing social housing units managed]],"")</f>
        <v>0.5</v>
      </c>
      <c r="O216" s="156">
        <v>0</v>
      </c>
      <c r="P216" s="156">
        <v>502</v>
      </c>
      <c r="Q21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0.30776892430278885</v>
      </c>
      <c r="R216" s="156">
        <v>306</v>
      </c>
      <c r="S216" s="156">
        <v>0</v>
      </c>
      <c r="T216" s="156">
        <v>0</v>
      </c>
      <c r="U216" s="156">
        <v>0</v>
      </c>
      <c r="V216" s="156">
        <v>3</v>
      </c>
      <c r="W216" s="158">
        <v>1.2935323383084577E-2</v>
      </c>
      <c r="X216" s="158">
        <v>2.5870646766169153E-2</v>
      </c>
      <c r="Y216" s="156" t="s">
        <v>1256</v>
      </c>
      <c r="Z216" s="159"/>
      <c r="AA216" s="156" t="s">
        <v>1279</v>
      </c>
      <c r="AB216" s="156" t="s">
        <v>1265</v>
      </c>
      <c r="AC216" s="157">
        <v>0.96617455710897804</v>
      </c>
    </row>
    <row r="217" spans="1:29" x14ac:dyDescent="0.2">
      <c r="A217" s="153" t="s">
        <v>798</v>
      </c>
      <c r="B217" s="153" t="s">
        <v>799</v>
      </c>
      <c r="C217" s="154" t="s">
        <v>200</v>
      </c>
      <c r="D217" s="155">
        <v>1242</v>
      </c>
      <c r="E21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3449</v>
      </c>
      <c r="F217" s="157">
        <f>IF(Cons_Unit_Costs[[#This Row],[Closing social housing units managed]]&gt;0,Cons_Unit_Costs[[#This Row],[Headline Social Housing Cost]]/Cons_Unit_Costs[[#This Row],[Closing social housing units managed]],"")</f>
        <v>2.7769726247987117</v>
      </c>
      <c r="G217" s="157">
        <f>IF(Cons_Unit_Costs[[#This Row],[Closing social housing units managed]]&gt;0,Cons_Unit_Costs[[#This Row],[Management]]/Cons_Unit_Costs[[#This Row],[Closing social housing units managed]],"")</f>
        <v>1.4049919484702094</v>
      </c>
      <c r="H217" s="156">
        <v>1745</v>
      </c>
      <c r="I217" s="157">
        <f>IF(Cons_Unit_Costs[[#This Row],[Closing social housing units managed]]&gt;0,Cons_Unit_Costs[[#This Row],[Service charge costs]]/Cons_Unit_Costs[[#This Row],[Closing social housing units managed]],"")</f>
        <v>0.18840579710144928</v>
      </c>
      <c r="J217" s="156">
        <v>234</v>
      </c>
      <c r="K217" s="157">
        <f>IF(Cons_Unit_Costs[[#This Row],[Closing social housing units managed]]&gt;0,(Cons_Unit_Costs[[#This Row],[Routine maintenance]]+Cons_Unit_Costs[[#This Row],[Planned maintenance]])/Cons_Unit_Costs[[#This Row],[Closing social housing units managed]],"")</f>
        <v>0.84460547504025762</v>
      </c>
      <c r="L217" s="156">
        <v>590</v>
      </c>
      <c r="M217" s="156">
        <v>459</v>
      </c>
      <c r="N217" s="157">
        <f>IF(Cons_Unit_Costs[[#This Row],[Closing social housing units managed]]&gt;0,(Cons_Unit_Costs[[#This Row],[Major repairs expenditure]]+Cons_Unit_Costs[[#This Row],[Capitalised major repairs expenditure for period]])/Cons_Unit_Costs[[#This Row],[Closing social housing units managed]],"")</f>
        <v>0.28421900161030594</v>
      </c>
      <c r="O217" s="156">
        <v>0</v>
      </c>
      <c r="P217" s="156">
        <v>353</v>
      </c>
      <c r="Q21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5.4750402576489533E-2</v>
      </c>
      <c r="R217" s="156">
        <v>53</v>
      </c>
      <c r="S217" s="156">
        <v>0</v>
      </c>
      <c r="T217" s="156">
        <v>15</v>
      </c>
      <c r="U217" s="156">
        <v>0</v>
      </c>
      <c r="V217" s="156">
        <v>0</v>
      </c>
      <c r="W217" s="158">
        <v>0</v>
      </c>
      <c r="X217" s="158">
        <v>4.0650406504065045E-3</v>
      </c>
      <c r="Y217" s="156" t="s">
        <v>1256</v>
      </c>
      <c r="Z217" s="159"/>
      <c r="AA217" s="156" t="s">
        <v>1279</v>
      </c>
      <c r="AB217" s="156" t="s">
        <v>1264</v>
      </c>
      <c r="AC217" s="157">
        <v>0.94807909763407572</v>
      </c>
    </row>
    <row r="218" spans="1:29" x14ac:dyDescent="0.2">
      <c r="A218" s="153" t="s">
        <v>801</v>
      </c>
      <c r="B218" s="153" t="s">
        <v>802</v>
      </c>
      <c r="C218" s="154" t="s">
        <v>200</v>
      </c>
      <c r="D218" s="155">
        <v>7481</v>
      </c>
      <c r="E21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29507</v>
      </c>
      <c r="F218" s="157">
        <f>IF(Cons_Unit_Costs[[#This Row],[Closing social housing units managed]]&gt;0,Cons_Unit_Costs[[#This Row],[Headline Social Housing Cost]]/Cons_Unit_Costs[[#This Row],[Closing social housing units managed]],"")</f>
        <v>3.9442587889319611</v>
      </c>
      <c r="G218" s="157">
        <f>IF(Cons_Unit_Costs[[#This Row],[Closing social housing units managed]]&gt;0,Cons_Unit_Costs[[#This Row],[Management]]/Cons_Unit_Costs[[#This Row],[Closing social housing units managed]],"")</f>
        <v>1.0654992648041706</v>
      </c>
      <c r="H218" s="156">
        <v>7971</v>
      </c>
      <c r="I218" s="157">
        <f>IF(Cons_Unit_Costs[[#This Row],[Closing social housing units managed]]&gt;0,Cons_Unit_Costs[[#This Row],[Service charge costs]]/Cons_Unit_Costs[[#This Row],[Closing social housing units managed]],"")</f>
        <v>0.22095976473733459</v>
      </c>
      <c r="J218" s="156">
        <v>1653</v>
      </c>
      <c r="K218" s="157">
        <f>IF(Cons_Unit_Costs[[#This Row],[Closing social housing units managed]]&gt;0,(Cons_Unit_Costs[[#This Row],[Routine maintenance]]+Cons_Unit_Costs[[#This Row],[Planned maintenance]])/Cons_Unit_Costs[[#This Row],[Closing social housing units managed]],"")</f>
        <v>1.3123913915251972</v>
      </c>
      <c r="L218" s="156">
        <v>7917</v>
      </c>
      <c r="M218" s="156">
        <v>1901</v>
      </c>
      <c r="N218" s="157">
        <f>IF(Cons_Unit_Costs[[#This Row],[Closing social housing units managed]]&gt;0,(Cons_Unit_Costs[[#This Row],[Major repairs expenditure]]+Cons_Unit_Costs[[#This Row],[Capitalised major repairs expenditure for period]])/Cons_Unit_Costs[[#This Row],[Closing social housing units managed]],"")</f>
        <v>1.3454083678652586</v>
      </c>
      <c r="O218" s="156">
        <v>7364</v>
      </c>
      <c r="P218" s="156">
        <v>2701</v>
      </c>
      <c r="Q21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v>
      </c>
      <c r="R218" s="156">
        <v>0</v>
      </c>
      <c r="S218" s="156">
        <v>0</v>
      </c>
      <c r="T218" s="156">
        <v>0</v>
      </c>
      <c r="U218" s="156">
        <v>0</v>
      </c>
      <c r="V218" s="156">
        <v>0</v>
      </c>
      <c r="W218" s="158">
        <v>1.4703916588691352E-3</v>
      </c>
      <c r="X218" s="158">
        <v>7.7529742013099853E-2</v>
      </c>
      <c r="Y218" s="156" t="s">
        <v>1257</v>
      </c>
      <c r="Z218" s="159">
        <v>38915</v>
      </c>
      <c r="AA218" s="156" t="s">
        <v>1280</v>
      </c>
      <c r="AB218" s="156" t="s">
        <v>1259</v>
      </c>
      <c r="AC218" s="157">
        <v>1.0111857444567942</v>
      </c>
    </row>
    <row r="219" spans="1:29" x14ac:dyDescent="0.2">
      <c r="A219" s="153" t="s">
        <v>803</v>
      </c>
      <c r="B219" s="153" t="s">
        <v>804</v>
      </c>
      <c r="C219" s="154" t="s">
        <v>200</v>
      </c>
      <c r="D219" s="155">
        <v>4986</v>
      </c>
      <c r="E219"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13548</v>
      </c>
      <c r="F219" s="157">
        <f>IF(Cons_Unit_Costs[[#This Row],[Closing social housing units managed]]&gt;0,Cons_Unit_Costs[[#This Row],[Headline Social Housing Cost]]/Cons_Unit_Costs[[#This Row],[Closing social housing units managed]],"")</f>
        <v>2.7172081829121542</v>
      </c>
      <c r="G219" s="157">
        <f>IF(Cons_Unit_Costs[[#This Row],[Closing social housing units managed]]&gt;0,Cons_Unit_Costs[[#This Row],[Management]]/Cons_Unit_Costs[[#This Row],[Closing social housing units managed]],"")</f>
        <v>0.60048134777376649</v>
      </c>
      <c r="H219" s="156">
        <v>2994</v>
      </c>
      <c r="I219" s="157">
        <f>IF(Cons_Unit_Costs[[#This Row],[Closing social housing units managed]]&gt;0,Cons_Unit_Costs[[#This Row],[Service charge costs]]/Cons_Unit_Costs[[#This Row],[Closing social housing units managed]],"")</f>
        <v>0.21419975932611313</v>
      </c>
      <c r="J219" s="156">
        <v>1068</v>
      </c>
      <c r="K219" s="157">
        <f>IF(Cons_Unit_Costs[[#This Row],[Closing social housing units managed]]&gt;0,(Cons_Unit_Costs[[#This Row],[Routine maintenance]]+Cons_Unit_Costs[[#This Row],[Planned maintenance]])/Cons_Unit_Costs[[#This Row],[Closing social housing units managed]],"")</f>
        <v>0.83975130365022066</v>
      </c>
      <c r="L219" s="156">
        <v>3466</v>
      </c>
      <c r="M219" s="156">
        <v>721</v>
      </c>
      <c r="N219" s="157">
        <f>IF(Cons_Unit_Costs[[#This Row],[Closing social housing units managed]]&gt;0,(Cons_Unit_Costs[[#This Row],[Major repairs expenditure]]+Cons_Unit_Costs[[#This Row],[Capitalised major repairs expenditure for period]])/Cons_Unit_Costs[[#This Row],[Closing social housing units managed]],"")</f>
        <v>0.9857601283594063</v>
      </c>
      <c r="O219" s="156">
        <v>2040</v>
      </c>
      <c r="P219" s="156">
        <v>2875</v>
      </c>
      <c r="Q219"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7.7015643802647415E-2</v>
      </c>
      <c r="R219" s="156">
        <v>0</v>
      </c>
      <c r="S219" s="156">
        <v>0</v>
      </c>
      <c r="T219" s="156">
        <v>384</v>
      </c>
      <c r="U219" s="156">
        <v>0</v>
      </c>
      <c r="V219" s="156">
        <v>0</v>
      </c>
      <c r="W219" s="158">
        <v>2.8067361668003207E-3</v>
      </c>
      <c r="X219" s="158">
        <v>8.8612670408981561E-2</v>
      </c>
      <c r="Y219" s="156" t="s">
        <v>1257</v>
      </c>
      <c r="Z219" s="159">
        <v>38761</v>
      </c>
      <c r="AA219" s="156" t="s">
        <v>1280</v>
      </c>
      <c r="AB219" s="156" t="s">
        <v>1263</v>
      </c>
      <c r="AC219" s="157">
        <v>1.0022399874355168</v>
      </c>
    </row>
    <row r="220" spans="1:29" x14ac:dyDescent="0.2">
      <c r="A220" s="153" t="s">
        <v>185</v>
      </c>
      <c r="B220" s="153" t="s">
        <v>184</v>
      </c>
      <c r="C220" s="154" t="s">
        <v>200</v>
      </c>
      <c r="D220" s="155">
        <v>13521</v>
      </c>
      <c r="E220"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77488</v>
      </c>
      <c r="F220" s="157">
        <f>IF(Cons_Unit_Costs[[#This Row],[Closing social housing units managed]]&gt;0,Cons_Unit_Costs[[#This Row],[Headline Social Housing Cost]]/Cons_Unit_Costs[[#This Row],[Closing social housing units managed]],"")</f>
        <v>5.7309370608682793</v>
      </c>
      <c r="G220" s="157">
        <f>IF(Cons_Unit_Costs[[#This Row],[Closing social housing units managed]]&gt;0,Cons_Unit_Costs[[#This Row],[Management]]/Cons_Unit_Costs[[#This Row],[Closing social housing units managed]],"")</f>
        <v>2.7467642925819096</v>
      </c>
      <c r="H220" s="156">
        <v>37139</v>
      </c>
      <c r="I220" s="157">
        <f>IF(Cons_Unit_Costs[[#This Row],[Closing social housing units managed]]&gt;0,Cons_Unit_Costs[[#This Row],[Service charge costs]]/Cons_Unit_Costs[[#This Row],[Closing social housing units managed]],"")</f>
        <v>0.7167369277420309</v>
      </c>
      <c r="J220" s="156">
        <v>9691</v>
      </c>
      <c r="K220" s="157">
        <f>IF(Cons_Unit_Costs[[#This Row],[Closing social housing units managed]]&gt;0,(Cons_Unit_Costs[[#This Row],[Routine maintenance]]+Cons_Unit_Costs[[#This Row],[Planned maintenance]])/Cons_Unit_Costs[[#This Row],[Closing social housing units managed]],"")</f>
        <v>0.94919014865764362</v>
      </c>
      <c r="L220" s="156">
        <v>12834</v>
      </c>
      <c r="M220" s="156">
        <v>0</v>
      </c>
      <c r="N220" s="157">
        <f>IF(Cons_Unit_Costs[[#This Row],[Closing social housing units managed]]&gt;0,(Cons_Unit_Costs[[#This Row],[Major repairs expenditure]]+Cons_Unit_Costs[[#This Row],[Capitalised major repairs expenditure for period]])/Cons_Unit_Costs[[#This Row],[Closing social housing units managed]],"")</f>
        <v>1.0610901560535464</v>
      </c>
      <c r="O220" s="156">
        <v>5389</v>
      </c>
      <c r="P220" s="156">
        <v>8958</v>
      </c>
      <c r="Q220"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0.25715553583314843</v>
      </c>
      <c r="R220" s="156">
        <v>297</v>
      </c>
      <c r="S220" s="156">
        <v>607</v>
      </c>
      <c r="T220" s="156">
        <v>0</v>
      </c>
      <c r="U220" s="156">
        <v>2573</v>
      </c>
      <c r="V220" s="156">
        <v>0</v>
      </c>
      <c r="W220" s="158">
        <v>3.8269831883078483E-2</v>
      </c>
      <c r="X220" s="158">
        <v>0.21973473008363606</v>
      </c>
      <c r="Y220" s="156" t="s">
        <v>1256</v>
      </c>
      <c r="Z220" s="159"/>
      <c r="AA220" s="156" t="s">
        <v>1279</v>
      </c>
      <c r="AB220" s="156" t="s">
        <v>1267</v>
      </c>
      <c r="AC220" s="157">
        <v>1.1553100811896337</v>
      </c>
    </row>
    <row r="221" spans="1:29" x14ac:dyDescent="0.2">
      <c r="A221" s="153" t="s">
        <v>807</v>
      </c>
      <c r="B221" s="153" t="s">
        <v>806</v>
      </c>
      <c r="C221" s="154" t="s">
        <v>200</v>
      </c>
      <c r="D221" s="155">
        <v>31202</v>
      </c>
      <c r="E221"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94546</v>
      </c>
      <c r="F221" s="157">
        <f>IF(Cons_Unit_Costs[[#This Row],[Closing social housing units managed]]&gt;0,Cons_Unit_Costs[[#This Row],[Headline Social Housing Cost]]/Cons_Unit_Costs[[#This Row],[Closing social housing units managed]],"")</f>
        <v>3.0301262739567978</v>
      </c>
      <c r="G221" s="157">
        <f>IF(Cons_Unit_Costs[[#This Row],[Closing social housing units managed]]&gt;0,Cons_Unit_Costs[[#This Row],[Management]]/Cons_Unit_Costs[[#This Row],[Closing social housing units managed]],"")</f>
        <v>1.0041023011345427</v>
      </c>
      <c r="H221" s="156">
        <v>31330</v>
      </c>
      <c r="I221" s="157">
        <f>IF(Cons_Unit_Costs[[#This Row],[Closing social housing units managed]]&gt;0,Cons_Unit_Costs[[#This Row],[Service charge costs]]/Cons_Unit_Costs[[#This Row],[Closing social housing units managed]],"")</f>
        <v>0.16277802704954811</v>
      </c>
      <c r="J221" s="156">
        <v>5079</v>
      </c>
      <c r="K221" s="157">
        <f>IF(Cons_Unit_Costs[[#This Row],[Closing social housing units managed]]&gt;0,(Cons_Unit_Costs[[#This Row],[Routine maintenance]]+Cons_Unit_Costs[[#This Row],[Planned maintenance]])/Cons_Unit_Costs[[#This Row],[Closing social housing units managed]],"")</f>
        <v>0.56704698416768151</v>
      </c>
      <c r="L221" s="156">
        <v>15204</v>
      </c>
      <c r="M221" s="156">
        <v>2489</v>
      </c>
      <c r="N221" s="157">
        <f>IF(Cons_Unit_Costs[[#This Row],[Closing social housing units managed]]&gt;0,(Cons_Unit_Costs[[#This Row],[Major repairs expenditure]]+Cons_Unit_Costs[[#This Row],[Capitalised major repairs expenditure for period]])/Cons_Unit_Costs[[#This Row],[Closing social housing units managed]],"")</f>
        <v>1.0089417345041984</v>
      </c>
      <c r="O221" s="156">
        <v>13231</v>
      </c>
      <c r="P221" s="156">
        <v>18250</v>
      </c>
      <c r="Q221"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0.28725722710082685</v>
      </c>
      <c r="R221" s="156">
        <v>1501</v>
      </c>
      <c r="S221" s="156">
        <v>1028</v>
      </c>
      <c r="T221" s="156">
        <v>5258</v>
      </c>
      <c r="U221" s="156">
        <v>1176</v>
      </c>
      <c r="V221" s="156">
        <v>0</v>
      </c>
      <c r="W221" s="158">
        <v>5.6054099096211785E-2</v>
      </c>
      <c r="X221" s="158">
        <v>1.2819691045445804E-4</v>
      </c>
      <c r="Y221" s="156" t="s">
        <v>1257</v>
      </c>
      <c r="Z221" s="159">
        <v>38432</v>
      </c>
      <c r="AA221" s="156" t="s">
        <v>1268</v>
      </c>
      <c r="AB221" s="156" t="s">
        <v>1264</v>
      </c>
      <c r="AC221" s="157">
        <v>0.94807909763407583</v>
      </c>
    </row>
    <row r="222" spans="1:29" x14ac:dyDescent="0.2">
      <c r="A222" s="153" t="s">
        <v>808</v>
      </c>
      <c r="B222" s="153" t="s">
        <v>809</v>
      </c>
      <c r="C222" s="154" t="s">
        <v>200</v>
      </c>
      <c r="D222" s="155">
        <v>20189</v>
      </c>
      <c r="E222"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59521</v>
      </c>
      <c r="F222" s="157">
        <f>IF(Cons_Unit_Costs[[#This Row],[Closing social housing units managed]]&gt;0,Cons_Unit_Costs[[#This Row],[Headline Social Housing Cost]]/Cons_Unit_Costs[[#This Row],[Closing social housing units managed]],"")</f>
        <v>2.9481896082024863</v>
      </c>
      <c r="G222" s="157">
        <f>IF(Cons_Unit_Costs[[#This Row],[Closing social housing units managed]]&gt;0,Cons_Unit_Costs[[#This Row],[Management]]/Cons_Unit_Costs[[#This Row],[Closing social housing units managed]],"")</f>
        <v>0.61493882807469413</v>
      </c>
      <c r="H222" s="156">
        <v>12415</v>
      </c>
      <c r="I222" s="157">
        <f>IF(Cons_Unit_Costs[[#This Row],[Closing social housing units managed]]&gt;0,Cons_Unit_Costs[[#This Row],[Service charge costs]]/Cons_Unit_Costs[[#This Row],[Closing social housing units managed]],"")</f>
        <v>0.21903016494130467</v>
      </c>
      <c r="J222" s="156">
        <v>4422</v>
      </c>
      <c r="K222" s="157">
        <f>IF(Cons_Unit_Costs[[#This Row],[Closing social housing units managed]]&gt;0,(Cons_Unit_Costs[[#This Row],[Routine maintenance]]+Cons_Unit_Costs[[#This Row],[Planned maintenance]])/Cons_Unit_Costs[[#This Row],[Closing social housing units managed]],"")</f>
        <v>1.2265094853633167</v>
      </c>
      <c r="L222" s="156">
        <v>9936</v>
      </c>
      <c r="M222" s="156">
        <v>14826</v>
      </c>
      <c r="N222" s="157">
        <f>IF(Cons_Unit_Costs[[#This Row],[Closing social housing units managed]]&gt;0,(Cons_Unit_Costs[[#This Row],[Major repairs expenditure]]+Cons_Unit_Costs[[#This Row],[Capitalised major repairs expenditure for period]])/Cons_Unit_Costs[[#This Row],[Closing social housing units managed]],"")</f>
        <v>0.7419882114022488</v>
      </c>
      <c r="O222" s="156">
        <v>7223</v>
      </c>
      <c r="P222" s="156">
        <v>7757</v>
      </c>
      <c r="Q222"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0.14572291842092228</v>
      </c>
      <c r="R222" s="156">
        <v>0</v>
      </c>
      <c r="S222" s="156">
        <v>571</v>
      </c>
      <c r="T222" s="156">
        <v>1725</v>
      </c>
      <c r="U222" s="156">
        <v>646</v>
      </c>
      <c r="V222" s="156">
        <v>0</v>
      </c>
      <c r="W222" s="158">
        <v>3.2653061224489797E-3</v>
      </c>
      <c r="X222" s="158">
        <v>0</v>
      </c>
      <c r="Y222" s="156" t="s">
        <v>1257</v>
      </c>
      <c r="Z222" s="159">
        <v>37707</v>
      </c>
      <c r="AA222" s="156" t="s">
        <v>1268</v>
      </c>
      <c r="AB222" s="156" t="s">
        <v>1260</v>
      </c>
      <c r="AC222" s="157">
        <v>0.91571558169387279</v>
      </c>
    </row>
    <row r="223" spans="1:29" x14ac:dyDescent="0.2">
      <c r="A223" s="153" t="s">
        <v>811</v>
      </c>
      <c r="B223" s="153" t="s">
        <v>812</v>
      </c>
      <c r="C223" s="154" t="s">
        <v>200</v>
      </c>
      <c r="D223" s="155">
        <v>7060</v>
      </c>
      <c r="E223"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33976</v>
      </c>
      <c r="F223" s="157">
        <f>IF(Cons_Unit_Costs[[#This Row],[Closing social housing units managed]]&gt;0,Cons_Unit_Costs[[#This Row],[Headline Social Housing Cost]]/Cons_Unit_Costs[[#This Row],[Closing social housing units managed]],"")</f>
        <v>4.8124645892351277</v>
      </c>
      <c r="G223" s="157">
        <f>IF(Cons_Unit_Costs[[#This Row],[Closing social housing units managed]]&gt;0,Cons_Unit_Costs[[#This Row],[Management]]/Cons_Unit_Costs[[#This Row],[Closing social housing units managed]],"")</f>
        <v>1.5963172804532577</v>
      </c>
      <c r="H223" s="156">
        <v>11270</v>
      </c>
      <c r="I223" s="157">
        <f>IF(Cons_Unit_Costs[[#This Row],[Closing social housing units managed]]&gt;0,Cons_Unit_Costs[[#This Row],[Service charge costs]]/Cons_Unit_Costs[[#This Row],[Closing social housing units managed]],"")</f>
        <v>0.47252124645892352</v>
      </c>
      <c r="J223" s="156">
        <v>3336</v>
      </c>
      <c r="K223" s="157">
        <f>IF(Cons_Unit_Costs[[#This Row],[Closing social housing units managed]]&gt;0,(Cons_Unit_Costs[[#This Row],[Routine maintenance]]+Cons_Unit_Costs[[#This Row],[Planned maintenance]])/Cons_Unit_Costs[[#This Row],[Closing social housing units managed]],"")</f>
        <v>1.1290368271954674</v>
      </c>
      <c r="L223" s="156">
        <v>5111</v>
      </c>
      <c r="M223" s="156">
        <v>2860</v>
      </c>
      <c r="N223" s="157">
        <f>IF(Cons_Unit_Costs[[#This Row],[Closing social housing units managed]]&gt;0,(Cons_Unit_Costs[[#This Row],[Major repairs expenditure]]+Cons_Unit_Costs[[#This Row],[Capitalised major repairs expenditure for period]])/Cons_Unit_Costs[[#This Row],[Closing social housing units managed]],"")</f>
        <v>1.5120396600566572</v>
      </c>
      <c r="O223" s="156">
        <v>2042</v>
      </c>
      <c r="P223" s="156">
        <v>8633</v>
      </c>
      <c r="Q223"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0.10254957507082153</v>
      </c>
      <c r="R223" s="156">
        <v>0</v>
      </c>
      <c r="S223" s="156">
        <v>0</v>
      </c>
      <c r="T223" s="156">
        <v>388</v>
      </c>
      <c r="U223" s="156">
        <v>336</v>
      </c>
      <c r="V223" s="156">
        <v>0</v>
      </c>
      <c r="W223" s="158">
        <v>3.643843667352336E-2</v>
      </c>
      <c r="X223" s="158">
        <v>1.6749926535409933E-2</v>
      </c>
      <c r="Y223" s="156" t="s">
        <v>1256</v>
      </c>
      <c r="Z223" s="159"/>
      <c r="AA223" s="156" t="s">
        <v>1279</v>
      </c>
      <c r="AB223" s="156" t="s">
        <v>1267</v>
      </c>
      <c r="AC223" s="157">
        <v>1.2487234837863004</v>
      </c>
    </row>
    <row r="224" spans="1:29" x14ac:dyDescent="0.2">
      <c r="A224" s="153" t="s">
        <v>818</v>
      </c>
      <c r="B224" s="153" t="s">
        <v>817</v>
      </c>
      <c r="C224" s="154" t="s">
        <v>200</v>
      </c>
      <c r="D224" s="155">
        <v>1286</v>
      </c>
      <c r="E22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5276</v>
      </c>
      <c r="F224" s="157">
        <f>IF(Cons_Unit_Costs[[#This Row],[Closing social housing units managed]]&gt;0,Cons_Unit_Costs[[#This Row],[Headline Social Housing Cost]]/Cons_Unit_Costs[[#This Row],[Closing social housing units managed]],"")</f>
        <v>4.1026438569206842</v>
      </c>
      <c r="G224" s="157">
        <f>IF(Cons_Unit_Costs[[#This Row],[Closing social housing units managed]]&gt;0,Cons_Unit_Costs[[#This Row],[Management]]/Cons_Unit_Costs[[#This Row],[Closing social housing units managed]],"")</f>
        <v>0.64930015552099529</v>
      </c>
      <c r="H224" s="156">
        <v>835</v>
      </c>
      <c r="I224" s="157">
        <f>IF(Cons_Unit_Costs[[#This Row],[Closing social housing units managed]]&gt;0,Cons_Unit_Costs[[#This Row],[Service charge costs]]/Cons_Unit_Costs[[#This Row],[Closing social housing units managed]],"")</f>
        <v>0.42457231726283046</v>
      </c>
      <c r="J224" s="156">
        <v>546</v>
      </c>
      <c r="K224" s="157">
        <f>IF(Cons_Unit_Costs[[#This Row],[Closing social housing units managed]]&gt;0,(Cons_Unit_Costs[[#This Row],[Routine maintenance]]+Cons_Unit_Costs[[#This Row],[Planned maintenance]])/Cons_Unit_Costs[[#This Row],[Closing social housing units managed]],"")</f>
        <v>0.71772939346811815</v>
      </c>
      <c r="L224" s="156">
        <v>923</v>
      </c>
      <c r="M224" s="156">
        <v>0</v>
      </c>
      <c r="N224" s="157">
        <f>IF(Cons_Unit_Costs[[#This Row],[Closing social housing units managed]]&gt;0,(Cons_Unit_Costs[[#This Row],[Major repairs expenditure]]+Cons_Unit_Costs[[#This Row],[Capitalised major repairs expenditure for period]])/Cons_Unit_Costs[[#This Row],[Closing social housing units managed]],"")</f>
        <v>1.0956454121306376</v>
      </c>
      <c r="O224" s="156">
        <v>414</v>
      </c>
      <c r="P224" s="156">
        <v>995</v>
      </c>
      <c r="Q22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1.2153965785381027</v>
      </c>
      <c r="R224" s="156">
        <v>97</v>
      </c>
      <c r="S224" s="156">
        <v>0</v>
      </c>
      <c r="T224" s="156">
        <v>1466</v>
      </c>
      <c r="U224" s="156">
        <v>0</v>
      </c>
      <c r="V224" s="156">
        <v>0</v>
      </c>
      <c r="W224" s="158">
        <v>5.8365758754863814E-2</v>
      </c>
      <c r="X224" s="158">
        <v>0.12217898832684825</v>
      </c>
      <c r="Y224" s="156" t="s">
        <v>1256</v>
      </c>
      <c r="Z224" s="159"/>
      <c r="AA224" s="156" t="s">
        <v>1279</v>
      </c>
      <c r="AB224" s="156" t="s">
        <v>1262</v>
      </c>
      <c r="AC224" s="157">
        <v>0.9156653862445665</v>
      </c>
    </row>
    <row r="225" spans="1:29" x14ac:dyDescent="0.2">
      <c r="A225" s="153" t="s">
        <v>821</v>
      </c>
      <c r="B225" s="153" t="s">
        <v>822</v>
      </c>
      <c r="C225" s="154" t="s">
        <v>200</v>
      </c>
      <c r="D225" s="155">
        <v>25317</v>
      </c>
      <c r="E22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49422</v>
      </c>
      <c r="F225" s="157">
        <f>IF(Cons_Unit_Costs[[#This Row],[Closing social housing units managed]]&gt;0,Cons_Unit_Costs[[#This Row],[Headline Social Housing Cost]]/Cons_Unit_Costs[[#This Row],[Closing social housing units managed]],"")</f>
        <v>1.9521270292688708</v>
      </c>
      <c r="G225" s="157">
        <f>IF(Cons_Unit_Costs[[#This Row],[Closing social housing units managed]]&gt;0,Cons_Unit_Costs[[#This Row],[Management]]/Cons_Unit_Costs[[#This Row],[Closing social housing units managed]],"")</f>
        <v>0.48828850179721134</v>
      </c>
      <c r="H225" s="156">
        <v>12362</v>
      </c>
      <c r="I225" s="157">
        <f>IF(Cons_Unit_Costs[[#This Row],[Closing social housing units managed]]&gt;0,Cons_Unit_Costs[[#This Row],[Service charge costs]]/Cons_Unit_Costs[[#This Row],[Closing social housing units managed]],"")</f>
        <v>0.31781016708140775</v>
      </c>
      <c r="J225" s="156">
        <v>8046</v>
      </c>
      <c r="K225" s="157">
        <f>IF(Cons_Unit_Costs[[#This Row],[Closing social housing units managed]]&gt;0,(Cons_Unit_Costs[[#This Row],[Routine maintenance]]+Cons_Unit_Costs[[#This Row],[Planned maintenance]])/Cons_Unit_Costs[[#This Row],[Closing social housing units managed]],"")</f>
        <v>0.76071414464589016</v>
      </c>
      <c r="L225" s="156">
        <v>15868</v>
      </c>
      <c r="M225" s="156">
        <v>3391</v>
      </c>
      <c r="N225" s="157">
        <f>IF(Cons_Unit_Costs[[#This Row],[Closing social housing units managed]]&gt;0,(Cons_Unit_Costs[[#This Row],[Major repairs expenditure]]+Cons_Unit_Costs[[#This Row],[Capitalised major repairs expenditure for period]])/Cons_Unit_Costs[[#This Row],[Closing social housing units managed]],"")</f>
        <v>0.32448552356124344</v>
      </c>
      <c r="O225" s="156">
        <v>5303</v>
      </c>
      <c r="P225" s="156">
        <v>2912</v>
      </c>
      <c r="Q22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6.0828692183118066E-2</v>
      </c>
      <c r="R225" s="156">
        <v>70</v>
      </c>
      <c r="S225" s="156">
        <v>0</v>
      </c>
      <c r="T225" s="156">
        <v>625</v>
      </c>
      <c r="U225" s="156">
        <v>845</v>
      </c>
      <c r="V225" s="156">
        <v>0</v>
      </c>
      <c r="W225" s="158">
        <v>8.1329150691297775E-3</v>
      </c>
      <c r="X225" s="158">
        <v>0.12327175554780992</v>
      </c>
      <c r="Y225" s="156" t="s">
        <v>1258</v>
      </c>
      <c r="Z225" s="159">
        <v>36220</v>
      </c>
      <c r="AA225" s="156" t="s">
        <v>1268</v>
      </c>
      <c r="AB225" s="156" t="s">
        <v>1261</v>
      </c>
      <c r="AC225" s="157">
        <v>0.91932752315210509</v>
      </c>
    </row>
    <row r="226" spans="1:29" x14ac:dyDescent="0.2">
      <c r="A226" s="153" t="s">
        <v>823</v>
      </c>
      <c r="B226" s="153" t="s">
        <v>824</v>
      </c>
      <c r="C226" s="154" t="s">
        <v>200</v>
      </c>
      <c r="D226" s="155">
        <v>4768</v>
      </c>
      <c r="E22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18694</v>
      </c>
      <c r="F226" s="157">
        <f>IF(Cons_Unit_Costs[[#This Row],[Closing social housing units managed]]&gt;0,Cons_Unit_Costs[[#This Row],[Headline Social Housing Cost]]/Cons_Unit_Costs[[#This Row],[Closing social housing units managed]],"")</f>
        <v>3.9207214765100673</v>
      </c>
      <c r="G226" s="157">
        <f>IF(Cons_Unit_Costs[[#This Row],[Closing social housing units managed]]&gt;0,Cons_Unit_Costs[[#This Row],[Management]]/Cons_Unit_Costs[[#This Row],[Closing social housing units managed]],"")</f>
        <v>1.7300755033557047</v>
      </c>
      <c r="H226" s="156">
        <v>8249</v>
      </c>
      <c r="I226" s="157">
        <f>IF(Cons_Unit_Costs[[#This Row],[Closing social housing units managed]]&gt;0,Cons_Unit_Costs[[#This Row],[Service charge costs]]/Cons_Unit_Costs[[#This Row],[Closing social housing units managed]],"")</f>
        <v>0.19337248322147652</v>
      </c>
      <c r="J226" s="156">
        <v>922</v>
      </c>
      <c r="K226" s="157">
        <f>IF(Cons_Unit_Costs[[#This Row],[Closing social housing units managed]]&gt;0,(Cons_Unit_Costs[[#This Row],[Routine maintenance]]+Cons_Unit_Costs[[#This Row],[Planned maintenance]])/Cons_Unit_Costs[[#This Row],[Closing social housing units managed]],"")</f>
        <v>0.74874161073825507</v>
      </c>
      <c r="L226" s="156">
        <v>3118</v>
      </c>
      <c r="M226" s="156">
        <v>452</v>
      </c>
      <c r="N226" s="157">
        <f>IF(Cons_Unit_Costs[[#This Row],[Closing social housing units managed]]&gt;0,(Cons_Unit_Costs[[#This Row],[Major repairs expenditure]]+Cons_Unit_Costs[[#This Row],[Capitalised major repairs expenditure for period]])/Cons_Unit_Costs[[#This Row],[Closing social housing units managed]],"")</f>
        <v>1.0539010067114094</v>
      </c>
      <c r="O226" s="156">
        <v>362</v>
      </c>
      <c r="P226" s="156">
        <v>4663</v>
      </c>
      <c r="Q22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0.19463087248322147</v>
      </c>
      <c r="R226" s="156">
        <v>0</v>
      </c>
      <c r="S226" s="156">
        <v>38</v>
      </c>
      <c r="T226" s="156">
        <v>890</v>
      </c>
      <c r="U226" s="156">
        <v>0</v>
      </c>
      <c r="V226" s="156">
        <v>0</v>
      </c>
      <c r="W226" s="158">
        <v>0</v>
      </c>
      <c r="X226" s="158">
        <v>0.10526315789473684</v>
      </c>
      <c r="Y226" s="156" t="s">
        <v>1257</v>
      </c>
      <c r="Z226" s="159">
        <v>39335</v>
      </c>
      <c r="AA226" s="156" t="s">
        <v>1280</v>
      </c>
      <c r="AB226" s="156" t="s">
        <v>1263</v>
      </c>
      <c r="AC226" s="157">
        <v>1.0022399874355168</v>
      </c>
    </row>
    <row r="227" spans="1:29" x14ac:dyDescent="0.2">
      <c r="A227" s="153" t="s">
        <v>828</v>
      </c>
      <c r="B227" s="153" t="s">
        <v>827</v>
      </c>
      <c r="C227" s="154" t="s">
        <v>200</v>
      </c>
      <c r="D227" s="155">
        <v>2698</v>
      </c>
      <c r="E22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14347</v>
      </c>
      <c r="F227" s="157">
        <f>IF(Cons_Unit_Costs[[#This Row],[Closing social housing units managed]]&gt;0,Cons_Unit_Costs[[#This Row],[Headline Social Housing Cost]]/Cons_Unit_Costs[[#This Row],[Closing social housing units managed]],"")</f>
        <v>5.3176426982950336</v>
      </c>
      <c r="G227" s="157">
        <f>IF(Cons_Unit_Costs[[#This Row],[Closing social housing units managed]]&gt;0,Cons_Unit_Costs[[#This Row],[Management]]/Cons_Unit_Costs[[#This Row],[Closing social housing units managed]],"")</f>
        <v>0.77131208302446252</v>
      </c>
      <c r="H227" s="156">
        <v>2081</v>
      </c>
      <c r="I227" s="157">
        <f>IF(Cons_Unit_Costs[[#This Row],[Closing social housing units managed]]&gt;0,Cons_Unit_Costs[[#This Row],[Service charge costs]]/Cons_Unit_Costs[[#This Row],[Closing social housing units managed]],"")</f>
        <v>0.85730170496664193</v>
      </c>
      <c r="J227" s="156">
        <v>2313</v>
      </c>
      <c r="K227" s="157">
        <f>IF(Cons_Unit_Costs[[#This Row],[Closing social housing units managed]]&gt;0,(Cons_Unit_Costs[[#This Row],[Routine maintenance]]+Cons_Unit_Costs[[#This Row],[Planned maintenance]])/Cons_Unit_Costs[[#This Row],[Closing social housing units managed]],"")</f>
        <v>1.5874722016308376</v>
      </c>
      <c r="L227" s="156">
        <v>3100</v>
      </c>
      <c r="M227" s="156">
        <v>1183</v>
      </c>
      <c r="N227" s="157">
        <f>IF(Cons_Unit_Costs[[#This Row],[Closing social housing units managed]]&gt;0,(Cons_Unit_Costs[[#This Row],[Major repairs expenditure]]+Cons_Unit_Costs[[#This Row],[Capitalised major repairs expenditure for period]])/Cons_Unit_Costs[[#This Row],[Closing social housing units managed]],"")</f>
        <v>1.8313565604151223</v>
      </c>
      <c r="O227" s="156">
        <v>0</v>
      </c>
      <c r="P227" s="156">
        <v>4941</v>
      </c>
      <c r="Q22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0.27020014825796884</v>
      </c>
      <c r="R227" s="156">
        <v>0</v>
      </c>
      <c r="S227" s="156">
        <v>0</v>
      </c>
      <c r="T227" s="156">
        <v>729</v>
      </c>
      <c r="U227" s="156">
        <v>0</v>
      </c>
      <c r="V227" s="156">
        <v>0</v>
      </c>
      <c r="W227" s="158">
        <v>0</v>
      </c>
      <c r="X227" s="158">
        <v>3.2465081162702907E-2</v>
      </c>
      <c r="Y227" s="156" t="s">
        <v>1257</v>
      </c>
      <c r="Z227" s="159">
        <v>37707</v>
      </c>
      <c r="AA227" s="156" t="s">
        <v>1268</v>
      </c>
      <c r="AB227" s="156" t="s">
        <v>1260</v>
      </c>
      <c r="AC227" s="157">
        <v>1.0331785798216784</v>
      </c>
    </row>
    <row r="228" spans="1:29" x14ac:dyDescent="0.2">
      <c r="A228" s="153" t="s">
        <v>829</v>
      </c>
      <c r="B228" s="153" t="s">
        <v>830</v>
      </c>
      <c r="C228" s="154" t="s">
        <v>200</v>
      </c>
      <c r="D228" s="155">
        <v>6267</v>
      </c>
      <c r="E22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20041</v>
      </c>
      <c r="F228" s="157">
        <f>IF(Cons_Unit_Costs[[#This Row],[Closing social housing units managed]]&gt;0,Cons_Unit_Costs[[#This Row],[Headline Social Housing Cost]]/Cons_Unit_Costs[[#This Row],[Closing social housing units managed]],"")</f>
        <v>3.1978618158608585</v>
      </c>
      <c r="G228" s="157">
        <f>IF(Cons_Unit_Costs[[#This Row],[Closing social housing units managed]]&gt;0,Cons_Unit_Costs[[#This Row],[Management]]/Cons_Unit_Costs[[#This Row],[Closing social housing units managed]],"")</f>
        <v>0.77213977979894688</v>
      </c>
      <c r="H228" s="156">
        <v>4839</v>
      </c>
      <c r="I228" s="157">
        <f>IF(Cons_Unit_Costs[[#This Row],[Closing social housing units managed]]&gt;0,Cons_Unit_Costs[[#This Row],[Service charge costs]]/Cons_Unit_Costs[[#This Row],[Closing social housing units managed]],"")</f>
        <v>0.26200734003510451</v>
      </c>
      <c r="J228" s="156">
        <v>1642</v>
      </c>
      <c r="K228" s="157">
        <f>IF(Cons_Unit_Costs[[#This Row],[Closing social housing units managed]]&gt;0,(Cons_Unit_Costs[[#This Row],[Routine maintenance]]+Cons_Unit_Costs[[#This Row],[Planned maintenance]])/Cons_Unit_Costs[[#This Row],[Closing social housing units managed]],"")</f>
        <v>1.3306207116642732</v>
      </c>
      <c r="L228" s="156">
        <v>4655</v>
      </c>
      <c r="M228" s="156">
        <v>3684</v>
      </c>
      <c r="N228" s="157">
        <f>IF(Cons_Unit_Costs[[#This Row],[Closing social housing units managed]]&gt;0,(Cons_Unit_Costs[[#This Row],[Major repairs expenditure]]+Cons_Unit_Costs[[#This Row],[Capitalised major repairs expenditure for period]])/Cons_Unit_Costs[[#This Row],[Closing social housing units managed]],"")</f>
        <v>0.61177596936333178</v>
      </c>
      <c r="O228" s="156">
        <v>1911</v>
      </c>
      <c r="P228" s="156">
        <v>1923</v>
      </c>
      <c r="Q22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0.22131801499920217</v>
      </c>
      <c r="R228" s="156">
        <v>0</v>
      </c>
      <c r="S228" s="156">
        <v>0</v>
      </c>
      <c r="T228" s="156">
        <v>0</v>
      </c>
      <c r="U228" s="156">
        <v>0</v>
      </c>
      <c r="V228" s="156">
        <v>1387</v>
      </c>
      <c r="W228" s="158">
        <v>1.4667535853976532E-3</v>
      </c>
      <c r="X228" s="158">
        <v>3.4061277705345505E-2</v>
      </c>
      <c r="Y228" s="156" t="s">
        <v>1257</v>
      </c>
      <c r="Z228" s="159">
        <v>37438</v>
      </c>
      <c r="AA228" s="156" t="s">
        <v>1268</v>
      </c>
      <c r="AB228" s="156" t="s">
        <v>1262</v>
      </c>
      <c r="AC228" s="157">
        <v>0.9156653862445665</v>
      </c>
    </row>
    <row r="229" spans="1:29" x14ac:dyDescent="0.2">
      <c r="A229" s="153" t="s">
        <v>832</v>
      </c>
      <c r="B229" s="153" t="s">
        <v>833</v>
      </c>
      <c r="C229" s="154" t="s">
        <v>200</v>
      </c>
      <c r="D229" s="155">
        <v>4676</v>
      </c>
      <c r="E229"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12653</v>
      </c>
      <c r="F229" s="157">
        <f>IF(Cons_Unit_Costs[[#This Row],[Closing social housing units managed]]&gt;0,Cons_Unit_Costs[[#This Row],[Headline Social Housing Cost]]/Cons_Unit_Costs[[#This Row],[Closing social housing units managed]],"")</f>
        <v>2.7059452523524379</v>
      </c>
      <c r="G229" s="157">
        <f>IF(Cons_Unit_Costs[[#This Row],[Closing social housing units managed]]&gt;0,Cons_Unit_Costs[[#This Row],[Management]]/Cons_Unit_Costs[[#This Row],[Closing social housing units managed]],"")</f>
        <v>0.81608212147134307</v>
      </c>
      <c r="H229" s="156">
        <v>3816</v>
      </c>
      <c r="I229" s="157">
        <f>IF(Cons_Unit_Costs[[#This Row],[Closing social housing units managed]]&gt;0,Cons_Unit_Costs[[#This Row],[Service charge costs]]/Cons_Unit_Costs[[#This Row],[Closing social housing units managed]],"")</f>
        <v>0.13344739093242086</v>
      </c>
      <c r="J229" s="156">
        <v>624</v>
      </c>
      <c r="K229" s="157">
        <f>IF(Cons_Unit_Costs[[#This Row],[Closing social housing units managed]]&gt;0,(Cons_Unit_Costs[[#This Row],[Routine maintenance]]+Cons_Unit_Costs[[#This Row],[Planned maintenance]])/Cons_Unit_Costs[[#This Row],[Closing social housing units managed]],"")</f>
        <v>1.0900342172797262</v>
      </c>
      <c r="L229" s="156">
        <v>4772</v>
      </c>
      <c r="M229" s="156">
        <v>325</v>
      </c>
      <c r="N229" s="157">
        <f>IF(Cons_Unit_Costs[[#This Row],[Closing social housing units managed]]&gt;0,(Cons_Unit_Costs[[#This Row],[Major repairs expenditure]]+Cons_Unit_Costs[[#This Row],[Capitalised major repairs expenditure for period]])/Cons_Unit_Costs[[#This Row],[Closing social housing units managed]],"")</f>
        <v>0.48139435414884518</v>
      </c>
      <c r="O229" s="156">
        <v>323</v>
      </c>
      <c r="P229" s="156">
        <v>1928</v>
      </c>
      <c r="Q229"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0.18498716852010266</v>
      </c>
      <c r="R229" s="156">
        <v>537</v>
      </c>
      <c r="S229" s="156">
        <v>328</v>
      </c>
      <c r="T229" s="156">
        <v>0</v>
      </c>
      <c r="U229" s="156">
        <v>0</v>
      </c>
      <c r="V229" s="156">
        <v>0</v>
      </c>
      <c r="W229" s="158">
        <v>5.6030795551753637E-2</v>
      </c>
      <c r="X229" s="158">
        <v>0</v>
      </c>
      <c r="Y229" s="156" t="s">
        <v>1257</v>
      </c>
      <c r="Z229" s="159">
        <v>39426</v>
      </c>
      <c r="AA229" s="156" t="s">
        <v>1280</v>
      </c>
      <c r="AB229" s="156" t="s">
        <v>1261</v>
      </c>
      <c r="AC229" s="157">
        <v>0.92038375847935383</v>
      </c>
    </row>
    <row r="230" spans="1:29" x14ac:dyDescent="0.2">
      <c r="A230" s="153" t="s">
        <v>188</v>
      </c>
      <c r="B230" s="153" t="s">
        <v>187</v>
      </c>
      <c r="C230" s="154" t="s">
        <v>201</v>
      </c>
      <c r="D230" s="155">
        <v>6970</v>
      </c>
      <c r="E230"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24606</v>
      </c>
      <c r="F230" s="157">
        <f>IF(Cons_Unit_Costs[[#This Row],[Closing social housing units managed]]&gt;0,Cons_Unit_Costs[[#This Row],[Headline Social Housing Cost]]/Cons_Unit_Costs[[#This Row],[Closing social housing units managed]],"")</f>
        <v>3.5302725968436155</v>
      </c>
      <c r="G230" s="157">
        <f>IF(Cons_Unit_Costs[[#This Row],[Closing social housing units managed]]&gt;0,Cons_Unit_Costs[[#This Row],[Management]]/Cons_Unit_Costs[[#This Row],[Closing social housing units managed]],"")</f>
        <v>0.54476327116212342</v>
      </c>
      <c r="H230" s="156">
        <v>3797</v>
      </c>
      <c r="I230" s="157">
        <f>IF(Cons_Unit_Costs[[#This Row],[Closing social housing units managed]]&gt;0,Cons_Unit_Costs[[#This Row],[Service charge costs]]/Cons_Unit_Costs[[#This Row],[Closing social housing units managed]],"")</f>
        <v>0.6329985652797705</v>
      </c>
      <c r="J230" s="156">
        <v>4412</v>
      </c>
      <c r="K230" s="157">
        <f>IF(Cons_Unit_Costs[[#This Row],[Closing social housing units managed]]&gt;0,(Cons_Unit_Costs[[#This Row],[Routine maintenance]]+Cons_Unit_Costs[[#This Row],[Planned maintenance]])/Cons_Unit_Costs[[#This Row],[Closing social housing units managed]],"")</f>
        <v>1.5510760401721664</v>
      </c>
      <c r="L230" s="156">
        <v>5214</v>
      </c>
      <c r="M230" s="156">
        <v>5597</v>
      </c>
      <c r="N230" s="157">
        <f>IF(Cons_Unit_Costs[[#This Row],[Closing social housing units managed]]&gt;0,(Cons_Unit_Costs[[#This Row],[Major repairs expenditure]]+Cons_Unit_Costs[[#This Row],[Capitalised major repairs expenditure for period]])/Cons_Unit_Costs[[#This Row],[Closing social housing units managed]],"")</f>
        <v>0.39383070301291251</v>
      </c>
      <c r="O230" s="156">
        <v>23</v>
      </c>
      <c r="P230" s="156">
        <v>2722</v>
      </c>
      <c r="Q230"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0.40760401721664274</v>
      </c>
      <c r="R230" s="156">
        <v>44</v>
      </c>
      <c r="S230" s="156">
        <v>1068</v>
      </c>
      <c r="T230" s="156">
        <v>65</v>
      </c>
      <c r="U230" s="156">
        <v>189</v>
      </c>
      <c r="V230" s="156">
        <v>1475</v>
      </c>
      <c r="W230" s="158">
        <v>9.5837505364039476E-3</v>
      </c>
      <c r="X230" s="158">
        <v>0.15334000858246316</v>
      </c>
      <c r="Y230" s="156" t="s">
        <v>1257</v>
      </c>
      <c r="Z230" s="159">
        <v>32596</v>
      </c>
      <c r="AA230" s="156" t="s">
        <v>1268</v>
      </c>
      <c r="AB230" s="156" t="s">
        <v>1259</v>
      </c>
      <c r="AC230" s="157">
        <v>1.0118524159776632</v>
      </c>
    </row>
    <row r="231" spans="1:29" x14ac:dyDescent="0.2">
      <c r="A231" s="153" t="s">
        <v>838</v>
      </c>
      <c r="B231" s="153" t="s">
        <v>837</v>
      </c>
      <c r="C231" s="154" t="s">
        <v>200</v>
      </c>
      <c r="D231" s="155">
        <v>7260</v>
      </c>
      <c r="E231"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26696</v>
      </c>
      <c r="F231" s="157">
        <f>IF(Cons_Unit_Costs[[#This Row],[Closing social housing units managed]]&gt;0,Cons_Unit_Costs[[#This Row],[Headline Social Housing Cost]]/Cons_Unit_Costs[[#This Row],[Closing social housing units managed]],"")</f>
        <v>3.6771349862258953</v>
      </c>
      <c r="G231" s="157">
        <f>IF(Cons_Unit_Costs[[#This Row],[Closing social housing units managed]]&gt;0,Cons_Unit_Costs[[#This Row],[Management]]/Cons_Unit_Costs[[#This Row],[Closing social housing units managed]],"")</f>
        <v>0.61170798898071621</v>
      </c>
      <c r="H231" s="156">
        <v>4441</v>
      </c>
      <c r="I231" s="157">
        <f>IF(Cons_Unit_Costs[[#This Row],[Closing social housing units managed]]&gt;0,Cons_Unit_Costs[[#This Row],[Service charge costs]]/Cons_Unit_Costs[[#This Row],[Closing social housing units managed]],"")</f>
        <v>0.49325068870523414</v>
      </c>
      <c r="J231" s="156">
        <v>3581</v>
      </c>
      <c r="K231" s="157">
        <f>IF(Cons_Unit_Costs[[#This Row],[Closing social housing units managed]]&gt;0,(Cons_Unit_Costs[[#This Row],[Routine maintenance]]+Cons_Unit_Costs[[#This Row],[Planned maintenance]])/Cons_Unit_Costs[[#This Row],[Closing social housing units managed]],"")</f>
        <v>0.88677685950413221</v>
      </c>
      <c r="L231" s="156">
        <v>5074</v>
      </c>
      <c r="M231" s="156">
        <v>1364</v>
      </c>
      <c r="N231" s="157">
        <f>IF(Cons_Unit_Costs[[#This Row],[Closing social housing units managed]]&gt;0,(Cons_Unit_Costs[[#This Row],[Major repairs expenditure]]+Cons_Unit_Costs[[#This Row],[Capitalised major repairs expenditure for period]])/Cons_Unit_Costs[[#This Row],[Closing social housing units managed]],"")</f>
        <v>1.2538567493112949</v>
      </c>
      <c r="O231" s="156">
        <v>1612</v>
      </c>
      <c r="P231" s="156">
        <v>7491</v>
      </c>
      <c r="Q231"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0.43154269972451792</v>
      </c>
      <c r="R231" s="156">
        <v>1327</v>
      </c>
      <c r="S231" s="156">
        <v>293</v>
      </c>
      <c r="T231" s="156">
        <v>1513</v>
      </c>
      <c r="U231" s="156">
        <v>0</v>
      </c>
      <c r="V231" s="156">
        <v>0</v>
      </c>
      <c r="W231" s="158">
        <v>6.4584212747994932E-2</v>
      </c>
      <c r="X231" s="158">
        <v>0.10975094976783453</v>
      </c>
      <c r="Y231" s="156" t="s">
        <v>1256</v>
      </c>
      <c r="Z231" s="159"/>
      <c r="AA231" s="156" t="s">
        <v>1279</v>
      </c>
      <c r="AB231" s="156" t="s">
        <v>1265</v>
      </c>
      <c r="AC231" s="157">
        <v>0.96617455710897804</v>
      </c>
    </row>
    <row r="232" spans="1:29" x14ac:dyDescent="0.2">
      <c r="A232" s="153" t="s">
        <v>843</v>
      </c>
      <c r="B232" s="153" t="s">
        <v>844</v>
      </c>
      <c r="C232" s="154" t="s">
        <v>200</v>
      </c>
      <c r="D232" s="155">
        <v>12894</v>
      </c>
      <c r="E232"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37481</v>
      </c>
      <c r="F232" s="157">
        <f>IF(Cons_Unit_Costs[[#This Row],[Closing social housing units managed]]&gt;0,Cons_Unit_Costs[[#This Row],[Headline Social Housing Cost]]/Cons_Unit_Costs[[#This Row],[Closing social housing units managed]],"")</f>
        <v>2.9068559019699083</v>
      </c>
      <c r="G232" s="157">
        <f>IF(Cons_Unit_Costs[[#This Row],[Closing social housing units managed]]&gt;0,Cons_Unit_Costs[[#This Row],[Management]]/Cons_Unit_Costs[[#This Row],[Closing social housing units managed]],"")</f>
        <v>0.76136187373972386</v>
      </c>
      <c r="H232" s="156">
        <v>9817</v>
      </c>
      <c r="I232" s="157">
        <f>IF(Cons_Unit_Costs[[#This Row],[Closing social housing units managed]]&gt;0,Cons_Unit_Costs[[#This Row],[Service charge costs]]/Cons_Unit_Costs[[#This Row],[Closing social housing units managed]],"")</f>
        <v>0.55917480998914226</v>
      </c>
      <c r="J232" s="156">
        <v>7210</v>
      </c>
      <c r="K232" s="157">
        <f>IF(Cons_Unit_Costs[[#This Row],[Closing social housing units managed]]&gt;0,(Cons_Unit_Costs[[#This Row],[Routine maintenance]]+Cons_Unit_Costs[[#This Row],[Planned maintenance]])/Cons_Unit_Costs[[#This Row],[Closing social housing units managed]],"")</f>
        <v>0.98247246781448738</v>
      </c>
      <c r="L232" s="156">
        <v>8870</v>
      </c>
      <c r="M232" s="156">
        <v>3798</v>
      </c>
      <c r="N232" s="157">
        <f>IF(Cons_Unit_Costs[[#This Row],[Closing social housing units managed]]&gt;0,(Cons_Unit_Costs[[#This Row],[Major repairs expenditure]]+Cons_Unit_Costs[[#This Row],[Capitalised major repairs expenditure for period]])/Cons_Unit_Costs[[#This Row],[Closing social housing units managed]],"")</f>
        <v>0.57646967581821007</v>
      </c>
      <c r="O232" s="156">
        <v>5519</v>
      </c>
      <c r="P232" s="156">
        <v>1914</v>
      </c>
      <c r="Q232"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2.7377074608344966E-2</v>
      </c>
      <c r="R232" s="156">
        <v>155</v>
      </c>
      <c r="S232" s="156">
        <v>0</v>
      </c>
      <c r="T232" s="156">
        <v>198</v>
      </c>
      <c r="U232" s="156">
        <v>0</v>
      </c>
      <c r="V232" s="156">
        <v>0</v>
      </c>
      <c r="W232" s="158">
        <v>1.3651328997028827E-3</v>
      </c>
      <c r="X232" s="158">
        <v>0.13153456998313659</v>
      </c>
      <c r="Y232" s="156" t="s">
        <v>1257</v>
      </c>
      <c r="Z232" s="159">
        <v>38390</v>
      </c>
      <c r="AA232" s="156" t="s">
        <v>1268</v>
      </c>
      <c r="AB232" s="156" t="s">
        <v>1262</v>
      </c>
      <c r="AC232" s="157">
        <v>0.9156653862445665</v>
      </c>
    </row>
    <row r="233" spans="1:29" x14ac:dyDescent="0.2">
      <c r="A233" s="153" t="s">
        <v>195</v>
      </c>
      <c r="B233" s="153" t="s">
        <v>194</v>
      </c>
      <c r="C233" s="154" t="s">
        <v>200</v>
      </c>
      <c r="D233" s="155">
        <v>30120</v>
      </c>
      <c r="E233"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99378</v>
      </c>
      <c r="F233" s="157">
        <f>IF(Cons_Unit_Costs[[#This Row],[Closing social housing units managed]]&gt;0,Cons_Unit_Costs[[#This Row],[Headline Social Housing Cost]]/Cons_Unit_Costs[[#This Row],[Closing social housing units managed]],"")</f>
        <v>3.2994023904382468</v>
      </c>
      <c r="G233" s="157">
        <f>IF(Cons_Unit_Costs[[#This Row],[Closing social housing units managed]]&gt;0,Cons_Unit_Costs[[#This Row],[Management]]/Cons_Unit_Costs[[#This Row],[Closing social housing units managed]],"")</f>
        <v>0.46188579017264275</v>
      </c>
      <c r="H233" s="156">
        <v>13912</v>
      </c>
      <c r="I233" s="157">
        <f>IF(Cons_Unit_Costs[[#This Row],[Closing social housing units managed]]&gt;0,Cons_Unit_Costs[[#This Row],[Service charge costs]]/Cons_Unit_Costs[[#This Row],[Closing social housing units managed]],"")</f>
        <v>0.45388446215139444</v>
      </c>
      <c r="J233" s="156">
        <v>13671</v>
      </c>
      <c r="K233" s="157">
        <f>IF(Cons_Unit_Costs[[#This Row],[Closing social housing units managed]]&gt;0,(Cons_Unit_Costs[[#This Row],[Routine maintenance]]+Cons_Unit_Costs[[#This Row],[Planned maintenance]])/Cons_Unit_Costs[[#This Row],[Closing social housing units managed]],"")</f>
        <v>1.1099269588313414</v>
      </c>
      <c r="L233" s="156">
        <v>26904</v>
      </c>
      <c r="M233" s="156">
        <v>6527</v>
      </c>
      <c r="N233" s="157">
        <f>IF(Cons_Unit_Costs[[#This Row],[Closing social housing units managed]]&gt;0,(Cons_Unit_Costs[[#This Row],[Major repairs expenditure]]+Cons_Unit_Costs[[#This Row],[Capitalised major repairs expenditure for period]])/Cons_Unit_Costs[[#This Row],[Closing social housing units managed]],"")</f>
        <v>1.1253984063745019</v>
      </c>
      <c r="O233" s="156">
        <v>8481</v>
      </c>
      <c r="P233" s="156">
        <v>25416</v>
      </c>
      <c r="Q233"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0.14830677290836652</v>
      </c>
      <c r="R233" s="156">
        <v>2150</v>
      </c>
      <c r="S233" s="156">
        <v>772</v>
      </c>
      <c r="T233" s="156">
        <v>823</v>
      </c>
      <c r="U233" s="156">
        <v>585</v>
      </c>
      <c r="V233" s="156">
        <v>137</v>
      </c>
      <c r="W233" s="158">
        <v>1.7973430580880436E-2</v>
      </c>
      <c r="X233" s="158">
        <v>3.3048971086220368E-2</v>
      </c>
      <c r="Y233" s="156" t="s">
        <v>1258</v>
      </c>
      <c r="Z233" s="159">
        <v>36791</v>
      </c>
      <c r="AA233" s="156" t="s">
        <v>1268</v>
      </c>
      <c r="AB233" s="156" t="s">
        <v>1260</v>
      </c>
      <c r="AC233" s="157">
        <v>0.91576444273236235</v>
      </c>
    </row>
    <row r="234" spans="1:29" x14ac:dyDescent="0.2">
      <c r="A234" s="153" t="s">
        <v>846</v>
      </c>
      <c r="B234" s="153" t="s">
        <v>847</v>
      </c>
      <c r="C234" s="154" t="s">
        <v>200</v>
      </c>
      <c r="D234" s="155">
        <v>3642</v>
      </c>
      <c r="E234"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10004</v>
      </c>
      <c r="F234" s="157">
        <f>IF(Cons_Unit_Costs[[#This Row],[Closing social housing units managed]]&gt;0,Cons_Unit_Costs[[#This Row],[Headline Social Housing Cost]]/Cons_Unit_Costs[[#This Row],[Closing social housing units managed]],"")</f>
        <v>2.7468423942888522</v>
      </c>
      <c r="G234" s="157">
        <f>IF(Cons_Unit_Costs[[#This Row],[Closing social housing units managed]]&gt;0,Cons_Unit_Costs[[#This Row],[Management]]/Cons_Unit_Costs[[#This Row],[Closing social housing units managed]],"")</f>
        <v>0.87506864360241621</v>
      </c>
      <c r="H234" s="156">
        <v>3187</v>
      </c>
      <c r="I234" s="157">
        <f>IF(Cons_Unit_Costs[[#This Row],[Closing social housing units managed]]&gt;0,Cons_Unit_Costs[[#This Row],[Service charge costs]]/Cons_Unit_Costs[[#This Row],[Closing social housing units managed]],"")</f>
        <v>0.2498627127951675</v>
      </c>
      <c r="J234" s="156">
        <v>910</v>
      </c>
      <c r="K234" s="157">
        <f>IF(Cons_Unit_Costs[[#This Row],[Closing social housing units managed]]&gt;0,(Cons_Unit_Costs[[#This Row],[Routine maintenance]]+Cons_Unit_Costs[[#This Row],[Planned maintenance]])/Cons_Unit_Costs[[#This Row],[Closing social housing units managed]],"")</f>
        <v>0.67929708951125756</v>
      </c>
      <c r="L234" s="156">
        <v>1485</v>
      </c>
      <c r="M234" s="156">
        <v>989</v>
      </c>
      <c r="N234" s="157">
        <f>IF(Cons_Unit_Costs[[#This Row],[Closing social housing units managed]]&gt;0,(Cons_Unit_Costs[[#This Row],[Major repairs expenditure]]+Cons_Unit_Costs[[#This Row],[Capitalised major repairs expenditure for period]])/Cons_Unit_Costs[[#This Row],[Closing social housing units managed]],"")</f>
        <v>0.771004942339374</v>
      </c>
      <c r="O234" s="156">
        <v>688</v>
      </c>
      <c r="P234" s="156">
        <v>2120</v>
      </c>
      <c r="Q234"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0.171609006040637</v>
      </c>
      <c r="R234" s="156">
        <v>248</v>
      </c>
      <c r="S234" s="156">
        <v>127</v>
      </c>
      <c r="T234" s="156">
        <v>118</v>
      </c>
      <c r="U234" s="156">
        <v>132</v>
      </c>
      <c r="V234" s="156">
        <v>0</v>
      </c>
      <c r="W234" s="158">
        <v>3.5016049022468633E-3</v>
      </c>
      <c r="X234" s="158">
        <v>8.082871316019842E-2</v>
      </c>
      <c r="Y234" s="156" t="s">
        <v>1257</v>
      </c>
      <c r="Z234" s="159">
        <v>36248</v>
      </c>
      <c r="AA234" s="156" t="s">
        <v>1268</v>
      </c>
      <c r="AB234" s="156" t="s">
        <v>1259</v>
      </c>
      <c r="AC234" s="157">
        <v>1.0118524159776632</v>
      </c>
    </row>
    <row r="235" spans="1:29" x14ac:dyDescent="0.2">
      <c r="A235" s="153" t="s">
        <v>850</v>
      </c>
      <c r="B235" s="153" t="s">
        <v>851</v>
      </c>
      <c r="C235" s="154" t="s">
        <v>200</v>
      </c>
      <c r="D235" s="155">
        <v>13520</v>
      </c>
      <c r="E235"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43348</v>
      </c>
      <c r="F235" s="157">
        <f>IF(Cons_Unit_Costs[[#This Row],[Closing social housing units managed]]&gt;0,Cons_Unit_Costs[[#This Row],[Headline Social Housing Cost]]/Cons_Unit_Costs[[#This Row],[Closing social housing units managed]],"")</f>
        <v>3.2062130177514794</v>
      </c>
      <c r="G235" s="157">
        <f>IF(Cons_Unit_Costs[[#This Row],[Closing social housing units managed]]&gt;0,Cons_Unit_Costs[[#This Row],[Management]]/Cons_Unit_Costs[[#This Row],[Closing social housing units managed]],"")</f>
        <v>0.68424556213017751</v>
      </c>
      <c r="H235" s="156">
        <v>9251</v>
      </c>
      <c r="I235" s="157">
        <f>IF(Cons_Unit_Costs[[#This Row],[Closing social housing units managed]]&gt;0,Cons_Unit_Costs[[#This Row],[Service charge costs]]/Cons_Unit_Costs[[#This Row],[Closing social housing units managed]],"")</f>
        <v>0.44304733727810652</v>
      </c>
      <c r="J235" s="156">
        <v>5990</v>
      </c>
      <c r="K235" s="157">
        <f>IF(Cons_Unit_Costs[[#This Row],[Closing social housing units managed]]&gt;0,(Cons_Unit_Costs[[#This Row],[Routine maintenance]]+Cons_Unit_Costs[[#This Row],[Planned maintenance]])/Cons_Unit_Costs[[#This Row],[Closing social housing units managed]],"")</f>
        <v>0.80162721893491129</v>
      </c>
      <c r="L235" s="156">
        <v>7690</v>
      </c>
      <c r="M235" s="156">
        <v>3148</v>
      </c>
      <c r="N235" s="157">
        <f>IF(Cons_Unit_Costs[[#This Row],[Closing social housing units managed]]&gt;0,(Cons_Unit_Costs[[#This Row],[Major repairs expenditure]]+Cons_Unit_Costs[[#This Row],[Capitalised major repairs expenditure for period]])/Cons_Unit_Costs[[#This Row],[Closing social housing units managed]],"")</f>
        <v>0.97463017751479286</v>
      </c>
      <c r="O235" s="156">
        <v>3775</v>
      </c>
      <c r="P235" s="156">
        <v>9402</v>
      </c>
      <c r="Q235"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0.30266272189349114</v>
      </c>
      <c r="R235" s="156">
        <v>4092</v>
      </c>
      <c r="S235" s="156">
        <v>0</v>
      </c>
      <c r="T235" s="156">
        <v>0</v>
      </c>
      <c r="U235" s="156">
        <v>0</v>
      </c>
      <c r="V235" s="156">
        <v>0</v>
      </c>
      <c r="W235" s="158">
        <v>8.8731144631765753E-4</v>
      </c>
      <c r="X235" s="158">
        <v>7.3203194321206739E-3</v>
      </c>
      <c r="Y235" s="156" t="s">
        <v>1258</v>
      </c>
      <c r="Z235" s="159">
        <v>36248</v>
      </c>
      <c r="AA235" s="156" t="s">
        <v>1268</v>
      </c>
      <c r="AB235" s="156" t="s">
        <v>1262</v>
      </c>
      <c r="AC235" s="157">
        <v>0.91566538624456639</v>
      </c>
    </row>
    <row r="236" spans="1:29" x14ac:dyDescent="0.2">
      <c r="A236" s="153" t="s">
        <v>852</v>
      </c>
      <c r="B236" s="153" t="s">
        <v>853</v>
      </c>
      <c r="C236" s="154" t="s">
        <v>200</v>
      </c>
      <c r="D236" s="155">
        <v>9939</v>
      </c>
      <c r="E236"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31836</v>
      </c>
      <c r="F236" s="157">
        <f>IF(Cons_Unit_Costs[[#This Row],[Closing social housing units managed]]&gt;0,Cons_Unit_Costs[[#This Row],[Headline Social Housing Cost]]/Cons_Unit_Costs[[#This Row],[Closing social housing units managed]],"")</f>
        <v>3.2031391488077272</v>
      </c>
      <c r="G236" s="157">
        <f>IF(Cons_Unit_Costs[[#This Row],[Closing social housing units managed]]&gt;0,Cons_Unit_Costs[[#This Row],[Management]]/Cons_Unit_Costs[[#This Row],[Closing social housing units managed]],"")</f>
        <v>0.874534661434752</v>
      </c>
      <c r="H236" s="156">
        <v>8692</v>
      </c>
      <c r="I236" s="157">
        <f>IF(Cons_Unit_Costs[[#This Row],[Closing social housing units managed]]&gt;0,Cons_Unit_Costs[[#This Row],[Service charge costs]]/Cons_Unit_Costs[[#This Row],[Closing social housing units managed]],"")</f>
        <v>0.21501157058054129</v>
      </c>
      <c r="J236" s="156">
        <v>2137</v>
      </c>
      <c r="K236" s="157">
        <f>IF(Cons_Unit_Costs[[#This Row],[Closing social housing units managed]]&gt;0,(Cons_Unit_Costs[[#This Row],[Routine maintenance]]+Cons_Unit_Costs[[#This Row],[Planned maintenance]])/Cons_Unit_Costs[[#This Row],[Closing social housing units managed]],"")</f>
        <v>0.89244390783781069</v>
      </c>
      <c r="L236" s="156">
        <v>8870</v>
      </c>
      <c r="M236" s="156">
        <v>0</v>
      </c>
      <c r="N236" s="157">
        <f>IF(Cons_Unit_Costs[[#This Row],[Closing social housing units managed]]&gt;0,(Cons_Unit_Costs[[#This Row],[Major repairs expenditure]]+Cons_Unit_Costs[[#This Row],[Capitalised major repairs expenditure for period]])/Cons_Unit_Costs[[#This Row],[Closing social housing units managed]],"")</f>
        <v>1.1481034309286648</v>
      </c>
      <c r="O236" s="156">
        <v>3214</v>
      </c>
      <c r="P236" s="156">
        <v>8197</v>
      </c>
      <c r="Q236"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7.3045578025958346E-2</v>
      </c>
      <c r="R236" s="156">
        <v>0</v>
      </c>
      <c r="S236" s="156">
        <v>726</v>
      </c>
      <c r="T236" s="156">
        <v>0</v>
      </c>
      <c r="U236" s="156">
        <v>0</v>
      </c>
      <c r="V236" s="156">
        <v>0</v>
      </c>
      <c r="W236" s="158">
        <v>0</v>
      </c>
      <c r="X236" s="158">
        <v>0.16127740514566022</v>
      </c>
      <c r="Y236" s="156" t="s">
        <v>1257</v>
      </c>
      <c r="Z236" s="159">
        <v>36220</v>
      </c>
      <c r="AA236" s="156" t="s">
        <v>1268</v>
      </c>
      <c r="AB236" s="156" t="s">
        <v>1265</v>
      </c>
      <c r="AC236" s="157">
        <v>0.96617455710897804</v>
      </c>
    </row>
    <row r="237" spans="1:29" x14ac:dyDescent="0.2">
      <c r="A237" s="153" t="s">
        <v>855</v>
      </c>
      <c r="B237" s="153" t="s">
        <v>856</v>
      </c>
      <c r="C237" s="154" t="s">
        <v>200</v>
      </c>
      <c r="D237" s="155">
        <v>4394</v>
      </c>
      <c r="E237"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16833</v>
      </c>
      <c r="F237" s="157">
        <f>IF(Cons_Unit_Costs[[#This Row],[Closing social housing units managed]]&gt;0,Cons_Unit_Costs[[#This Row],[Headline Social Housing Cost]]/Cons_Unit_Costs[[#This Row],[Closing social housing units managed]],"")</f>
        <v>3.8309057806099225</v>
      </c>
      <c r="G237" s="157">
        <f>IF(Cons_Unit_Costs[[#This Row],[Closing social housing units managed]]&gt;0,Cons_Unit_Costs[[#This Row],[Management]]/Cons_Unit_Costs[[#This Row],[Closing social housing units managed]],"")</f>
        <v>0.88074647246244875</v>
      </c>
      <c r="H237" s="156">
        <v>3870</v>
      </c>
      <c r="I237" s="157">
        <f>IF(Cons_Unit_Costs[[#This Row],[Closing social housing units managed]]&gt;0,Cons_Unit_Costs[[#This Row],[Service charge costs]]/Cons_Unit_Costs[[#This Row],[Closing social housing units managed]],"")</f>
        <v>5.8944014565316338E-2</v>
      </c>
      <c r="J237" s="156">
        <v>259</v>
      </c>
      <c r="K237" s="157">
        <f>IF(Cons_Unit_Costs[[#This Row],[Closing social housing units managed]]&gt;0,(Cons_Unit_Costs[[#This Row],[Routine maintenance]]+Cons_Unit_Costs[[#This Row],[Planned maintenance]])/Cons_Unit_Costs[[#This Row],[Closing social housing units managed]],"")</f>
        <v>0.92580791989076017</v>
      </c>
      <c r="L237" s="156">
        <v>2773</v>
      </c>
      <c r="M237" s="156">
        <v>1295</v>
      </c>
      <c r="N237" s="157">
        <f>IF(Cons_Unit_Costs[[#This Row],[Closing social housing units managed]]&gt;0,(Cons_Unit_Costs[[#This Row],[Major repairs expenditure]]+Cons_Unit_Costs[[#This Row],[Capitalised major repairs expenditure for period]])/Cons_Unit_Costs[[#This Row],[Closing social housing units managed]],"")</f>
        <v>1.5753299954483386</v>
      </c>
      <c r="O237" s="156">
        <v>3264</v>
      </c>
      <c r="P237" s="156">
        <v>3658</v>
      </c>
      <c r="Q237"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0.39007737824305871</v>
      </c>
      <c r="R237" s="156">
        <v>641</v>
      </c>
      <c r="S237" s="156">
        <v>990</v>
      </c>
      <c r="T237" s="156">
        <v>83</v>
      </c>
      <c r="U237" s="156">
        <v>0</v>
      </c>
      <c r="V237" s="156">
        <v>0</v>
      </c>
      <c r="W237" s="158">
        <v>0</v>
      </c>
      <c r="X237" s="158">
        <v>4.6426945835229862E-2</v>
      </c>
      <c r="Y237" s="156" t="s">
        <v>1257</v>
      </c>
      <c r="Z237" s="159">
        <v>37970</v>
      </c>
      <c r="AA237" s="156" t="s">
        <v>1268</v>
      </c>
      <c r="AB237" s="156" t="s">
        <v>1264</v>
      </c>
      <c r="AC237" s="157">
        <v>0.94807909763407583</v>
      </c>
    </row>
    <row r="238" spans="1:29" x14ac:dyDescent="0.2">
      <c r="A238" s="153" t="s">
        <v>857</v>
      </c>
      <c r="B238" s="153" t="s">
        <v>858</v>
      </c>
      <c r="C238" s="154" t="s">
        <v>200</v>
      </c>
      <c r="D238" s="155">
        <v>16427</v>
      </c>
      <c r="E238" s="156">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56612</v>
      </c>
      <c r="F238" s="157">
        <f>IF(Cons_Unit_Costs[[#This Row],[Closing social housing units managed]]&gt;0,Cons_Unit_Costs[[#This Row],[Headline Social Housing Cost]]/Cons_Unit_Costs[[#This Row],[Closing social housing units managed]],"")</f>
        <v>3.4462774700188712</v>
      </c>
      <c r="G238" s="157">
        <f>IF(Cons_Unit_Costs[[#This Row],[Closing social housing units managed]]&gt;0,Cons_Unit_Costs[[#This Row],[Management]]/Cons_Unit_Costs[[#This Row],[Closing social housing units managed]],"")</f>
        <v>0.86132586595239546</v>
      </c>
      <c r="H238" s="156">
        <v>14149</v>
      </c>
      <c r="I238" s="157">
        <f>IF(Cons_Unit_Costs[[#This Row],[Closing social housing units managed]]&gt;0,Cons_Unit_Costs[[#This Row],[Service charge costs]]/Cons_Unit_Costs[[#This Row],[Closing social housing units managed]],"")</f>
        <v>0.40883910634930298</v>
      </c>
      <c r="J238" s="156">
        <v>6716</v>
      </c>
      <c r="K238" s="157">
        <f>IF(Cons_Unit_Costs[[#This Row],[Closing social housing units managed]]&gt;0,(Cons_Unit_Costs[[#This Row],[Routine maintenance]]+Cons_Unit_Costs[[#This Row],[Planned maintenance]])/Cons_Unit_Costs[[#This Row],[Closing social housing units managed]],"")</f>
        <v>0.99153832105679673</v>
      </c>
      <c r="L238" s="156">
        <v>11441</v>
      </c>
      <c r="M238" s="156">
        <v>4847</v>
      </c>
      <c r="N238" s="157">
        <f>IF(Cons_Unit_Costs[[#This Row],[Closing social housing units managed]]&gt;0,(Cons_Unit_Costs[[#This Row],[Major repairs expenditure]]+Cons_Unit_Costs[[#This Row],[Capitalised major repairs expenditure for period]])/Cons_Unit_Costs[[#This Row],[Closing social housing units managed]],"")</f>
        <v>1.1884702014975346</v>
      </c>
      <c r="O238" s="156">
        <v>5316</v>
      </c>
      <c r="P238" s="156">
        <v>14207</v>
      </c>
      <c r="Q238" s="157">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-3.8960248371583367E-3</v>
      </c>
      <c r="R238" s="156">
        <v>186</v>
      </c>
      <c r="S238" s="156">
        <v>1340</v>
      </c>
      <c r="T238" s="156">
        <v>-1590</v>
      </c>
      <c r="U238" s="156">
        <v>0</v>
      </c>
      <c r="V238" s="156">
        <v>0</v>
      </c>
      <c r="W238" s="158">
        <v>2.5223558433549183E-2</v>
      </c>
      <c r="X238" s="158">
        <v>4.7918593894542089E-2</v>
      </c>
      <c r="Y238" s="156" t="s">
        <v>1256</v>
      </c>
      <c r="Z238" s="159"/>
      <c r="AA238" s="156" t="s">
        <v>1279</v>
      </c>
      <c r="AB238" s="156" t="s">
        <v>1264</v>
      </c>
      <c r="AC238" s="157">
        <v>0.94803109213741754</v>
      </c>
    </row>
    <row r="239" spans="1:29" x14ac:dyDescent="0.2">
      <c r="A239" s="161" t="s">
        <v>860</v>
      </c>
      <c r="B239" s="161" t="s">
        <v>861</v>
      </c>
      <c r="C239" s="162" t="s">
        <v>200</v>
      </c>
      <c r="D239" s="155">
        <v>32942</v>
      </c>
      <c r="E239" s="163">
        <f>SUM(Cons_Unit_Costs[[#This Row],[Management]],Cons_Unit_Costs[[#This Row],[Service charge costs]],Cons_Unit_Costs[[#This Row],[Routine maintenance]],Cons_Unit_Costs[[#This Row],[Planned maintenance]],Cons_Unit_Costs[[#This Row],[Major repairs expenditure]],Cons_Unit_Costs[[#This Row],[Capitalised major repairs expenditure for period]],Cons_Unit_Costs[[#This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f>
        <v>121484</v>
      </c>
      <c r="F239" s="164">
        <f>IF(Cons_Unit_Costs[[#This Row],[Closing social housing units managed]]&gt;0,Cons_Unit_Costs[[#This Row],[Headline Social Housing Cost]]/Cons_Unit_Costs[[#This Row],[Closing social housing units managed]],"")</f>
        <v>3.6878149474834556</v>
      </c>
      <c r="G239" s="164">
        <f>IF(Cons_Unit_Costs[[#This Row],[Closing social housing units managed]]&gt;0,Cons_Unit_Costs[[#This Row],[Management]]/Cons_Unit_Costs[[#This Row],[Closing social housing units managed]],"")</f>
        <v>1.4912877178070547</v>
      </c>
      <c r="H239" s="163">
        <v>49126</v>
      </c>
      <c r="I239" s="164">
        <f>IF(Cons_Unit_Costs[[#This Row],[Closing social housing units managed]]&gt;0,Cons_Unit_Costs[[#This Row],[Service charge costs]]/Cons_Unit_Costs[[#This Row],[Closing social housing units managed]],"")</f>
        <v>0.5064355533968794</v>
      </c>
      <c r="J239" s="163">
        <v>16683</v>
      </c>
      <c r="K239" s="164">
        <f>IF(Cons_Unit_Costs[[#This Row],[Closing social housing units managed]]&gt;0,(Cons_Unit_Costs[[#This Row],[Routine maintenance]]+Cons_Unit_Costs[[#This Row],[Planned maintenance]])/Cons_Unit_Costs[[#This Row],[Closing social housing units managed]],"")</f>
        <v>0.76030599235019125</v>
      </c>
      <c r="L239" s="163">
        <v>16293</v>
      </c>
      <c r="M239" s="163">
        <v>8753</v>
      </c>
      <c r="N239" s="164">
        <f>IF(Cons_Unit_Costs[[#This Row],[Closing social housing units managed]]&gt;0,(Cons_Unit_Costs[[#This Row],[Major repairs expenditure]]+Cons_Unit_Costs[[#This Row],[Capitalised major repairs expenditure for period]])/Cons_Unit_Costs[[#This Row],[Closing social housing units managed]],"")</f>
        <v>0.57895695464756236</v>
      </c>
      <c r="O239" s="163">
        <v>1942</v>
      </c>
      <c r="P239" s="163">
        <v>17130</v>
      </c>
      <c r="Q239" s="164">
        <f>IF(Cons_Unit_Costs[[#This Row],[Closing social housing units managed]]&gt;0,(Cons_Unit_Costs[[#This Row],[Other costs]]+Cons_Unit_Costs[[#This Row],[Other social housing activities - Charges for Support Services - Operating Expenditure]]+Cons_Unit_Costs[[#This Row],[Other social housing activities - Other - Operating Costs]]+Cons_Unit_Costs[[#This Row],[Other social housing activities - Development Services - Operating Expenditure]]+Cons_Unit_Costs[[#This Row],[Other social housing activities - Neighbourhood Services - Operating Expenditure]])/Cons_Unit_Costs[[#This Row],[Closing social housing units managed]],"")</f>
        <v>0.35082872928176795</v>
      </c>
      <c r="R239" s="163">
        <v>5620</v>
      </c>
      <c r="S239" s="163">
        <v>1505</v>
      </c>
      <c r="T239" s="163">
        <v>3720</v>
      </c>
      <c r="U239" s="163">
        <v>709</v>
      </c>
      <c r="V239" s="163">
        <v>3</v>
      </c>
      <c r="W239" s="165">
        <v>2.6068505607759928E-2</v>
      </c>
      <c r="X239" s="165">
        <v>0.19069414974234616</v>
      </c>
      <c r="Y239" s="163" t="s">
        <v>1258</v>
      </c>
      <c r="Z239" s="166">
        <v>36250</v>
      </c>
      <c r="AA239" s="163" t="s">
        <v>1268</v>
      </c>
      <c r="AB239" s="163" t="s">
        <v>1262</v>
      </c>
      <c r="AC239" s="164">
        <v>0.9173205170151213</v>
      </c>
    </row>
    <row r="240" spans="1:29" s="117" customFormat="1" x14ac:dyDescent="0.2">
      <c r="A240" s="137"/>
      <c r="B240"/>
      <c r="C240"/>
      <c r="D240"/>
      <c r="E240"/>
      <c r="F240"/>
      <c r="G240"/>
      <c r="H240"/>
      <c r="I240"/>
      <c r="J240"/>
      <c r="K240"/>
      <c r="L240"/>
      <c r="M240"/>
      <c r="N240"/>
      <c r="O240"/>
      <c r="P240"/>
      <c r="Q240"/>
      <c r="R240"/>
      <c r="S240"/>
      <c r="T240"/>
      <c r="U240"/>
      <c r="V240"/>
      <c r="W240"/>
      <c r="X240"/>
      <c r="Y240"/>
      <c r="Z240" s="113"/>
      <c r="AA240"/>
      <c r="AB240"/>
      <c r="AC240"/>
    </row>
    <row r="241" spans="1:29" x14ac:dyDescent="0.2">
      <c r="A241" s="89"/>
      <c r="B241" s="131" t="s">
        <v>1304</v>
      </c>
      <c r="C241" s="90"/>
      <c r="D241" s="90"/>
      <c r="E241" s="90"/>
      <c r="F241" s="133">
        <f>PERCENTILE(Cons_Unit_Costs[Headline Social Housing Costs per Unit],0.25)</f>
        <v>2.9317939367393344</v>
      </c>
      <c r="G241" s="133">
        <f>PERCENTILE(Cons_Unit_Costs[Management CPU],0.25)</f>
        <v>0.74447461141491922</v>
      </c>
      <c r="H241" s="134"/>
      <c r="I241" s="133">
        <f>PERCENTILE(Cons_Unit_Costs[Service Charge CPU],0.25)</f>
        <v>0.23937162116198657</v>
      </c>
      <c r="J241" s="134"/>
      <c r="K241" s="133">
        <f>PERCENTILE(Cons_Unit_Costs[Maintenance CPU],0.25)</f>
        <v>0.78227155986096863</v>
      </c>
      <c r="L241" s="134"/>
      <c r="M241" s="134"/>
      <c r="N241" s="133">
        <f>PERCENTILE(Cons_Unit_Costs[Major Repairs CPU],0.25)</f>
        <v>0.49054306935035819</v>
      </c>
      <c r="O241" s="134"/>
      <c r="P241" s="134"/>
      <c r="Q241" s="133">
        <f>PERCENTILE(Cons_Unit_Costs[Other Social Housing CPU],0.25)</f>
        <v>0.10191525287612908</v>
      </c>
      <c r="R241" s="90"/>
      <c r="S241" s="90"/>
      <c r="T241" s="90"/>
      <c r="U241" s="90"/>
      <c r="V241" s="90"/>
      <c r="W241" s="101"/>
      <c r="X241" s="101"/>
      <c r="Y241" s="90"/>
      <c r="Z241" s="112"/>
      <c r="AA241" s="90"/>
      <c r="AB241" s="90"/>
      <c r="AC241" s="99"/>
    </row>
    <row r="242" spans="1:29" x14ac:dyDescent="0.2">
      <c r="A242" s="87"/>
      <c r="B242" s="132" t="s">
        <v>1303</v>
      </c>
      <c r="C242" s="88"/>
      <c r="D242" s="88"/>
      <c r="E242" s="88"/>
      <c r="F242" s="135">
        <f>MEDIAN(Cons_Unit_Costs[Headline Social Housing Costs per Unit])</f>
        <v>3.2983292439996115</v>
      </c>
      <c r="G242" s="135">
        <f>MEDIAN(Cons_Unit_Costs[Management CPU])</f>
        <v>0.94120507720744384</v>
      </c>
      <c r="H242" s="136"/>
      <c r="I242" s="135">
        <f>MEDIAN(Cons_Unit_Costs[Service Charge CPU])</f>
        <v>0.37185870648232222</v>
      </c>
      <c r="J242" s="136"/>
      <c r="K242" s="135">
        <f>MEDIAN(Cons_Unit_Costs[Maintenance CPU])</f>
        <v>0.92526793743130886</v>
      </c>
      <c r="L242" s="136"/>
      <c r="M242" s="136"/>
      <c r="N242" s="135">
        <f>MEDIAN(Cons_Unit_Costs[Major Repairs CPU])</f>
        <v>0.682869752423376</v>
      </c>
      <c r="O242" s="136"/>
      <c r="P242" s="136"/>
      <c r="Q242" s="135">
        <f>MEDIAN(Cons_Unit_Costs[Other Social Housing CPU])</f>
        <v>0.24110145611737654</v>
      </c>
      <c r="R242" s="88"/>
      <c r="S242" s="88"/>
      <c r="T242" s="88"/>
      <c r="U242" s="88"/>
      <c r="V242" s="88"/>
      <c r="W242" s="100"/>
      <c r="X242" s="100"/>
      <c r="Y242" s="88"/>
      <c r="Z242" s="111"/>
      <c r="AA242" s="88"/>
      <c r="AB242" s="88"/>
      <c r="AC242" s="98"/>
    </row>
    <row r="243" spans="1:29" x14ac:dyDescent="0.2">
      <c r="A243" s="89"/>
      <c r="B243" s="131" t="s">
        <v>1305</v>
      </c>
      <c r="C243" s="90"/>
      <c r="D243" s="90"/>
      <c r="E243" s="90"/>
      <c r="F243" s="133">
        <f>PERCENTILE(Cons_Unit_Costs[Headline Social Housing Costs per Unit],0.75)</f>
        <v>4.3288347455697771</v>
      </c>
      <c r="G243" s="133">
        <f>PERCENTILE(Cons_Unit_Costs[Management CPU],0.75)</f>
        <v>1.1471403438550112</v>
      </c>
      <c r="H243" s="134"/>
      <c r="I243" s="133">
        <f>PERCENTILE(Cons_Unit_Costs[Service Charge CPU],0.75)</f>
        <v>0.60475856671964001</v>
      </c>
      <c r="J243" s="134"/>
      <c r="K243" s="133">
        <f>PERCENTILE(Cons_Unit_Costs[Maintenance CPU],0.75)</f>
        <v>1.114618409121122</v>
      </c>
      <c r="L243" s="134"/>
      <c r="M243" s="134"/>
      <c r="N243" s="133">
        <f>PERCENTILE(Cons_Unit_Costs[Major Repairs CPU],0.75)</f>
        <v>0.96376937253217332</v>
      </c>
      <c r="O243" s="134"/>
      <c r="P243" s="134"/>
      <c r="Q243" s="133">
        <f>PERCENTILE(Cons_Unit_Costs[Other Social Housing CPU],0.75)</f>
        <v>0.51373126966667293</v>
      </c>
      <c r="R243" s="90"/>
      <c r="S243" s="90"/>
      <c r="T243" s="90"/>
      <c r="U243" s="90"/>
      <c r="V243" s="90"/>
      <c r="W243" s="101"/>
      <c r="X243" s="101"/>
      <c r="Y243" s="90"/>
      <c r="Z243" s="112"/>
      <c r="AA243" s="90"/>
      <c r="AB243" s="90"/>
      <c r="AC243" s="99"/>
    </row>
    <row r="244" spans="1:29" x14ac:dyDescent="0.2">
      <c r="A244" s="87"/>
      <c r="B244" s="132" t="s">
        <v>1308</v>
      </c>
      <c r="C244" s="88"/>
      <c r="D244" s="88"/>
      <c r="E244" s="88"/>
      <c r="F244" s="135">
        <f>SUMPRODUCT(Cons_Unit_Costs[Closing social housing units managed],Cons_Unit_Costs[Headline Social Housing Costs per Unit])/SUM(Cons_Unit_Costs[Closing social housing units managed])</f>
        <v>3.6976472330752626</v>
      </c>
      <c r="G244" s="135">
        <f>SUMPRODUCT(Cons_Unit_Costs[Management CPU],Cons_Unit_Costs[Closing social housing units managed])/SUM(Cons_Unit_Costs[Closing social housing units managed])</f>
        <v>0.94262122621711486</v>
      </c>
      <c r="H244" s="136"/>
      <c r="I244" s="135">
        <f>SUMPRODUCT(Cons_Unit_Costs[Service Charge CPU],Cons_Unit_Costs[Closing social housing units managed])/SUM(Cons_Unit_Costs[Closing social housing units managed])</f>
        <v>0.55113245626201612</v>
      </c>
      <c r="J244" s="136"/>
      <c r="K244" s="135">
        <f>SUMPRODUCT(Cons_Unit_Costs[Maintenance CPU],Cons_Unit_Costs[Closing social housing units managed])/SUM(Cons_Unit_Costs[Closing social housing units managed])</f>
        <v>0.99083866187535463</v>
      </c>
      <c r="L244" s="136"/>
      <c r="M244" s="136"/>
      <c r="N244" s="135">
        <f>SUMPRODUCT(Cons_Unit_Costs[Major Repairs CPU],Cons_Unit_Costs[Closing social housing units managed])/SUM(Cons_Unit_Costs[Closing social housing units managed])</f>
        <v>0.7465472967027077</v>
      </c>
      <c r="O244" s="136"/>
      <c r="P244" s="136"/>
      <c r="Q244" s="135">
        <f>SUMPRODUCT(Cons_Unit_Costs[Other Social Housing CPU],Cons_Unit_Costs[Closing social housing units managed])/SUM(Cons_Unit_Costs[Closing social housing units managed])</f>
        <v>0.46650759201806918</v>
      </c>
      <c r="R244" s="88"/>
      <c r="S244" s="88"/>
      <c r="T244" s="88"/>
      <c r="U244" s="88"/>
      <c r="V244" s="88"/>
      <c r="W244" s="100"/>
      <c r="X244" s="100"/>
      <c r="Y244" s="88"/>
      <c r="Z244" s="111"/>
      <c r="AA244" s="88"/>
      <c r="AB244" s="88"/>
      <c r="AC244" s="98"/>
    </row>
    <row r="245" spans="1:29" x14ac:dyDescent="0.2"/>
    <row r="246" spans="1:29" x14ac:dyDescent="0.2"/>
  </sheetData>
  <mergeCells count="6">
    <mergeCell ref="E2:F2"/>
    <mergeCell ref="G1:V1"/>
    <mergeCell ref="AB2:AC2"/>
    <mergeCell ref="Y2:AA2"/>
    <mergeCell ref="W2:X2"/>
    <mergeCell ref="G2:V2"/>
  </mergeCells>
  <conditionalFormatting sqref="C4:C239">
    <cfRule type="expression" dxfId="96" priority="2">
      <formula xml:space="preserve"> ( MONTH( C4 ) &lt;&gt; 3 )</formula>
    </cfRule>
  </conditionalFormatting>
  <pageMargins left="0.31496062992125984" right="0.31496062992125984" top="0.35433070866141736" bottom="0.35433070866141736" header="0.11811023622047245" footer="0.11811023622047245"/>
  <pageSetup paperSize="9" scale="66" pageOrder="overThenDown" orientation="landscape" r:id="rId1"/>
  <headerFooter>
    <oddFooter>&amp;C&amp;P / &amp;N</oddFooter>
    <evenFooter>&amp;C&amp;P / &amp;N</evenFooter>
    <firstFooter>&amp;C&amp;P / &amp;N</first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8E7"/>
    <pageSetUpPr autoPageBreaks="0"/>
  </sheetPr>
  <dimension ref="A1:AF329"/>
  <sheetViews>
    <sheetView showGridLines="0" zoomScale="80" zoomScaleNormal="80" workbookViewId="0">
      <pane xSplit="2" ySplit="3" topLeftCell="C4" activePane="bottomRight" state="frozen"/>
      <selection pane="topRight" activeCell="C1" sqref="C1"/>
      <selection pane="bottomLeft" activeCell="A4" sqref="A4"/>
      <selection pane="bottomRight" activeCell="A11" sqref="A11"/>
    </sheetView>
  </sheetViews>
  <sheetFormatPr defaultColWidth="0" defaultRowHeight="14.25" zeroHeight="1" outlineLevelCol="1" x14ac:dyDescent="0.2"/>
  <cols>
    <col min="1" max="1" width="9.5" style="113" customWidth="1"/>
    <col min="2" max="2" width="35.625" customWidth="1"/>
    <col min="3" max="3" width="10.625" customWidth="1"/>
    <col min="4" max="6" width="11.625" customWidth="1"/>
    <col min="7" max="7" width="13.625" customWidth="1"/>
    <col min="8" max="8" width="13.625" style="104" hidden="1" customWidth="1" outlineLevel="1"/>
    <col min="9" max="9" width="13.625" customWidth="1" collapsed="1"/>
    <col min="10" max="10" width="13.625" style="104" hidden="1" customWidth="1" outlineLevel="1"/>
    <col min="11" max="11" width="13.625" customWidth="1" collapsed="1"/>
    <col min="12" max="13" width="13.625" style="104" hidden="1" customWidth="1" outlineLevel="1"/>
    <col min="14" max="14" width="13.625" customWidth="1" collapsed="1"/>
    <col min="15" max="16" width="13.625" style="104" hidden="1" customWidth="1" outlineLevel="1"/>
    <col min="17" max="17" width="13.625" customWidth="1" collapsed="1"/>
    <col min="18" max="22" width="13.625" style="104" hidden="1" customWidth="1" outlineLevel="1"/>
    <col min="23" max="23" width="11.625" customWidth="1" collapsed="1"/>
    <col min="24" max="24" width="11.625" customWidth="1"/>
    <col min="25" max="25" width="8.75" style="106" bestFit="1" customWidth="1"/>
    <col min="26" max="26" width="14.5" style="116" bestFit="1" customWidth="1"/>
    <col min="27" max="27" width="9.625" style="113" bestFit="1" customWidth="1"/>
    <col min="28" max="29" width="15.625" customWidth="1"/>
    <col min="30" max="30" width="8.875" style="113" customWidth="1"/>
    <col min="31" max="31" width="58.375" bestFit="1" customWidth="1"/>
    <col min="32" max="32" width="4.75" customWidth="1"/>
    <col min="33" max="16384" width="9" hidden="1"/>
  </cols>
  <sheetData>
    <row r="1" spans="1:31" ht="56.1" customHeight="1" x14ac:dyDescent="0.2">
      <c r="A1" s="212" t="s">
        <v>1100</v>
      </c>
      <c r="B1" s="107"/>
      <c r="C1" s="107"/>
      <c r="D1" s="107"/>
      <c r="E1" s="107"/>
      <c r="F1" s="107" t="s">
        <v>1199</v>
      </c>
      <c r="G1" s="238" t="s">
        <v>1270</v>
      </c>
      <c r="H1" s="239"/>
      <c r="I1" s="239"/>
      <c r="J1" s="239"/>
      <c r="K1" s="239"/>
      <c r="L1" s="239"/>
      <c r="M1" s="239"/>
      <c r="N1" s="239"/>
      <c r="O1" s="239"/>
      <c r="P1" s="239"/>
      <c r="Q1" s="239"/>
      <c r="R1" s="239"/>
      <c r="S1" s="239"/>
      <c r="T1" s="239"/>
      <c r="U1" s="239"/>
      <c r="V1" s="240"/>
      <c r="W1" s="108" t="s">
        <v>1199</v>
      </c>
      <c r="X1" s="107"/>
      <c r="Y1" s="109"/>
      <c r="Z1" s="115"/>
      <c r="AA1" s="114"/>
      <c r="AB1" s="107"/>
      <c r="AC1" s="107"/>
      <c r="AD1" s="114"/>
      <c r="AE1" s="107"/>
    </row>
    <row r="2" spans="1:31" ht="48" customHeight="1" x14ac:dyDescent="0.2">
      <c r="A2" s="213" t="s">
        <v>1271</v>
      </c>
      <c r="B2" s="94"/>
      <c r="C2" s="95"/>
      <c r="D2" s="102" t="s">
        <v>1202</v>
      </c>
      <c r="E2" s="236" t="s">
        <v>1203</v>
      </c>
      <c r="F2" s="237"/>
      <c r="G2" s="246" t="s">
        <v>1204</v>
      </c>
      <c r="H2" s="247"/>
      <c r="I2" s="247"/>
      <c r="J2" s="247"/>
      <c r="K2" s="247"/>
      <c r="L2" s="247"/>
      <c r="M2" s="247"/>
      <c r="N2" s="247"/>
      <c r="O2" s="247"/>
      <c r="P2" s="247"/>
      <c r="Q2" s="247"/>
      <c r="R2" s="247"/>
      <c r="S2" s="247"/>
      <c r="T2" s="247"/>
      <c r="U2" s="247"/>
      <c r="V2" s="248"/>
      <c r="W2" s="236" t="s">
        <v>1205</v>
      </c>
      <c r="X2" s="237"/>
      <c r="Y2" s="243" t="s">
        <v>1206</v>
      </c>
      <c r="Z2" s="244"/>
      <c r="AA2" s="245"/>
      <c r="AB2" s="241" t="s">
        <v>1207</v>
      </c>
      <c r="AC2" s="242"/>
      <c r="AD2" s="236" t="s">
        <v>1272</v>
      </c>
      <c r="AE2" s="237"/>
    </row>
    <row r="3" spans="1:31" ht="75" customHeight="1" x14ac:dyDescent="0.2">
      <c r="A3" s="171" t="s">
        <v>1095</v>
      </c>
      <c r="B3" s="172" t="s">
        <v>1096</v>
      </c>
      <c r="C3" s="172" t="s">
        <v>1097</v>
      </c>
      <c r="D3" s="172" t="s">
        <v>991</v>
      </c>
      <c r="E3" s="172" t="s">
        <v>1208</v>
      </c>
      <c r="F3" s="172" t="s">
        <v>1209</v>
      </c>
      <c r="G3" s="172" t="s">
        <v>1210</v>
      </c>
      <c r="H3" s="207" t="s">
        <v>897</v>
      </c>
      <c r="I3" s="172" t="s">
        <v>1211</v>
      </c>
      <c r="J3" s="207" t="s">
        <v>898</v>
      </c>
      <c r="K3" s="172" t="s">
        <v>1212</v>
      </c>
      <c r="L3" s="207" t="s">
        <v>899</v>
      </c>
      <c r="M3" s="207" t="s">
        <v>900</v>
      </c>
      <c r="N3" s="172" t="s">
        <v>1213</v>
      </c>
      <c r="O3" s="207" t="s">
        <v>901</v>
      </c>
      <c r="P3" s="207" t="s">
        <v>1051</v>
      </c>
      <c r="Q3" s="172" t="s">
        <v>1307</v>
      </c>
      <c r="R3" s="207" t="s">
        <v>905</v>
      </c>
      <c r="S3" s="207" t="s">
        <v>952</v>
      </c>
      <c r="T3" s="207" t="s">
        <v>956</v>
      </c>
      <c r="U3" s="207" t="s">
        <v>1075</v>
      </c>
      <c r="V3" s="208" t="s">
        <v>1079</v>
      </c>
      <c r="W3" s="173" t="s">
        <v>1214</v>
      </c>
      <c r="X3" s="173" t="s">
        <v>1215</v>
      </c>
      <c r="Y3" s="174" t="s">
        <v>1216</v>
      </c>
      <c r="Z3" s="175" t="s">
        <v>1217</v>
      </c>
      <c r="AA3" s="173" t="s">
        <v>1218</v>
      </c>
      <c r="AB3" s="173" t="s">
        <v>1219</v>
      </c>
      <c r="AC3" s="173" t="s">
        <v>1220</v>
      </c>
      <c r="AD3" s="173" t="s">
        <v>1273</v>
      </c>
      <c r="AE3" s="173" t="s">
        <v>1274</v>
      </c>
    </row>
    <row r="4" spans="1:31" x14ac:dyDescent="0.2">
      <c r="A4" s="176" t="s">
        <v>205</v>
      </c>
      <c r="B4" s="177" t="s">
        <v>206</v>
      </c>
      <c r="C4" s="178" t="s">
        <v>200</v>
      </c>
      <c r="D4" s="179">
        <v>16114</v>
      </c>
      <c r="E4" s="180">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68725</v>
      </c>
      <c r="F4" s="181">
        <f>IF(Entity_Unit_Costs[[#This Row],[Closing social housing units managed]]&gt;0,Entity_Unit_Costs[[#This Row],[Headline Social Housing Cost]]/Entity_Unit_Costs[[#This Row],[Closing social housing units managed]],"")</f>
        <v>4.2649249100161351</v>
      </c>
      <c r="G4" s="181">
        <f>IF(Entity_Unit_Costs[[#This Row],[Closing social housing units managed]]&gt;0,Entity_Unit_Costs[[#This Row],[Management]]/Entity_Unit_Costs[[#This Row],[Closing social housing units managed]],"")</f>
        <v>1.3169914360183692</v>
      </c>
      <c r="H4" s="180">
        <v>21222</v>
      </c>
      <c r="I4" s="181">
        <f>IF(Entity_Unit_Costs[[#This Row],[Closing social housing units managed]]&gt;0,Entity_Unit_Costs[[#This Row],[Service charge costs]]/Entity_Unit_Costs[[#This Row],[Closing social housing units managed]],"")</f>
        <v>0.88370361176616608</v>
      </c>
      <c r="J4" s="180">
        <v>14240</v>
      </c>
      <c r="K4" s="181">
        <f>IF(Entity_Unit_Costs[[#This Row],[Closing social housing units managed]]&gt;0,(Entity_Unit_Costs[[#This Row],[Routine maintenance]]+Entity_Unit_Costs[[#This Row],[Planned maintenance]])/Entity_Unit_Costs[[#This Row],[Closing social housing units managed]],"")</f>
        <v>1.2245252575400274</v>
      </c>
      <c r="L4" s="180">
        <v>9362</v>
      </c>
      <c r="M4" s="180">
        <v>10370</v>
      </c>
      <c r="N4" s="181">
        <f>IF(Entity_Unit_Costs[[#This Row],[Closing social housing units managed]]&gt;0,(Entity_Unit_Costs[[#This Row],[Major repairs expenditure]]+Entity_Unit_Costs[[#This Row],[Capitalised major repairs expenditure for period]])/Entity_Unit_Costs[[#This Row],[Closing social housing units managed]],"")</f>
        <v>0.32884448305821024</v>
      </c>
      <c r="O4" s="180">
        <v>0</v>
      </c>
      <c r="P4" s="180">
        <v>5299</v>
      </c>
      <c r="Q4" s="181">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0.51086012163336225</v>
      </c>
      <c r="R4" s="180">
        <v>2098</v>
      </c>
      <c r="S4" s="180">
        <v>1305</v>
      </c>
      <c r="T4" s="180">
        <v>1541</v>
      </c>
      <c r="U4" s="180">
        <v>121</v>
      </c>
      <c r="V4" s="182">
        <v>3167</v>
      </c>
      <c r="W4" s="183">
        <v>7.2246696035242294E-2</v>
      </c>
      <c r="X4" s="183">
        <v>3.5642771325590711E-2</v>
      </c>
      <c r="Y4" s="184" t="s">
        <v>1256</v>
      </c>
      <c r="Z4" s="185"/>
      <c r="AA4" s="186" t="s">
        <v>1279</v>
      </c>
      <c r="AB4" s="187" t="s">
        <v>1267</v>
      </c>
      <c r="AC4" s="188">
        <v>1.2027878505818785</v>
      </c>
      <c r="AD4" s="186" t="s">
        <v>1221</v>
      </c>
      <c r="AE4" s="187" t="s">
        <v>208</v>
      </c>
    </row>
    <row r="5" spans="1:31" x14ac:dyDescent="0.2">
      <c r="A5" s="189" t="s">
        <v>209</v>
      </c>
      <c r="B5" s="190" t="s">
        <v>210</v>
      </c>
      <c r="C5" s="191" t="s">
        <v>200</v>
      </c>
      <c r="D5" s="192">
        <v>17035</v>
      </c>
      <c r="E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61025</v>
      </c>
      <c r="F5" s="194">
        <f>IF(Entity_Unit_Costs[[#This Row],[Closing social housing units managed]]&gt;0,Entity_Unit_Costs[[#This Row],[Headline Social Housing Cost]]/Entity_Unit_Costs[[#This Row],[Closing social housing units managed]],"")</f>
        <v>3.5823304960375699</v>
      </c>
      <c r="G5" s="194">
        <f>IF(Entity_Unit_Costs[[#This Row],[Closing social housing units managed]]&gt;0,Entity_Unit_Costs[[#This Row],[Management]]/Entity_Unit_Costs[[#This Row],[Closing social housing units managed]],"")</f>
        <v>1.0632227766363369</v>
      </c>
      <c r="H5" s="193">
        <v>18112</v>
      </c>
      <c r="I5" s="194">
        <f>IF(Entity_Unit_Costs[[#This Row],[Closing social housing units managed]]&gt;0,Entity_Unit_Costs[[#This Row],[Service charge costs]]/Entity_Unit_Costs[[#This Row],[Closing social housing units managed]],"")</f>
        <v>0.62653360727913121</v>
      </c>
      <c r="J5" s="193">
        <v>10673</v>
      </c>
      <c r="K5" s="194">
        <f>IF(Entity_Unit_Costs[[#This Row],[Closing social housing units managed]]&gt;0,(Entity_Unit_Costs[[#This Row],[Routine maintenance]]+Entity_Unit_Costs[[#This Row],[Planned maintenance]])/Entity_Unit_Costs[[#This Row],[Closing social housing units managed]],"")</f>
        <v>1.2302905782213092</v>
      </c>
      <c r="L5" s="193">
        <v>10451</v>
      </c>
      <c r="M5" s="193">
        <v>10507</v>
      </c>
      <c r="N5" s="194">
        <f>IF(Entity_Unit_Costs[[#This Row],[Closing social housing units managed]]&gt;0,(Entity_Unit_Costs[[#This Row],[Major repairs expenditure]]+Entity_Unit_Costs[[#This Row],[Capitalised major repairs expenditure for period]])/Entity_Unit_Costs[[#This Row],[Closing social housing units managed]],"")</f>
        <v>0.2363956560023481</v>
      </c>
      <c r="O5" s="193">
        <v>0</v>
      </c>
      <c r="P5" s="193">
        <v>4027</v>
      </c>
      <c r="Q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0.4258878778984444</v>
      </c>
      <c r="R5" s="193">
        <v>2114</v>
      </c>
      <c r="S5" s="193">
        <v>1143</v>
      </c>
      <c r="T5" s="193">
        <v>3492</v>
      </c>
      <c r="U5" s="193">
        <v>220</v>
      </c>
      <c r="V5" s="195">
        <v>286</v>
      </c>
      <c r="W5" s="183">
        <v>2.6385000424196149E-2</v>
      </c>
      <c r="X5" s="183">
        <v>5.4466785441588193E-2</v>
      </c>
      <c r="Y5" s="184" t="s">
        <v>1256</v>
      </c>
      <c r="Z5" s="185"/>
      <c r="AA5" s="186" t="s">
        <v>1279</v>
      </c>
      <c r="AB5" s="187" t="s">
        <v>1259</v>
      </c>
      <c r="AC5" s="188">
        <v>1.0478261632805361</v>
      </c>
      <c r="AD5" s="186" t="s">
        <v>1221</v>
      </c>
      <c r="AE5" s="187" t="s">
        <v>208</v>
      </c>
    </row>
    <row r="6" spans="1:31" x14ac:dyDescent="0.2">
      <c r="A6" s="189" t="s">
        <v>211</v>
      </c>
      <c r="B6" s="190" t="s">
        <v>212</v>
      </c>
      <c r="C6" s="191" t="s">
        <v>200</v>
      </c>
      <c r="D6" s="192">
        <v>19684</v>
      </c>
      <c r="E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61938</v>
      </c>
      <c r="F6" s="194">
        <f>IF(Entity_Unit_Costs[[#This Row],[Closing social housing units managed]]&gt;0,Entity_Unit_Costs[[#This Row],[Headline Social Housing Cost]]/Entity_Unit_Costs[[#This Row],[Closing social housing units managed]],"")</f>
        <v>3.1466165413533833</v>
      </c>
      <c r="G6" s="194">
        <f>IF(Entity_Unit_Costs[[#This Row],[Closing social housing units managed]]&gt;0,Entity_Unit_Costs[[#This Row],[Management]]/Entity_Unit_Costs[[#This Row],[Closing social housing units managed]],"")</f>
        <v>0.79348709611867507</v>
      </c>
      <c r="H6" s="193">
        <v>15619</v>
      </c>
      <c r="I6" s="194">
        <f>IF(Entity_Unit_Costs[[#This Row],[Closing social housing units managed]]&gt;0,Entity_Unit_Costs[[#This Row],[Service charge costs]]/Entity_Unit_Costs[[#This Row],[Closing social housing units managed]],"")</f>
        <v>0.38970737654948179</v>
      </c>
      <c r="J6" s="193">
        <v>7671</v>
      </c>
      <c r="K6" s="194">
        <f>IF(Entity_Unit_Costs[[#This Row],[Closing social housing units managed]]&gt;0,(Entity_Unit_Costs[[#This Row],[Routine maintenance]]+Entity_Unit_Costs[[#This Row],[Planned maintenance]])/Entity_Unit_Costs[[#This Row],[Closing social housing units managed]],"")</f>
        <v>1.2199756147124567</v>
      </c>
      <c r="L6" s="193">
        <v>16770</v>
      </c>
      <c r="M6" s="193">
        <v>7244</v>
      </c>
      <c r="N6" s="194">
        <f>IF(Entity_Unit_Costs[[#This Row],[Closing social housing units managed]]&gt;0,(Entity_Unit_Costs[[#This Row],[Major repairs expenditure]]+Entity_Unit_Costs[[#This Row],[Capitalised major repairs expenditure for period]])/Entity_Unit_Costs[[#This Row],[Closing social housing units managed]],"")</f>
        <v>0.5653830522251575</v>
      </c>
      <c r="O6" s="193">
        <v>0</v>
      </c>
      <c r="P6" s="193">
        <v>11129</v>
      </c>
      <c r="Q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0.17806340174761229</v>
      </c>
      <c r="R6" s="193">
        <v>1665</v>
      </c>
      <c r="S6" s="193">
        <v>234</v>
      </c>
      <c r="T6" s="193">
        <v>1606</v>
      </c>
      <c r="U6" s="193">
        <v>0</v>
      </c>
      <c r="V6" s="195">
        <v>0</v>
      </c>
      <c r="W6" s="183">
        <v>2.1870488209186675E-2</v>
      </c>
      <c r="X6" s="183">
        <v>0.10641142184909898</v>
      </c>
      <c r="Y6" s="184" t="s">
        <v>1256</v>
      </c>
      <c r="Z6" s="185"/>
      <c r="AA6" s="186" t="s">
        <v>1279</v>
      </c>
      <c r="AB6" s="187" t="s">
        <v>1258</v>
      </c>
      <c r="AC6" s="188">
        <v>0.95504689070477622</v>
      </c>
      <c r="AD6" s="186" t="s">
        <v>1222</v>
      </c>
      <c r="AE6" s="187" t="s">
        <v>3</v>
      </c>
    </row>
    <row r="7" spans="1:31" x14ac:dyDescent="0.2">
      <c r="A7" s="189" t="s">
        <v>215</v>
      </c>
      <c r="B7" s="190" t="s">
        <v>214</v>
      </c>
      <c r="C7" s="191" t="s">
        <v>200</v>
      </c>
      <c r="D7" s="192">
        <v>12280</v>
      </c>
      <c r="E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46282</v>
      </c>
      <c r="F7" s="194">
        <f>IF(Entity_Unit_Costs[[#This Row],[Closing social housing units managed]]&gt;0,Entity_Unit_Costs[[#This Row],[Headline Social Housing Cost]]/Entity_Unit_Costs[[#This Row],[Closing social housing units managed]],"")</f>
        <v>3.7688925081433227</v>
      </c>
      <c r="G7" s="194">
        <f>IF(Entity_Unit_Costs[[#This Row],[Closing social housing units managed]]&gt;0,Entity_Unit_Costs[[#This Row],[Management]]/Entity_Unit_Costs[[#This Row],[Closing social housing units managed]],"")</f>
        <v>0.72809446254071664</v>
      </c>
      <c r="H7" s="193">
        <v>8941</v>
      </c>
      <c r="I7" s="194">
        <f>IF(Entity_Unit_Costs[[#This Row],[Closing social housing units managed]]&gt;0,Entity_Unit_Costs[[#This Row],[Service charge costs]]/Entity_Unit_Costs[[#This Row],[Closing social housing units managed]],"")</f>
        <v>1.6035016286644952</v>
      </c>
      <c r="J7" s="193">
        <v>19691</v>
      </c>
      <c r="K7" s="194">
        <f>IF(Entity_Unit_Costs[[#This Row],[Closing social housing units managed]]&gt;0,(Entity_Unit_Costs[[#This Row],[Routine maintenance]]+Entity_Unit_Costs[[#This Row],[Planned maintenance]])/Entity_Unit_Costs[[#This Row],[Closing social housing units managed]],"")</f>
        <v>0.88908794788273615</v>
      </c>
      <c r="L7" s="193">
        <v>8051</v>
      </c>
      <c r="M7" s="193">
        <v>2867</v>
      </c>
      <c r="N7" s="194">
        <f>IF(Entity_Unit_Costs[[#This Row],[Closing social housing units managed]]&gt;0,(Entity_Unit_Costs[[#This Row],[Major repairs expenditure]]+Entity_Unit_Costs[[#This Row],[Capitalised major repairs expenditure for period]])/Entity_Unit_Costs[[#This Row],[Closing social housing units managed]],"")</f>
        <v>0.38916938110749183</v>
      </c>
      <c r="O7" s="193">
        <v>0</v>
      </c>
      <c r="P7" s="193">
        <v>4779</v>
      </c>
      <c r="Q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0.15903908794788274</v>
      </c>
      <c r="R7" s="193">
        <v>0</v>
      </c>
      <c r="S7" s="193">
        <v>1345</v>
      </c>
      <c r="T7" s="193">
        <v>608</v>
      </c>
      <c r="U7" s="193">
        <v>0</v>
      </c>
      <c r="V7" s="195">
        <v>0</v>
      </c>
      <c r="W7" s="183">
        <v>2.9645039656741645E-2</v>
      </c>
      <c r="X7" s="183">
        <v>0.13587309842673254</v>
      </c>
      <c r="Y7" s="184" t="s">
        <v>1256</v>
      </c>
      <c r="Z7" s="185"/>
      <c r="AA7" s="186" t="s">
        <v>1279</v>
      </c>
      <c r="AB7" s="187" t="s">
        <v>1260</v>
      </c>
      <c r="AC7" s="188">
        <v>0.91574970481499363</v>
      </c>
      <c r="AD7" s="186" t="s">
        <v>215</v>
      </c>
      <c r="AE7" s="187" t="s">
        <v>214</v>
      </c>
    </row>
    <row r="8" spans="1:31" x14ac:dyDescent="0.2">
      <c r="A8" s="189" t="s">
        <v>218</v>
      </c>
      <c r="B8" s="190" t="s">
        <v>217</v>
      </c>
      <c r="C8" s="196" t="s">
        <v>200</v>
      </c>
      <c r="D8" s="192">
        <v>5688</v>
      </c>
      <c r="E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16506</v>
      </c>
      <c r="F8" s="194">
        <f>IF(Entity_Unit_Costs[[#This Row],[Closing social housing units managed]]&gt;0,Entity_Unit_Costs[[#This Row],[Headline Social Housing Cost]]/Entity_Unit_Costs[[#This Row],[Closing social housing units managed]],"")</f>
        <v>2.9018987341772151</v>
      </c>
      <c r="G8" s="194">
        <f>IF(Entity_Unit_Costs[[#This Row],[Closing social housing units managed]]&gt;0,Entity_Unit_Costs[[#This Row],[Management]]/Entity_Unit_Costs[[#This Row],[Closing social housing units managed]],"")</f>
        <v>0.42264416315049225</v>
      </c>
      <c r="H8" s="193">
        <v>2404</v>
      </c>
      <c r="I8" s="194">
        <f>IF(Entity_Unit_Costs[[#This Row],[Closing social housing units managed]]&gt;0,Entity_Unit_Costs[[#This Row],[Service charge costs]]/Entity_Unit_Costs[[#This Row],[Closing social housing units managed]],"")</f>
        <v>0.12324191279887482</v>
      </c>
      <c r="J8" s="193">
        <v>701</v>
      </c>
      <c r="K8" s="194">
        <f>IF(Entity_Unit_Costs[[#This Row],[Closing social housing units managed]]&gt;0,(Entity_Unit_Costs[[#This Row],[Routine maintenance]]+Entity_Unit_Costs[[#This Row],[Planned maintenance]])/Entity_Unit_Costs[[#This Row],[Closing social housing units managed]],"")</f>
        <v>0.90330520393811531</v>
      </c>
      <c r="L8" s="193">
        <v>4184</v>
      </c>
      <c r="M8" s="193">
        <v>954</v>
      </c>
      <c r="N8" s="194">
        <f>IF(Entity_Unit_Costs[[#This Row],[Closing social housing units managed]]&gt;0,(Entity_Unit_Costs[[#This Row],[Major repairs expenditure]]+Entity_Unit_Costs[[#This Row],[Capitalised major repairs expenditure for period]])/Entity_Unit_Costs[[#This Row],[Closing social housing units managed]],"")</f>
        <v>0.944620253164557</v>
      </c>
      <c r="O8" s="193">
        <v>1326</v>
      </c>
      <c r="P8" s="193">
        <v>4047</v>
      </c>
      <c r="Q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0.5080872011251758</v>
      </c>
      <c r="R8" s="193">
        <v>2888</v>
      </c>
      <c r="S8" s="193">
        <v>0</v>
      </c>
      <c r="T8" s="193">
        <v>2</v>
      </c>
      <c r="U8" s="193">
        <v>0</v>
      </c>
      <c r="V8" s="195">
        <v>0</v>
      </c>
      <c r="W8" s="183">
        <v>2.4552788495264821E-3</v>
      </c>
      <c r="X8" s="183">
        <v>4.1213609259908801E-2</v>
      </c>
      <c r="Y8" s="184" t="s">
        <v>1257</v>
      </c>
      <c r="Z8" s="185">
        <v>36451</v>
      </c>
      <c r="AA8" s="186" t="s">
        <v>1268</v>
      </c>
      <c r="AB8" s="187" t="s">
        <v>1261</v>
      </c>
      <c r="AC8" s="188">
        <v>0.92753344968169527</v>
      </c>
      <c r="AD8" s="186" t="s">
        <v>218</v>
      </c>
      <c r="AE8" s="187" t="s">
        <v>217</v>
      </c>
    </row>
    <row r="9" spans="1:31" x14ac:dyDescent="0.2">
      <c r="A9" s="189" t="s">
        <v>6</v>
      </c>
      <c r="B9" s="190" t="s">
        <v>5</v>
      </c>
      <c r="C9" s="191" t="s">
        <v>200</v>
      </c>
      <c r="D9" s="192">
        <v>6285</v>
      </c>
      <c r="E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24087</v>
      </c>
      <c r="F9" s="194">
        <f>IF(Entity_Unit_Costs[[#This Row],[Closing social housing units managed]]&gt;0,Entity_Unit_Costs[[#This Row],[Headline Social Housing Cost]]/Entity_Unit_Costs[[#This Row],[Closing social housing units managed]],"")</f>
        <v>3.8324582338902147</v>
      </c>
      <c r="G9" s="194">
        <f>IF(Entity_Unit_Costs[[#This Row],[Closing social housing units managed]]&gt;0,Entity_Unit_Costs[[#This Row],[Management]]/Entity_Unit_Costs[[#This Row],[Closing social housing units managed]],"")</f>
        <v>0.60461416070007956</v>
      </c>
      <c r="H9" s="193">
        <v>3800</v>
      </c>
      <c r="I9" s="194">
        <f>IF(Entity_Unit_Costs[[#This Row],[Closing social housing units managed]]&gt;0,Entity_Unit_Costs[[#This Row],[Service charge costs]]/Entity_Unit_Costs[[#This Row],[Closing social housing units managed]],"")</f>
        <v>0.72649164677804301</v>
      </c>
      <c r="J9" s="193">
        <v>4566</v>
      </c>
      <c r="K9" s="194">
        <f>IF(Entity_Unit_Costs[[#This Row],[Closing social housing units managed]]&gt;0,(Entity_Unit_Costs[[#This Row],[Routine maintenance]]+Entity_Unit_Costs[[#This Row],[Planned maintenance]])/Entity_Unit_Costs[[#This Row],[Closing social housing units managed]],"")</f>
        <v>1.332219570405728</v>
      </c>
      <c r="L9" s="193">
        <v>4594</v>
      </c>
      <c r="M9" s="193">
        <v>3779</v>
      </c>
      <c r="N9" s="194">
        <f>IF(Entity_Unit_Costs[[#This Row],[Closing social housing units managed]]&gt;0,(Entity_Unit_Costs[[#This Row],[Major repairs expenditure]]+Entity_Unit_Costs[[#This Row],[Capitalised major repairs expenditure for period]])/Entity_Unit_Costs[[#This Row],[Closing social housing units managed]],"")</f>
        <v>0.43102625298329356</v>
      </c>
      <c r="O9" s="193">
        <v>479</v>
      </c>
      <c r="P9" s="193">
        <v>2230</v>
      </c>
      <c r="Q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0.73810660302307085</v>
      </c>
      <c r="R9" s="193">
        <v>420</v>
      </c>
      <c r="S9" s="193">
        <v>0</v>
      </c>
      <c r="T9" s="193">
        <v>4219</v>
      </c>
      <c r="U9" s="193">
        <v>0</v>
      </c>
      <c r="V9" s="195">
        <v>0</v>
      </c>
      <c r="W9" s="183">
        <v>4.6895935685573917E-2</v>
      </c>
      <c r="X9" s="183">
        <v>0.12661902635104957</v>
      </c>
      <c r="Y9" s="184" t="s">
        <v>1256</v>
      </c>
      <c r="Z9" s="185"/>
      <c r="AA9" s="186" t="s">
        <v>1279</v>
      </c>
      <c r="AB9" s="187" t="s">
        <v>1262</v>
      </c>
      <c r="AC9" s="188">
        <v>0.91567401264812998</v>
      </c>
      <c r="AD9" s="186" t="s">
        <v>1223</v>
      </c>
      <c r="AE9" s="187" t="s">
        <v>220</v>
      </c>
    </row>
    <row r="10" spans="1:31" x14ac:dyDescent="0.2">
      <c r="A10" s="189" t="s">
        <v>8</v>
      </c>
      <c r="B10" s="190" t="s">
        <v>7</v>
      </c>
      <c r="C10" s="191" t="s">
        <v>200</v>
      </c>
      <c r="D10" s="192">
        <v>2287</v>
      </c>
      <c r="E1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14387</v>
      </c>
      <c r="F10" s="194">
        <f>IF(Entity_Unit_Costs[[#This Row],[Closing social housing units managed]]&gt;0,Entity_Unit_Costs[[#This Row],[Headline Social Housing Cost]]/Entity_Unit_Costs[[#This Row],[Closing social housing units managed]],"")</f>
        <v>6.2907739396589415</v>
      </c>
      <c r="G10" s="194">
        <f>IF(Entity_Unit_Costs[[#This Row],[Closing social housing units managed]]&gt;0,Entity_Unit_Costs[[#This Row],[Management]]/Entity_Unit_Costs[[#This Row],[Closing social housing units managed]],"")</f>
        <v>1.2837778749453432</v>
      </c>
      <c r="H10" s="193">
        <v>2936</v>
      </c>
      <c r="I10" s="194">
        <f>IF(Entity_Unit_Costs[[#This Row],[Closing social housing units managed]]&gt;0,Entity_Unit_Costs[[#This Row],[Service charge costs]]/Entity_Unit_Costs[[#This Row],[Closing social housing units managed]],"")</f>
        <v>1.8019239177962396</v>
      </c>
      <c r="J10" s="193">
        <v>4121</v>
      </c>
      <c r="K10" s="194">
        <f>IF(Entity_Unit_Costs[[#This Row],[Closing social housing units managed]]&gt;0,(Entity_Unit_Costs[[#This Row],[Routine maintenance]]+Entity_Unit_Costs[[#This Row],[Planned maintenance]])/Entity_Unit_Costs[[#This Row],[Closing social housing units managed]],"")</f>
        <v>1.7131613467424573</v>
      </c>
      <c r="L10" s="193">
        <v>2113</v>
      </c>
      <c r="M10" s="193">
        <v>1805</v>
      </c>
      <c r="N10" s="194">
        <f>IF(Entity_Unit_Costs[[#This Row],[Closing social housing units managed]]&gt;0,(Entity_Unit_Costs[[#This Row],[Major repairs expenditure]]+Entity_Unit_Costs[[#This Row],[Capitalised major repairs expenditure for period]])/Entity_Unit_Costs[[#This Row],[Closing social housing units managed]],"")</f>
        <v>0.66375163970266726</v>
      </c>
      <c r="O10" s="193">
        <v>800</v>
      </c>
      <c r="P10" s="193">
        <v>718</v>
      </c>
      <c r="Q1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0.82815916047223437</v>
      </c>
      <c r="R10" s="193">
        <v>1675</v>
      </c>
      <c r="S10" s="193">
        <v>0</v>
      </c>
      <c r="T10" s="193">
        <v>0</v>
      </c>
      <c r="U10" s="193">
        <v>219</v>
      </c>
      <c r="V10" s="195">
        <v>0</v>
      </c>
      <c r="W10" s="183">
        <v>0.67329299913569574</v>
      </c>
      <c r="X10" s="183">
        <v>4.7104580812445979E-2</v>
      </c>
      <c r="Y10" s="184" t="s">
        <v>1256</v>
      </c>
      <c r="Z10" s="185"/>
      <c r="AA10" s="186" t="s">
        <v>1279</v>
      </c>
      <c r="AB10" s="187" t="s">
        <v>1258</v>
      </c>
      <c r="AC10" s="188">
        <v>0.97120697974436754</v>
      </c>
      <c r="AD10" s="186" t="s">
        <v>8</v>
      </c>
      <c r="AE10" s="187" t="s">
        <v>7</v>
      </c>
    </row>
    <row r="11" spans="1:31" x14ac:dyDescent="0.2">
      <c r="A11" s="197">
        <v>4673</v>
      </c>
      <c r="B11" s="190" t="s">
        <v>223</v>
      </c>
      <c r="C11" s="196" t="s">
        <v>200</v>
      </c>
      <c r="D11" s="192">
        <v>53459</v>
      </c>
      <c r="E1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177982</v>
      </c>
      <c r="F11" s="194">
        <f>IF(Entity_Unit_Costs[[#This Row],[Closing social housing units managed]]&gt;0,Entity_Unit_Costs[[#This Row],[Headline Social Housing Cost]]/Entity_Unit_Costs[[#This Row],[Closing social housing units managed]],"")</f>
        <v>3.3293177949456592</v>
      </c>
      <c r="G11" s="194">
        <f>IF(Entity_Unit_Costs[[#This Row],[Closing social housing units managed]]&gt;0,Entity_Unit_Costs[[#This Row],[Management]]/Entity_Unit_Costs[[#This Row],[Closing social housing units managed]],"")</f>
        <v>0.66379842496118524</v>
      </c>
      <c r="H11" s="193">
        <v>35486</v>
      </c>
      <c r="I11" s="194">
        <f>IF(Entity_Unit_Costs[[#This Row],[Closing social housing units managed]]&gt;0,Entity_Unit_Costs[[#This Row],[Service charge costs]]/Entity_Unit_Costs[[#This Row],[Closing social housing units managed]],"")</f>
        <v>0.35816233000991415</v>
      </c>
      <c r="J11" s="193">
        <v>19147</v>
      </c>
      <c r="K11" s="194">
        <f>IF(Entity_Unit_Costs[[#This Row],[Closing social housing units managed]]&gt;0,(Entity_Unit_Costs[[#This Row],[Routine maintenance]]+Entity_Unit_Costs[[#This Row],[Planned maintenance]])/Entity_Unit_Costs[[#This Row],[Closing social housing units managed]],"")</f>
        <v>1.3738378944611758</v>
      </c>
      <c r="L11" s="193">
        <v>39955</v>
      </c>
      <c r="M11" s="193">
        <v>33489</v>
      </c>
      <c r="N11" s="194">
        <f>IF(Entity_Unit_Costs[[#This Row],[Closing social housing units managed]]&gt;0,(Entity_Unit_Costs[[#This Row],[Major repairs expenditure]]+Entity_Unit_Costs[[#This Row],[Capitalised major repairs expenditure for period]])/Entity_Unit_Costs[[#This Row],[Closing social housing units managed]],"")</f>
        <v>0.66123571335041809</v>
      </c>
      <c r="O11" s="193">
        <v>0</v>
      </c>
      <c r="P11" s="193">
        <v>35349</v>
      </c>
      <c r="Q1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0.27228343216296602</v>
      </c>
      <c r="R11" s="193">
        <v>341</v>
      </c>
      <c r="S11" s="193">
        <v>4005</v>
      </c>
      <c r="T11" s="193">
        <v>2533</v>
      </c>
      <c r="U11" s="193">
        <v>4329</v>
      </c>
      <c r="V11" s="195">
        <v>3348</v>
      </c>
      <c r="W11" s="183">
        <v>1.3081366496615518E-2</v>
      </c>
      <c r="X11" s="183">
        <v>7.0250312642674242E-2</v>
      </c>
      <c r="Y11" s="184" t="s">
        <v>1256</v>
      </c>
      <c r="Z11" s="185"/>
      <c r="AA11" s="186" t="s">
        <v>1279</v>
      </c>
      <c r="AB11" s="187" t="s">
        <v>1258</v>
      </c>
      <c r="AC11" s="188">
        <v>1.0730518489452443</v>
      </c>
      <c r="AD11" s="186" t="s">
        <v>1228</v>
      </c>
      <c r="AE11" s="187" t="s">
        <v>300</v>
      </c>
    </row>
    <row r="12" spans="1:31" x14ac:dyDescent="0.2">
      <c r="A12" s="189" t="s">
        <v>226</v>
      </c>
      <c r="B12" s="190" t="s">
        <v>225</v>
      </c>
      <c r="C12" s="191" t="s">
        <v>200</v>
      </c>
      <c r="D12" s="192">
        <v>10125</v>
      </c>
      <c r="E1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36486</v>
      </c>
      <c r="F12" s="194">
        <f>IF(Entity_Unit_Costs[[#This Row],[Closing social housing units managed]]&gt;0,Entity_Unit_Costs[[#This Row],[Headline Social Housing Cost]]/Entity_Unit_Costs[[#This Row],[Closing social housing units managed]],"")</f>
        <v>3.6035555555555554</v>
      </c>
      <c r="G12" s="194">
        <f>IF(Entity_Unit_Costs[[#This Row],[Closing social housing units managed]]&gt;0,Entity_Unit_Costs[[#This Row],[Management]]/Entity_Unit_Costs[[#This Row],[Closing social housing units managed]],"")</f>
        <v>1.1679012345679012</v>
      </c>
      <c r="H12" s="193">
        <v>11825</v>
      </c>
      <c r="I12" s="194">
        <f>IF(Entity_Unit_Costs[[#This Row],[Closing social housing units managed]]&gt;0,Entity_Unit_Costs[[#This Row],[Service charge costs]]/Entity_Unit_Costs[[#This Row],[Closing social housing units managed]],"")</f>
        <v>0.4705185185185185</v>
      </c>
      <c r="J12" s="193">
        <v>4764</v>
      </c>
      <c r="K12" s="194">
        <f>IF(Entity_Unit_Costs[[#This Row],[Closing social housing units managed]]&gt;0,(Entity_Unit_Costs[[#This Row],[Routine maintenance]]+Entity_Unit_Costs[[#This Row],[Planned maintenance]])/Entity_Unit_Costs[[#This Row],[Closing social housing units managed]],"")</f>
        <v>0.7857777777777778</v>
      </c>
      <c r="L12" s="193">
        <v>5190</v>
      </c>
      <c r="M12" s="193">
        <v>2766</v>
      </c>
      <c r="N12" s="194">
        <f>IF(Entity_Unit_Costs[[#This Row],[Closing social housing units managed]]&gt;0,(Entity_Unit_Costs[[#This Row],[Major repairs expenditure]]+Entity_Unit_Costs[[#This Row],[Capitalised major repairs expenditure for period]])/Entity_Unit_Costs[[#This Row],[Closing social housing units managed]],"")</f>
        <v>0.71911111111111115</v>
      </c>
      <c r="O12" s="193">
        <v>1161</v>
      </c>
      <c r="P12" s="193">
        <v>6120</v>
      </c>
      <c r="Q1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0.46024691358024694</v>
      </c>
      <c r="R12" s="193">
        <v>1091</v>
      </c>
      <c r="S12" s="193">
        <v>1656</v>
      </c>
      <c r="T12" s="193">
        <v>1913</v>
      </c>
      <c r="U12" s="193">
        <v>0</v>
      </c>
      <c r="V12" s="195">
        <v>0</v>
      </c>
      <c r="W12" s="183">
        <v>8.6425002657595409E-2</v>
      </c>
      <c r="X12" s="183">
        <v>5.2514085255660675E-2</v>
      </c>
      <c r="Y12" s="184" t="s">
        <v>1256</v>
      </c>
      <c r="Z12" s="185"/>
      <c r="AA12" s="186" t="s">
        <v>1279</v>
      </c>
      <c r="AB12" s="187" t="s">
        <v>1263</v>
      </c>
      <c r="AC12" s="188">
        <v>1.0031588968597271</v>
      </c>
      <c r="AD12" s="186" t="s">
        <v>226</v>
      </c>
      <c r="AE12" s="187" t="s">
        <v>225</v>
      </c>
    </row>
    <row r="13" spans="1:31" x14ac:dyDescent="0.2">
      <c r="A13" s="189" t="s">
        <v>229</v>
      </c>
      <c r="B13" s="190" t="s">
        <v>228</v>
      </c>
      <c r="C13" s="196" t="s">
        <v>200</v>
      </c>
      <c r="D13" s="192">
        <v>26674</v>
      </c>
      <c r="E1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100004</v>
      </c>
      <c r="F13" s="194">
        <f>IF(Entity_Unit_Costs[[#This Row],[Closing social housing units managed]]&gt;0,Entity_Unit_Costs[[#This Row],[Headline Social Housing Cost]]/Entity_Unit_Costs[[#This Row],[Closing social housing units managed]],"")</f>
        <v>3.7491189922771238</v>
      </c>
      <c r="G13" s="194">
        <f>IF(Entity_Unit_Costs[[#This Row],[Closing social housing units managed]]&gt;0,Entity_Unit_Costs[[#This Row],[Management]]/Entity_Unit_Costs[[#This Row],[Closing social housing units managed]],"")</f>
        <v>0.96164804678713356</v>
      </c>
      <c r="H13" s="193">
        <v>25651</v>
      </c>
      <c r="I13" s="194">
        <f>IF(Entity_Unit_Costs[[#This Row],[Closing social housing units managed]]&gt;0,Entity_Unit_Costs[[#This Row],[Service charge costs]]/Entity_Unit_Costs[[#This Row],[Closing social housing units managed]],"")</f>
        <v>0.45250056234535502</v>
      </c>
      <c r="J13" s="193">
        <v>12070</v>
      </c>
      <c r="K13" s="194">
        <f>IF(Entity_Unit_Costs[[#This Row],[Closing social housing units managed]]&gt;0,(Entity_Unit_Costs[[#This Row],[Routine maintenance]]+Entity_Unit_Costs[[#This Row],[Planned maintenance]])/Entity_Unit_Costs[[#This Row],[Closing social housing units managed]],"")</f>
        <v>1.4865037114793431</v>
      </c>
      <c r="L13" s="193">
        <v>18336</v>
      </c>
      <c r="M13" s="193">
        <v>21315</v>
      </c>
      <c r="N13" s="194">
        <f>IF(Entity_Unit_Costs[[#This Row],[Closing social housing units managed]]&gt;0,(Entity_Unit_Costs[[#This Row],[Major repairs expenditure]]+Entity_Unit_Costs[[#This Row],[Capitalised major repairs expenditure for period]])/Entity_Unit_Costs[[#This Row],[Closing social housing units managed]],"")</f>
        <v>0.78349703831446349</v>
      </c>
      <c r="O13" s="193">
        <v>4187</v>
      </c>
      <c r="P13" s="193">
        <v>16712</v>
      </c>
      <c r="Q1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6.4969633350828518E-2</v>
      </c>
      <c r="R13" s="193">
        <v>620</v>
      </c>
      <c r="S13" s="193">
        <v>76</v>
      </c>
      <c r="T13" s="193">
        <v>240</v>
      </c>
      <c r="U13" s="193">
        <v>496</v>
      </c>
      <c r="V13" s="195">
        <v>301</v>
      </c>
      <c r="W13" s="183">
        <v>2.261247960214469E-2</v>
      </c>
      <c r="X13" s="183">
        <v>5.0819799518222082E-2</v>
      </c>
      <c r="Y13" s="184" t="s">
        <v>1257</v>
      </c>
      <c r="Z13" s="185">
        <v>32960</v>
      </c>
      <c r="AA13" s="186" t="s">
        <v>1268</v>
      </c>
      <c r="AB13" s="187" t="s">
        <v>1259</v>
      </c>
      <c r="AC13" s="188">
        <v>1.0996384373944308</v>
      </c>
      <c r="AD13" s="186" t="s">
        <v>229</v>
      </c>
      <c r="AE13" s="187" t="s">
        <v>228</v>
      </c>
    </row>
    <row r="14" spans="1:31" x14ac:dyDescent="0.2">
      <c r="A14" s="189" t="s">
        <v>232</v>
      </c>
      <c r="B14" s="190" t="s">
        <v>231</v>
      </c>
      <c r="C14" s="191" t="s">
        <v>200</v>
      </c>
      <c r="D14" s="192">
        <v>27153</v>
      </c>
      <c r="E1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258722</v>
      </c>
      <c r="F14" s="194">
        <f>IF(Entity_Unit_Costs[[#This Row],[Closing social housing units managed]]&gt;0,Entity_Unit_Costs[[#This Row],[Headline Social Housing Cost]]/Entity_Unit_Costs[[#This Row],[Closing social housing units managed]],"")</f>
        <v>9.5283025816668516</v>
      </c>
      <c r="G14" s="194">
        <f>IF(Entity_Unit_Costs[[#This Row],[Closing social housing units managed]]&gt;0,Entity_Unit_Costs[[#This Row],[Management]]/Entity_Unit_Costs[[#This Row],[Closing social housing units managed]],"")</f>
        <v>1.6775310278790556</v>
      </c>
      <c r="H14" s="193">
        <v>45550</v>
      </c>
      <c r="I14" s="194">
        <f>IF(Entity_Unit_Costs[[#This Row],[Closing social housing units managed]]&gt;0,Entity_Unit_Costs[[#This Row],[Service charge costs]]/Entity_Unit_Costs[[#This Row],[Closing social housing units managed]],"")</f>
        <v>5.4150185983132619</v>
      </c>
      <c r="J14" s="193">
        <v>147034</v>
      </c>
      <c r="K14" s="194">
        <f>IF(Entity_Unit_Costs[[#This Row],[Closing social housing units managed]]&gt;0,(Entity_Unit_Costs[[#This Row],[Routine maintenance]]+Entity_Unit_Costs[[#This Row],[Planned maintenance]])/Entity_Unit_Costs[[#This Row],[Closing social housing units managed]],"")</f>
        <v>0.91186977497882371</v>
      </c>
      <c r="L14" s="193">
        <v>11329</v>
      </c>
      <c r="M14" s="193">
        <v>13431</v>
      </c>
      <c r="N14" s="194">
        <f>IF(Entity_Unit_Costs[[#This Row],[Closing social housing units managed]]&gt;0,(Entity_Unit_Costs[[#This Row],[Major repairs expenditure]]+Entity_Unit_Costs[[#This Row],[Capitalised major repairs expenditure for period]])/Entity_Unit_Costs[[#This Row],[Closing social housing units managed]],"")</f>
        <v>1.4273929215924575</v>
      </c>
      <c r="O14" s="193">
        <v>0</v>
      </c>
      <c r="P14" s="193">
        <v>38758</v>
      </c>
      <c r="Q1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9.6490258903251941E-2</v>
      </c>
      <c r="R14" s="193">
        <v>544</v>
      </c>
      <c r="S14" s="193">
        <v>0</v>
      </c>
      <c r="T14" s="193">
        <v>2076</v>
      </c>
      <c r="U14" s="193">
        <v>0</v>
      </c>
      <c r="V14" s="195">
        <v>0</v>
      </c>
      <c r="W14" s="183">
        <v>1.1012811570794023E-4</v>
      </c>
      <c r="X14" s="183">
        <v>0.96094122829558382</v>
      </c>
      <c r="Y14" s="184" t="s">
        <v>1256</v>
      </c>
      <c r="Z14" s="185"/>
      <c r="AA14" s="186" t="s">
        <v>1279</v>
      </c>
      <c r="AB14" s="187" t="s">
        <v>1258</v>
      </c>
      <c r="AC14" s="188">
        <v>0.96783852261691372</v>
      </c>
      <c r="AD14" s="186" t="s">
        <v>232</v>
      </c>
      <c r="AE14" s="187" t="s">
        <v>231</v>
      </c>
    </row>
    <row r="15" spans="1:31" x14ac:dyDescent="0.2">
      <c r="A15" s="189" t="s">
        <v>233</v>
      </c>
      <c r="B15" s="190" t="s">
        <v>234</v>
      </c>
      <c r="C15" s="196" t="s">
        <v>200</v>
      </c>
      <c r="D15" s="192">
        <v>7617</v>
      </c>
      <c r="E1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24287</v>
      </c>
      <c r="F15" s="194">
        <f>IF(Entity_Unit_Costs[[#This Row],[Closing social housing units managed]]&gt;0,Entity_Unit_Costs[[#This Row],[Headline Social Housing Cost]]/Entity_Unit_Costs[[#This Row],[Closing social housing units managed]],"")</f>
        <v>3.188525666272811</v>
      </c>
      <c r="G15" s="194">
        <f>IF(Entity_Unit_Costs[[#This Row],[Closing social housing units managed]]&gt;0,Entity_Unit_Costs[[#This Row],[Management]]/Entity_Unit_Costs[[#This Row],[Closing social housing units managed]],"")</f>
        <v>0.62006039123014312</v>
      </c>
      <c r="H15" s="193">
        <v>4723</v>
      </c>
      <c r="I15" s="194">
        <f>IF(Entity_Unit_Costs[[#This Row],[Closing social housing units managed]]&gt;0,Entity_Unit_Costs[[#This Row],[Service charge costs]]/Entity_Unit_Costs[[#This Row],[Closing social housing units managed]],"")</f>
        <v>0.29145332808192204</v>
      </c>
      <c r="J15" s="193">
        <v>2220</v>
      </c>
      <c r="K15" s="194">
        <f>IF(Entity_Unit_Costs[[#This Row],[Closing social housing units managed]]&gt;0,(Entity_Unit_Costs[[#This Row],[Routine maintenance]]+Entity_Unit_Costs[[#This Row],[Planned maintenance]])/Entity_Unit_Costs[[#This Row],[Closing social housing units managed]],"")</f>
        <v>1.0340028882762242</v>
      </c>
      <c r="L15" s="193">
        <v>5472</v>
      </c>
      <c r="M15" s="193">
        <v>2404</v>
      </c>
      <c r="N15" s="194">
        <f>IF(Entity_Unit_Costs[[#This Row],[Closing social housing units managed]]&gt;0,(Entity_Unit_Costs[[#This Row],[Major repairs expenditure]]+Entity_Unit_Costs[[#This Row],[Capitalised major repairs expenditure for period]])/Entity_Unit_Costs[[#This Row],[Closing social housing units managed]],"")</f>
        <v>1.1213076014178811</v>
      </c>
      <c r="O15" s="193">
        <v>3264</v>
      </c>
      <c r="P15" s="193">
        <v>5277</v>
      </c>
      <c r="Q1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0.1217014572666404</v>
      </c>
      <c r="R15" s="193">
        <v>506</v>
      </c>
      <c r="S15" s="193">
        <v>0</v>
      </c>
      <c r="T15" s="193">
        <v>371</v>
      </c>
      <c r="U15" s="193">
        <v>50</v>
      </c>
      <c r="V15" s="195">
        <v>0</v>
      </c>
      <c r="W15" s="183">
        <v>5.6058815806748062E-2</v>
      </c>
      <c r="X15" s="183">
        <v>0.17355914401995537</v>
      </c>
      <c r="Y15" s="184" t="s">
        <v>1257</v>
      </c>
      <c r="Z15" s="185">
        <v>37200</v>
      </c>
      <c r="AA15" s="186" t="s">
        <v>1268</v>
      </c>
      <c r="AB15" s="187" t="s">
        <v>1263</v>
      </c>
      <c r="AC15" s="188">
        <v>0.99921276099016842</v>
      </c>
      <c r="AD15" s="186" t="s">
        <v>1233</v>
      </c>
      <c r="AE15" s="187" t="s">
        <v>402</v>
      </c>
    </row>
    <row r="16" spans="1:31" x14ac:dyDescent="0.2">
      <c r="A16" s="189" t="s">
        <v>10</v>
      </c>
      <c r="B16" s="190" t="s">
        <v>9</v>
      </c>
      <c r="C16" s="196" t="s">
        <v>200</v>
      </c>
      <c r="D16" s="192">
        <v>1051</v>
      </c>
      <c r="E1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2988</v>
      </c>
      <c r="F16" s="194">
        <f>IF(Entity_Unit_Costs[[#This Row],[Closing social housing units managed]]&gt;0,Entity_Unit_Costs[[#This Row],[Headline Social Housing Cost]]/Entity_Unit_Costs[[#This Row],[Closing social housing units managed]],"")</f>
        <v>2.8430066603235016</v>
      </c>
      <c r="G16" s="194">
        <f>IF(Entity_Unit_Costs[[#This Row],[Closing social housing units managed]]&gt;0,Entity_Unit_Costs[[#This Row],[Management]]/Entity_Unit_Costs[[#This Row],[Closing social housing units managed]],"")</f>
        <v>0.73929590865842054</v>
      </c>
      <c r="H16" s="193">
        <v>777</v>
      </c>
      <c r="I16" s="194">
        <f>IF(Entity_Unit_Costs[[#This Row],[Closing social housing units managed]]&gt;0,Entity_Unit_Costs[[#This Row],[Service charge costs]]/Entity_Unit_Costs[[#This Row],[Closing social housing units managed]],"")</f>
        <v>0.39676498572787822</v>
      </c>
      <c r="J16" s="193">
        <v>417</v>
      </c>
      <c r="K16" s="194">
        <f>IF(Entity_Unit_Costs[[#This Row],[Closing social housing units managed]]&gt;0,(Entity_Unit_Costs[[#This Row],[Routine maintenance]]+Entity_Unit_Costs[[#This Row],[Planned maintenance]])/Entity_Unit_Costs[[#This Row],[Closing social housing units managed]],"")</f>
        <v>1</v>
      </c>
      <c r="L16" s="193">
        <v>914</v>
      </c>
      <c r="M16" s="193">
        <v>137</v>
      </c>
      <c r="N16" s="194">
        <f>IF(Entity_Unit_Costs[[#This Row],[Closing social housing units managed]]&gt;0,(Entity_Unit_Costs[[#This Row],[Major repairs expenditure]]+Entity_Unit_Costs[[#This Row],[Capitalised major repairs expenditure for period]])/Entity_Unit_Costs[[#This Row],[Closing social housing units managed]],"")</f>
        <v>0.63939105613701241</v>
      </c>
      <c r="O16" s="193">
        <v>381</v>
      </c>
      <c r="P16" s="193">
        <v>291</v>
      </c>
      <c r="Q1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6.7554709800190293E-2</v>
      </c>
      <c r="R16" s="193">
        <v>0</v>
      </c>
      <c r="S16" s="193">
        <v>31</v>
      </c>
      <c r="T16" s="193">
        <v>40</v>
      </c>
      <c r="U16" s="193">
        <v>0</v>
      </c>
      <c r="V16" s="195">
        <v>0</v>
      </c>
      <c r="W16" s="183">
        <v>0</v>
      </c>
      <c r="X16" s="183">
        <v>0.14093959731543623</v>
      </c>
      <c r="Y16" s="184" t="s">
        <v>1256</v>
      </c>
      <c r="Z16" s="185"/>
      <c r="AA16" s="186" t="s">
        <v>1279</v>
      </c>
      <c r="AB16" s="187" t="s">
        <v>1262</v>
      </c>
      <c r="AC16" s="188">
        <v>0.9156653862445665</v>
      </c>
      <c r="AD16" s="186" t="s">
        <v>10</v>
      </c>
      <c r="AE16" s="187" t="s">
        <v>9</v>
      </c>
    </row>
    <row r="17" spans="1:31" x14ac:dyDescent="0.2">
      <c r="A17" s="189" t="s">
        <v>12</v>
      </c>
      <c r="B17" s="190" t="s">
        <v>11</v>
      </c>
      <c r="C17" s="191" t="s">
        <v>200</v>
      </c>
      <c r="D17" s="192">
        <v>1156</v>
      </c>
      <c r="E1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2739</v>
      </c>
      <c r="F17" s="194">
        <f>IF(Entity_Unit_Costs[[#This Row],[Closing social housing units managed]]&gt;0,Entity_Unit_Costs[[#This Row],[Headline Social Housing Cost]]/Entity_Unit_Costs[[#This Row],[Closing social housing units managed]],"")</f>
        <v>2.3693771626297577</v>
      </c>
      <c r="G17" s="194">
        <f>IF(Entity_Unit_Costs[[#This Row],[Closing social housing units managed]]&gt;0,Entity_Unit_Costs[[#This Row],[Management]]/Entity_Unit_Costs[[#This Row],[Closing social housing units managed]],"")</f>
        <v>0.70415224913494812</v>
      </c>
      <c r="H17" s="193">
        <v>814</v>
      </c>
      <c r="I17" s="194">
        <f>IF(Entity_Unit_Costs[[#This Row],[Closing social housing units managed]]&gt;0,Entity_Unit_Costs[[#This Row],[Service charge costs]]/Entity_Unit_Costs[[#This Row],[Closing social housing units managed]],"")</f>
        <v>3.8927335640138408E-2</v>
      </c>
      <c r="J17" s="193">
        <v>45</v>
      </c>
      <c r="K17" s="194">
        <f>IF(Entity_Unit_Costs[[#This Row],[Closing social housing units managed]]&gt;0,(Entity_Unit_Costs[[#This Row],[Routine maintenance]]+Entity_Unit_Costs[[#This Row],[Planned maintenance]])/Entity_Unit_Costs[[#This Row],[Closing social housing units managed]],"")</f>
        <v>0.98702422145328716</v>
      </c>
      <c r="L17" s="193">
        <v>879</v>
      </c>
      <c r="M17" s="193">
        <v>262</v>
      </c>
      <c r="N17" s="194">
        <f>IF(Entity_Unit_Costs[[#This Row],[Closing social housing units managed]]&gt;0,(Entity_Unit_Costs[[#This Row],[Major repairs expenditure]]+Entity_Unit_Costs[[#This Row],[Capitalised major repairs expenditure for period]])/Entity_Unit_Costs[[#This Row],[Closing social housing units managed]],"")</f>
        <v>0.60380622837370246</v>
      </c>
      <c r="O17" s="193">
        <v>0</v>
      </c>
      <c r="P17" s="193">
        <v>698</v>
      </c>
      <c r="Q1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3.5467128027681663E-2</v>
      </c>
      <c r="R17" s="193">
        <v>0</v>
      </c>
      <c r="S17" s="193">
        <v>0</v>
      </c>
      <c r="T17" s="193">
        <v>41</v>
      </c>
      <c r="U17" s="193">
        <v>0</v>
      </c>
      <c r="V17" s="195">
        <v>0</v>
      </c>
      <c r="W17" s="183">
        <v>4.1739130434782612E-2</v>
      </c>
      <c r="X17" s="183">
        <v>0</v>
      </c>
      <c r="Y17" s="184" t="s">
        <v>1256</v>
      </c>
      <c r="Z17" s="185"/>
      <c r="AA17" s="186" t="s">
        <v>1279</v>
      </c>
      <c r="AB17" s="187" t="s">
        <v>1264</v>
      </c>
      <c r="AC17" s="188">
        <v>0.94807909763407583</v>
      </c>
      <c r="AD17" s="186" t="s">
        <v>12</v>
      </c>
      <c r="AE17" s="187" t="s">
        <v>11</v>
      </c>
    </row>
    <row r="18" spans="1:31" x14ac:dyDescent="0.2">
      <c r="A18" s="189" t="s">
        <v>237</v>
      </c>
      <c r="B18" s="190" t="s">
        <v>236</v>
      </c>
      <c r="C18" s="196" t="s">
        <v>200</v>
      </c>
      <c r="D18" s="192">
        <v>1179</v>
      </c>
      <c r="E1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3192</v>
      </c>
      <c r="F18" s="194">
        <f>IF(Entity_Unit_Costs[[#This Row],[Closing social housing units managed]]&gt;0,Entity_Unit_Costs[[#This Row],[Headline Social Housing Cost]]/Entity_Unit_Costs[[#This Row],[Closing social housing units managed]],"")</f>
        <v>2.7073791348600511</v>
      </c>
      <c r="G18" s="194">
        <f>IF(Entity_Unit_Costs[[#This Row],[Closing social housing units managed]]&gt;0,Entity_Unit_Costs[[#This Row],[Management]]/Entity_Unit_Costs[[#This Row],[Closing social housing units managed]],"")</f>
        <v>0.91433418150975398</v>
      </c>
      <c r="H18" s="193">
        <v>1078</v>
      </c>
      <c r="I18" s="194">
        <f>IF(Entity_Unit_Costs[[#This Row],[Closing social housing units managed]]&gt;0,Entity_Unit_Costs[[#This Row],[Service charge costs]]/Entity_Unit_Costs[[#This Row],[Closing social housing units managed]],"")</f>
        <v>0.18914334181509754</v>
      </c>
      <c r="J18" s="193">
        <v>223</v>
      </c>
      <c r="K18" s="194">
        <f>IF(Entity_Unit_Costs[[#This Row],[Closing social housing units managed]]&gt;0,(Entity_Unit_Costs[[#This Row],[Routine maintenance]]+Entity_Unit_Costs[[#This Row],[Planned maintenance]])/Entity_Unit_Costs[[#This Row],[Closing social housing units managed]],"")</f>
        <v>0.86683630195080574</v>
      </c>
      <c r="L18" s="193">
        <v>814</v>
      </c>
      <c r="M18" s="193">
        <v>208</v>
      </c>
      <c r="N18" s="194">
        <f>IF(Entity_Unit_Costs[[#This Row],[Closing social housing units managed]]&gt;0,(Entity_Unit_Costs[[#This Row],[Major repairs expenditure]]+Entity_Unit_Costs[[#This Row],[Capitalised major repairs expenditure for period]])/Entity_Unit_Costs[[#This Row],[Closing social housing units managed]],"")</f>
        <v>0.63528413910093295</v>
      </c>
      <c r="O18" s="193">
        <v>304</v>
      </c>
      <c r="P18" s="193">
        <v>445</v>
      </c>
      <c r="Q1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0.10178117048346055</v>
      </c>
      <c r="R18" s="193">
        <v>120</v>
      </c>
      <c r="S18" s="193">
        <v>0</v>
      </c>
      <c r="T18" s="193">
        <v>0</v>
      </c>
      <c r="U18" s="193">
        <v>0</v>
      </c>
      <c r="V18" s="195">
        <v>0</v>
      </c>
      <c r="W18" s="183">
        <v>0</v>
      </c>
      <c r="X18" s="183">
        <v>0</v>
      </c>
      <c r="Y18" s="184" t="s">
        <v>1256</v>
      </c>
      <c r="Z18" s="185"/>
      <c r="AA18" s="186" t="s">
        <v>1279</v>
      </c>
      <c r="AB18" s="187" t="s">
        <v>1262</v>
      </c>
      <c r="AC18" s="188">
        <v>0.91576515799226244</v>
      </c>
      <c r="AD18" s="186" t="s">
        <v>237</v>
      </c>
      <c r="AE18" s="187" t="s">
        <v>236</v>
      </c>
    </row>
    <row r="19" spans="1:31" x14ac:dyDescent="0.2">
      <c r="A19" s="189" t="s">
        <v>238</v>
      </c>
      <c r="B19" s="190" t="s">
        <v>239</v>
      </c>
      <c r="C19" s="196" t="s">
        <v>200</v>
      </c>
      <c r="D19" s="192">
        <v>11430</v>
      </c>
      <c r="E1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48334</v>
      </c>
      <c r="F19" s="194">
        <f>IF(Entity_Unit_Costs[[#This Row],[Closing social housing units managed]]&gt;0,Entity_Unit_Costs[[#This Row],[Headline Social Housing Cost]]/Entity_Unit_Costs[[#This Row],[Closing social housing units managed]],"")</f>
        <v>4.2286964129483815</v>
      </c>
      <c r="G19" s="194">
        <f>IF(Entity_Unit_Costs[[#This Row],[Closing social housing units managed]]&gt;0,Entity_Unit_Costs[[#This Row],[Management]]/Entity_Unit_Costs[[#This Row],[Closing social housing units managed]],"")</f>
        <v>1.6909011373578302</v>
      </c>
      <c r="H19" s="193">
        <v>19327</v>
      </c>
      <c r="I19" s="194">
        <f>IF(Entity_Unit_Costs[[#This Row],[Closing social housing units managed]]&gt;0,Entity_Unit_Costs[[#This Row],[Service charge costs]]/Entity_Unit_Costs[[#This Row],[Closing social housing units managed]],"")</f>
        <v>0.78180227471566055</v>
      </c>
      <c r="J19" s="193">
        <v>8936</v>
      </c>
      <c r="K19" s="194">
        <f>IF(Entity_Unit_Costs[[#This Row],[Closing social housing units managed]]&gt;0,(Entity_Unit_Costs[[#This Row],[Routine maintenance]]+Entity_Unit_Costs[[#This Row],[Planned maintenance]])/Entity_Unit_Costs[[#This Row],[Closing social housing units managed]],"")</f>
        <v>0.77996500437445315</v>
      </c>
      <c r="L19" s="193">
        <v>5349</v>
      </c>
      <c r="M19" s="193">
        <v>3566</v>
      </c>
      <c r="N19" s="194">
        <f>IF(Entity_Unit_Costs[[#This Row],[Closing social housing units managed]]&gt;0,(Entity_Unit_Costs[[#This Row],[Major repairs expenditure]]+Entity_Unit_Costs[[#This Row],[Capitalised major repairs expenditure for period]])/Entity_Unit_Costs[[#This Row],[Closing social housing units managed]],"")</f>
        <v>0.60236220472440949</v>
      </c>
      <c r="O19" s="193">
        <v>756</v>
      </c>
      <c r="P19" s="193">
        <v>6129</v>
      </c>
      <c r="Q1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0.37366579177602799</v>
      </c>
      <c r="R19" s="193">
        <v>1375</v>
      </c>
      <c r="S19" s="193">
        <v>1500</v>
      </c>
      <c r="T19" s="193">
        <v>896</v>
      </c>
      <c r="U19" s="193">
        <v>0</v>
      </c>
      <c r="V19" s="195">
        <v>500</v>
      </c>
      <c r="W19" s="183">
        <v>5.0526315789473683E-2</v>
      </c>
      <c r="X19" s="183">
        <v>0.22298245614035087</v>
      </c>
      <c r="Y19" s="184" t="s">
        <v>1256</v>
      </c>
      <c r="Z19" s="185"/>
      <c r="AA19" s="186" t="s">
        <v>1279</v>
      </c>
      <c r="AB19" s="187" t="s">
        <v>1262</v>
      </c>
      <c r="AC19" s="188">
        <v>0.91581386411459009</v>
      </c>
      <c r="AD19" s="186" t="s">
        <v>1255</v>
      </c>
      <c r="AE19" s="187" t="s">
        <v>861</v>
      </c>
    </row>
    <row r="20" spans="1:31" x14ac:dyDescent="0.2">
      <c r="A20" s="189" t="s">
        <v>242</v>
      </c>
      <c r="B20" s="190" t="s">
        <v>241</v>
      </c>
      <c r="C20" s="196" t="s">
        <v>200</v>
      </c>
      <c r="D20" s="192">
        <v>9329</v>
      </c>
      <c r="E2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22422</v>
      </c>
      <c r="F20" s="194">
        <f>IF(Entity_Unit_Costs[[#This Row],[Closing social housing units managed]]&gt;0,Entity_Unit_Costs[[#This Row],[Headline Social Housing Cost]]/Entity_Unit_Costs[[#This Row],[Closing social housing units managed]],"")</f>
        <v>2.4034730410547755</v>
      </c>
      <c r="G20" s="194">
        <f>IF(Entity_Unit_Costs[[#This Row],[Closing social housing units managed]]&gt;0,Entity_Unit_Costs[[#This Row],[Management]]/Entity_Unit_Costs[[#This Row],[Closing social housing units managed]],"")</f>
        <v>0.57701790116839957</v>
      </c>
      <c r="H20" s="193">
        <v>5383</v>
      </c>
      <c r="I20" s="194">
        <f>IF(Entity_Unit_Costs[[#This Row],[Closing social housing units managed]]&gt;0,Entity_Unit_Costs[[#This Row],[Service charge costs]]/Entity_Unit_Costs[[#This Row],[Closing social housing units managed]],"")</f>
        <v>0.28952728052310001</v>
      </c>
      <c r="J20" s="193">
        <v>2701</v>
      </c>
      <c r="K20" s="194">
        <f>IF(Entity_Unit_Costs[[#This Row],[Closing social housing units managed]]&gt;0,(Entity_Unit_Costs[[#This Row],[Routine maintenance]]+Entity_Unit_Costs[[#This Row],[Planned maintenance]])/Entity_Unit_Costs[[#This Row],[Closing social housing units managed]],"")</f>
        <v>1.0016078893772109</v>
      </c>
      <c r="L20" s="193">
        <v>4578</v>
      </c>
      <c r="M20" s="193">
        <v>4766</v>
      </c>
      <c r="N20" s="194">
        <f>IF(Entity_Unit_Costs[[#This Row],[Closing social housing units managed]]&gt;0,(Entity_Unit_Costs[[#This Row],[Major repairs expenditure]]+Entity_Unit_Costs[[#This Row],[Capitalised major repairs expenditure for period]])/Entity_Unit_Costs[[#This Row],[Closing social housing units managed]],"")</f>
        <v>0.40390181155536498</v>
      </c>
      <c r="O20" s="193">
        <v>0</v>
      </c>
      <c r="P20" s="193">
        <v>3768</v>
      </c>
      <c r="Q2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0.13141815843069996</v>
      </c>
      <c r="R20" s="193">
        <v>0</v>
      </c>
      <c r="S20" s="193">
        <v>0</v>
      </c>
      <c r="T20" s="193">
        <v>1226</v>
      </c>
      <c r="U20" s="193">
        <v>0</v>
      </c>
      <c r="V20" s="195">
        <v>0</v>
      </c>
      <c r="W20" s="183">
        <v>0</v>
      </c>
      <c r="X20" s="183">
        <v>6.8724456872445688E-2</v>
      </c>
      <c r="Y20" s="184" t="s">
        <v>1257</v>
      </c>
      <c r="Z20" s="185">
        <v>36556</v>
      </c>
      <c r="AA20" s="186" t="s">
        <v>1268</v>
      </c>
      <c r="AB20" s="187" t="s">
        <v>1260</v>
      </c>
      <c r="AC20" s="188">
        <v>0.91571465866526813</v>
      </c>
      <c r="AD20" s="186" t="s">
        <v>242</v>
      </c>
      <c r="AE20" s="187" t="s">
        <v>241</v>
      </c>
    </row>
    <row r="21" spans="1:31" x14ac:dyDescent="0.2">
      <c r="A21" s="189" t="s">
        <v>243</v>
      </c>
      <c r="B21" s="190" t="s">
        <v>244</v>
      </c>
      <c r="C21" s="196" t="s">
        <v>200</v>
      </c>
      <c r="D21" s="192">
        <v>6359</v>
      </c>
      <c r="E2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23915</v>
      </c>
      <c r="F21" s="194">
        <f>IF(Entity_Unit_Costs[[#This Row],[Closing social housing units managed]]&gt;0,Entity_Unit_Costs[[#This Row],[Headline Social Housing Cost]]/Entity_Unit_Costs[[#This Row],[Closing social housing units managed]],"")</f>
        <v>3.7608114483409341</v>
      </c>
      <c r="G21" s="194">
        <f>IF(Entity_Unit_Costs[[#This Row],[Closing social housing units managed]]&gt;0,Entity_Unit_Costs[[#This Row],[Management]]/Entity_Unit_Costs[[#This Row],[Closing social housing units managed]],"")</f>
        <v>1.3283535147035697</v>
      </c>
      <c r="H21" s="193">
        <v>8447</v>
      </c>
      <c r="I21" s="194">
        <f>IF(Entity_Unit_Costs[[#This Row],[Closing social housing units managed]]&gt;0,Entity_Unit_Costs[[#This Row],[Service charge costs]]/Entity_Unit_Costs[[#This Row],[Closing social housing units managed]],"")</f>
        <v>0.53404623368454163</v>
      </c>
      <c r="J21" s="193">
        <v>3396</v>
      </c>
      <c r="K21" s="194">
        <f>IF(Entity_Unit_Costs[[#This Row],[Closing social housing units managed]]&gt;0,(Entity_Unit_Costs[[#This Row],[Routine maintenance]]+Entity_Unit_Costs[[#This Row],[Planned maintenance]])/Entity_Unit_Costs[[#This Row],[Closing social housing units managed]],"")</f>
        <v>0.93426639408712064</v>
      </c>
      <c r="L21" s="193">
        <v>4458</v>
      </c>
      <c r="M21" s="193">
        <v>1483</v>
      </c>
      <c r="N21" s="194">
        <f>IF(Entity_Unit_Costs[[#This Row],[Closing social housing units managed]]&gt;0,(Entity_Unit_Costs[[#This Row],[Major repairs expenditure]]+Entity_Unit_Costs[[#This Row],[Capitalised major repairs expenditure for period]])/Entity_Unit_Costs[[#This Row],[Closing social housing units managed]],"")</f>
        <v>0.68548513917282594</v>
      </c>
      <c r="O21" s="193">
        <v>130</v>
      </c>
      <c r="P21" s="193">
        <v>4229</v>
      </c>
      <c r="Q2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0.27866016669287624</v>
      </c>
      <c r="R21" s="193">
        <v>0</v>
      </c>
      <c r="S21" s="193">
        <v>0</v>
      </c>
      <c r="T21" s="193">
        <v>1372</v>
      </c>
      <c r="U21" s="193">
        <v>400</v>
      </c>
      <c r="V21" s="195">
        <v>0</v>
      </c>
      <c r="W21" s="183">
        <v>5.7015521745812203E-2</v>
      </c>
      <c r="X21" s="183">
        <v>0.21392346703550022</v>
      </c>
      <c r="Y21" s="184" t="s">
        <v>1256</v>
      </c>
      <c r="Z21" s="185"/>
      <c r="AA21" s="186" t="s">
        <v>1279</v>
      </c>
      <c r="AB21" s="187" t="s">
        <v>1267</v>
      </c>
      <c r="AC21" s="188">
        <v>1.1507785545795604</v>
      </c>
      <c r="AD21" s="186" t="s">
        <v>1224</v>
      </c>
      <c r="AE21" s="187" t="s">
        <v>246</v>
      </c>
    </row>
    <row r="22" spans="1:31" x14ac:dyDescent="0.2">
      <c r="A22" s="197">
        <v>4691</v>
      </c>
      <c r="B22" s="190" t="s">
        <v>248</v>
      </c>
      <c r="C22" s="196" t="s">
        <v>200</v>
      </c>
      <c r="D22" s="192">
        <v>19814</v>
      </c>
      <c r="E2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58781</v>
      </c>
      <c r="F22" s="194">
        <f>IF(Entity_Unit_Costs[[#This Row],[Closing social housing units managed]]&gt;0,Entity_Unit_Costs[[#This Row],[Headline Social Housing Cost]]/Entity_Unit_Costs[[#This Row],[Closing social housing units managed]],"")</f>
        <v>2.9666397496719492</v>
      </c>
      <c r="G22" s="194">
        <f>IF(Entity_Unit_Costs[[#This Row],[Closing social housing units managed]]&gt;0,Entity_Unit_Costs[[#This Row],[Management]]/Entity_Unit_Costs[[#This Row],[Closing social housing units managed]],"")</f>
        <v>0.88371858282022808</v>
      </c>
      <c r="H22" s="193">
        <v>17510</v>
      </c>
      <c r="I22" s="194">
        <f>IF(Entity_Unit_Costs[[#This Row],[Closing social housing units managed]]&gt;0,Entity_Unit_Costs[[#This Row],[Service charge costs]]/Entity_Unit_Costs[[#This Row],[Closing social housing units managed]],"")</f>
        <v>0.24750176642777832</v>
      </c>
      <c r="J22" s="193">
        <v>4904</v>
      </c>
      <c r="K22" s="194">
        <f>IF(Entity_Unit_Costs[[#This Row],[Closing social housing units managed]]&gt;0,(Entity_Unit_Costs[[#This Row],[Routine maintenance]]+Entity_Unit_Costs[[#This Row],[Planned maintenance]])/Entity_Unit_Costs[[#This Row],[Closing social housing units managed]],"")</f>
        <v>0.67321086100736849</v>
      </c>
      <c r="L22" s="193">
        <v>8574</v>
      </c>
      <c r="M22" s="193">
        <v>4765</v>
      </c>
      <c r="N22" s="194">
        <f>IF(Entity_Unit_Costs[[#This Row],[Closing social housing units managed]]&gt;0,(Entity_Unit_Costs[[#This Row],[Major repairs expenditure]]+Entity_Unit_Costs[[#This Row],[Capitalised major repairs expenditure for period]])/Entity_Unit_Costs[[#This Row],[Closing social housing units managed]],"")</f>
        <v>0.97638033713535888</v>
      </c>
      <c r="O22" s="193">
        <v>10246</v>
      </c>
      <c r="P22" s="193">
        <v>9100</v>
      </c>
      <c r="Q2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0.1858282022812153</v>
      </c>
      <c r="R22" s="193">
        <v>0</v>
      </c>
      <c r="S22" s="193">
        <v>2541</v>
      </c>
      <c r="T22" s="193">
        <v>836</v>
      </c>
      <c r="U22" s="193">
        <v>0</v>
      </c>
      <c r="V22" s="195">
        <v>305</v>
      </c>
      <c r="W22" s="183">
        <v>3.6007580543272265E-2</v>
      </c>
      <c r="X22" s="183">
        <v>6.7066750894925253E-2</v>
      </c>
      <c r="Y22" s="184" t="s">
        <v>1257</v>
      </c>
      <c r="Z22" s="185">
        <v>36612</v>
      </c>
      <c r="AA22" s="186" t="s">
        <v>1268</v>
      </c>
      <c r="AB22" s="187" t="s">
        <v>1265</v>
      </c>
      <c r="AC22" s="188">
        <v>0.98090737556025809</v>
      </c>
      <c r="AD22" s="186" t="s">
        <v>1225</v>
      </c>
      <c r="AE22" s="187" t="s">
        <v>250</v>
      </c>
    </row>
    <row r="23" spans="1:31" x14ac:dyDescent="0.2">
      <c r="A23" s="189" t="s">
        <v>14</v>
      </c>
      <c r="B23" s="190" t="s">
        <v>13</v>
      </c>
      <c r="C23" s="196" t="s">
        <v>200</v>
      </c>
      <c r="D23" s="192">
        <v>2268</v>
      </c>
      <c r="E2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10377</v>
      </c>
      <c r="F23" s="194">
        <f>IF(Entity_Unit_Costs[[#This Row],[Closing social housing units managed]]&gt;0,Entity_Unit_Costs[[#This Row],[Headline Social Housing Cost]]/Entity_Unit_Costs[[#This Row],[Closing social housing units managed]],"")</f>
        <v>4.5753968253968251</v>
      </c>
      <c r="G23" s="194">
        <f>IF(Entity_Unit_Costs[[#This Row],[Closing social housing units managed]]&gt;0,Entity_Unit_Costs[[#This Row],[Management]]/Entity_Unit_Costs[[#This Row],[Closing social housing units managed]],"")</f>
        <v>0.66578483245149911</v>
      </c>
      <c r="H23" s="193">
        <v>1510</v>
      </c>
      <c r="I23" s="194">
        <f>IF(Entity_Unit_Costs[[#This Row],[Closing social housing units managed]]&gt;0,Entity_Unit_Costs[[#This Row],[Service charge costs]]/Entity_Unit_Costs[[#This Row],[Closing social housing units managed]],"")</f>
        <v>1.8104056437389771</v>
      </c>
      <c r="J23" s="193">
        <v>4106</v>
      </c>
      <c r="K23" s="194">
        <f>IF(Entity_Unit_Costs[[#This Row],[Closing social housing units managed]]&gt;0,(Entity_Unit_Costs[[#This Row],[Routine maintenance]]+Entity_Unit_Costs[[#This Row],[Planned maintenance]])/Entity_Unit_Costs[[#This Row],[Closing social housing units managed]],"")</f>
        <v>0.8928571428571429</v>
      </c>
      <c r="L23" s="193">
        <v>992</v>
      </c>
      <c r="M23" s="193">
        <v>1033</v>
      </c>
      <c r="N23" s="194">
        <f>IF(Entity_Unit_Costs[[#This Row],[Closing social housing units managed]]&gt;0,(Entity_Unit_Costs[[#This Row],[Major repairs expenditure]]+Entity_Unit_Costs[[#This Row],[Capitalised major repairs expenditure for period]])/Entity_Unit_Costs[[#This Row],[Closing social housing units managed]],"")</f>
        <v>0.58862433862433861</v>
      </c>
      <c r="O23" s="193">
        <v>254</v>
      </c>
      <c r="P23" s="193">
        <v>1081</v>
      </c>
      <c r="Q2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0.61772486772486768</v>
      </c>
      <c r="R23" s="193">
        <v>0</v>
      </c>
      <c r="S23" s="193">
        <v>1401</v>
      </c>
      <c r="T23" s="193">
        <v>0</v>
      </c>
      <c r="U23" s="193">
        <v>0</v>
      </c>
      <c r="V23" s="195">
        <v>0</v>
      </c>
      <c r="W23" s="183">
        <v>0.11732851985559567</v>
      </c>
      <c r="X23" s="183">
        <v>0.23104693140794225</v>
      </c>
      <c r="Y23" s="184" t="s">
        <v>1256</v>
      </c>
      <c r="Z23" s="185"/>
      <c r="AA23" s="186" t="s">
        <v>1279</v>
      </c>
      <c r="AB23" s="187" t="s">
        <v>1263</v>
      </c>
      <c r="AC23" s="188">
        <v>0.9935960888839328</v>
      </c>
      <c r="AD23" s="186" t="s">
        <v>14</v>
      </c>
      <c r="AE23" s="187" t="s">
        <v>13</v>
      </c>
    </row>
    <row r="24" spans="1:31" x14ac:dyDescent="0.2">
      <c r="A24" s="189" t="s">
        <v>16</v>
      </c>
      <c r="B24" s="190" t="s">
        <v>15</v>
      </c>
      <c r="C24" s="196" t="s">
        <v>200</v>
      </c>
      <c r="D24" s="192">
        <v>4568</v>
      </c>
      <c r="E2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12490</v>
      </c>
      <c r="F24" s="194">
        <f>IF(Entity_Unit_Costs[[#This Row],[Closing social housing units managed]]&gt;0,Entity_Unit_Costs[[#This Row],[Headline Social Housing Cost]]/Entity_Unit_Costs[[#This Row],[Closing social housing units managed]],"")</f>
        <v>2.7342381786339756</v>
      </c>
      <c r="G24" s="194">
        <f>IF(Entity_Unit_Costs[[#This Row],[Closing social housing units managed]]&gt;0,Entity_Unit_Costs[[#This Row],[Management]]/Entity_Unit_Costs[[#This Row],[Closing social housing units managed]],"")</f>
        <v>1.0181698774080561</v>
      </c>
      <c r="H24" s="193">
        <v>4651</v>
      </c>
      <c r="I24" s="194">
        <f>IF(Entity_Unit_Costs[[#This Row],[Closing social housing units managed]]&gt;0,Entity_Unit_Costs[[#This Row],[Service charge costs]]/Entity_Unit_Costs[[#This Row],[Closing social housing units managed]],"")</f>
        <v>0.59654115586690015</v>
      </c>
      <c r="J24" s="193">
        <v>2725</v>
      </c>
      <c r="K24" s="194">
        <f>IF(Entity_Unit_Costs[[#This Row],[Closing social housing units managed]]&gt;0,(Entity_Unit_Costs[[#This Row],[Routine maintenance]]+Entity_Unit_Costs[[#This Row],[Planned maintenance]])/Entity_Unit_Costs[[#This Row],[Closing social housing units managed]],"")</f>
        <v>0.67075306479859897</v>
      </c>
      <c r="L24" s="193">
        <v>1905</v>
      </c>
      <c r="M24" s="193">
        <v>1159</v>
      </c>
      <c r="N24" s="194">
        <f>IF(Entity_Unit_Costs[[#This Row],[Closing social housing units managed]]&gt;0,(Entity_Unit_Costs[[#This Row],[Major repairs expenditure]]+Entity_Unit_Costs[[#This Row],[Capitalised major repairs expenditure for period]])/Entity_Unit_Costs[[#This Row],[Closing social housing units managed]],"")</f>
        <v>0.40433450087565675</v>
      </c>
      <c r="O24" s="193">
        <v>0</v>
      </c>
      <c r="P24" s="193">
        <v>1847</v>
      </c>
      <c r="Q2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4.4439579684763572E-2</v>
      </c>
      <c r="R24" s="193">
        <v>117</v>
      </c>
      <c r="S24" s="193">
        <v>86</v>
      </c>
      <c r="T24" s="193">
        <v>0</v>
      </c>
      <c r="U24" s="193">
        <v>0</v>
      </c>
      <c r="V24" s="195">
        <v>0</v>
      </c>
      <c r="W24" s="183">
        <v>0</v>
      </c>
      <c r="X24" s="183">
        <v>8.2943317732709312E-2</v>
      </c>
      <c r="Y24" s="184" t="s">
        <v>1257</v>
      </c>
      <c r="Z24" s="185">
        <v>38740</v>
      </c>
      <c r="AA24" s="186" t="s">
        <v>1280</v>
      </c>
      <c r="AB24" s="187" t="s">
        <v>1263</v>
      </c>
      <c r="AC24" s="188">
        <v>1.0022399874355168</v>
      </c>
      <c r="AD24" s="186" t="s">
        <v>16</v>
      </c>
      <c r="AE24" s="187" t="s">
        <v>15</v>
      </c>
    </row>
    <row r="25" spans="1:31" x14ac:dyDescent="0.2">
      <c r="A25" s="189" t="s">
        <v>18</v>
      </c>
      <c r="B25" s="190" t="s">
        <v>17</v>
      </c>
      <c r="C25" s="191" t="s">
        <v>200</v>
      </c>
      <c r="D25" s="192">
        <v>1370</v>
      </c>
      <c r="E2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2066</v>
      </c>
      <c r="F25" s="194">
        <f>IF(Entity_Unit_Costs[[#This Row],[Closing social housing units managed]]&gt;0,Entity_Unit_Costs[[#This Row],[Headline Social Housing Cost]]/Entity_Unit_Costs[[#This Row],[Closing social housing units managed]],"")</f>
        <v>1.5080291970802919</v>
      </c>
      <c r="G25" s="194">
        <f>IF(Entity_Unit_Costs[[#This Row],[Closing social housing units managed]]&gt;0,Entity_Unit_Costs[[#This Row],[Management]]/Entity_Unit_Costs[[#This Row],[Closing social housing units managed]],"")</f>
        <v>0.40802919708029195</v>
      </c>
      <c r="H25" s="193">
        <v>559</v>
      </c>
      <c r="I25" s="194">
        <f>IF(Entity_Unit_Costs[[#This Row],[Closing social housing units managed]]&gt;0,Entity_Unit_Costs[[#This Row],[Service charge costs]]/Entity_Unit_Costs[[#This Row],[Closing social housing units managed]],"")</f>
        <v>0.55547445255474448</v>
      </c>
      <c r="J25" s="193">
        <v>761</v>
      </c>
      <c r="K25" s="194">
        <f>IF(Entity_Unit_Costs[[#This Row],[Closing social housing units managed]]&gt;0,(Entity_Unit_Costs[[#This Row],[Routine maintenance]]+Entity_Unit_Costs[[#This Row],[Planned maintenance]])/Entity_Unit_Costs[[#This Row],[Closing social housing units managed]],"")</f>
        <v>0.38321167883211676</v>
      </c>
      <c r="L25" s="193">
        <v>231</v>
      </c>
      <c r="M25" s="193">
        <v>294</v>
      </c>
      <c r="N25" s="194">
        <f>IF(Entity_Unit_Costs[[#This Row],[Closing social housing units managed]]&gt;0,(Entity_Unit_Costs[[#This Row],[Major repairs expenditure]]+Entity_Unit_Costs[[#This Row],[Capitalised major repairs expenditure for period]])/Entity_Unit_Costs[[#This Row],[Closing social housing units managed]],"")</f>
        <v>0.12992700729927006</v>
      </c>
      <c r="O25" s="193">
        <v>15</v>
      </c>
      <c r="P25" s="193">
        <v>163</v>
      </c>
      <c r="Q2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3.1386861313868614E-2</v>
      </c>
      <c r="R25" s="193">
        <v>43</v>
      </c>
      <c r="S25" s="193">
        <v>0</v>
      </c>
      <c r="T25" s="193">
        <v>0</v>
      </c>
      <c r="U25" s="193">
        <v>0</v>
      </c>
      <c r="V25" s="195">
        <v>0</v>
      </c>
      <c r="W25" s="183">
        <v>0</v>
      </c>
      <c r="X25" s="183">
        <v>0.18293755496921724</v>
      </c>
      <c r="Y25" s="184" t="s">
        <v>1256</v>
      </c>
      <c r="Z25" s="185"/>
      <c r="AA25" s="186" t="s">
        <v>1279</v>
      </c>
      <c r="AB25" s="187" t="s">
        <v>1262</v>
      </c>
      <c r="AC25" s="188">
        <v>0.9156653862445665</v>
      </c>
      <c r="AD25" s="186" t="s">
        <v>1223</v>
      </c>
      <c r="AE25" s="187" t="s">
        <v>220</v>
      </c>
    </row>
    <row r="26" spans="1:31" x14ac:dyDescent="0.2">
      <c r="A26" s="189" t="s">
        <v>253</v>
      </c>
      <c r="B26" s="190" t="s">
        <v>254</v>
      </c>
      <c r="C26" s="196" t="s">
        <v>200</v>
      </c>
      <c r="D26" s="192">
        <v>1944</v>
      </c>
      <c r="E2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6988</v>
      </c>
      <c r="F26" s="194">
        <f>IF(Entity_Unit_Costs[[#This Row],[Closing social housing units managed]]&gt;0,Entity_Unit_Costs[[#This Row],[Headline Social Housing Cost]]/Entity_Unit_Costs[[#This Row],[Closing social housing units managed]],"")</f>
        <v>3.594650205761317</v>
      </c>
      <c r="G26" s="194">
        <f>IF(Entity_Unit_Costs[[#This Row],[Closing social housing units managed]]&gt;0,Entity_Unit_Costs[[#This Row],[Management]]/Entity_Unit_Costs[[#This Row],[Closing social housing units managed]],"")</f>
        <v>0.53600823045267487</v>
      </c>
      <c r="H26" s="193">
        <v>1042</v>
      </c>
      <c r="I26" s="194">
        <f>IF(Entity_Unit_Costs[[#This Row],[Closing social housing units managed]]&gt;0,Entity_Unit_Costs[[#This Row],[Service charge costs]]/Entity_Unit_Costs[[#This Row],[Closing social housing units managed]],"")</f>
        <v>0.12345679012345678</v>
      </c>
      <c r="J26" s="193">
        <v>240</v>
      </c>
      <c r="K26" s="194">
        <f>IF(Entity_Unit_Costs[[#This Row],[Closing social housing units managed]]&gt;0,(Entity_Unit_Costs[[#This Row],[Routine maintenance]]+Entity_Unit_Costs[[#This Row],[Planned maintenance]])/Entity_Unit_Costs[[#This Row],[Closing social housing units managed]],"")</f>
        <v>1.0740740740740742</v>
      </c>
      <c r="L26" s="193">
        <v>1475</v>
      </c>
      <c r="M26" s="193">
        <v>613</v>
      </c>
      <c r="N26" s="194">
        <f>IF(Entity_Unit_Costs[[#This Row],[Closing social housing units managed]]&gt;0,(Entity_Unit_Costs[[#This Row],[Major repairs expenditure]]+Entity_Unit_Costs[[#This Row],[Capitalised major repairs expenditure for period]])/Entity_Unit_Costs[[#This Row],[Closing social housing units managed]],"")</f>
        <v>1.4089506172839505</v>
      </c>
      <c r="O26" s="193">
        <v>835</v>
      </c>
      <c r="P26" s="193">
        <v>1904</v>
      </c>
      <c r="Q2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0.4521604938271605</v>
      </c>
      <c r="R26" s="193">
        <v>770</v>
      </c>
      <c r="S26" s="193">
        <v>0</v>
      </c>
      <c r="T26" s="193">
        <v>109</v>
      </c>
      <c r="U26" s="193">
        <v>0</v>
      </c>
      <c r="V26" s="195">
        <v>0</v>
      </c>
      <c r="W26" s="183">
        <v>1.5432098765432098E-3</v>
      </c>
      <c r="X26" s="183">
        <v>3.0864197530864196E-2</v>
      </c>
      <c r="Y26" s="184" t="s">
        <v>1257</v>
      </c>
      <c r="Z26" s="185">
        <v>39755</v>
      </c>
      <c r="AA26" s="186" t="s">
        <v>1280</v>
      </c>
      <c r="AB26" s="187" t="s">
        <v>1266</v>
      </c>
      <c r="AC26" s="188">
        <v>0.9026647648742484</v>
      </c>
      <c r="AD26" s="186" t="s">
        <v>1226</v>
      </c>
      <c r="AE26" s="187" t="s">
        <v>252</v>
      </c>
    </row>
    <row r="27" spans="1:31" x14ac:dyDescent="0.2">
      <c r="A27" s="189" t="s">
        <v>20</v>
      </c>
      <c r="B27" s="190" t="s">
        <v>19</v>
      </c>
      <c r="C27" s="196" t="s">
        <v>200</v>
      </c>
      <c r="D27" s="192">
        <v>1968</v>
      </c>
      <c r="E2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6489</v>
      </c>
      <c r="F27" s="194">
        <f>IF(Entity_Unit_Costs[[#This Row],[Closing social housing units managed]]&gt;0,Entity_Unit_Costs[[#This Row],[Headline Social Housing Cost]]/Entity_Unit_Costs[[#This Row],[Closing social housing units managed]],"")</f>
        <v>3.2972560975609757</v>
      </c>
      <c r="G27" s="194">
        <f>IF(Entity_Unit_Costs[[#This Row],[Closing social housing units managed]]&gt;0,Entity_Unit_Costs[[#This Row],[Management]]/Entity_Unit_Costs[[#This Row],[Closing social housing units managed]],"")</f>
        <v>1.252540650406504</v>
      </c>
      <c r="H27" s="193">
        <v>2465</v>
      </c>
      <c r="I27" s="194">
        <f>IF(Entity_Unit_Costs[[#This Row],[Closing social housing units managed]]&gt;0,Entity_Unit_Costs[[#This Row],[Service charge costs]]/Entity_Unit_Costs[[#This Row],[Closing social housing units managed]],"")</f>
        <v>0.55995934959349591</v>
      </c>
      <c r="J27" s="193">
        <v>1102</v>
      </c>
      <c r="K27" s="194">
        <f>IF(Entity_Unit_Costs[[#This Row],[Closing social housing units managed]]&gt;0,(Entity_Unit_Costs[[#This Row],[Routine maintenance]]+Entity_Unit_Costs[[#This Row],[Planned maintenance]])/Entity_Unit_Costs[[#This Row],[Closing social housing units managed]],"")</f>
        <v>1.1143292682926829</v>
      </c>
      <c r="L27" s="193">
        <v>1873</v>
      </c>
      <c r="M27" s="193">
        <v>320</v>
      </c>
      <c r="N27" s="194">
        <f>IF(Entity_Unit_Costs[[#This Row],[Closing social housing units managed]]&gt;0,(Entity_Unit_Costs[[#This Row],[Major repairs expenditure]]+Entity_Unit_Costs[[#This Row],[Capitalised major repairs expenditure for period]])/Entity_Unit_Costs[[#This Row],[Closing social housing units managed]],"")</f>
        <v>0.32977642276422764</v>
      </c>
      <c r="O27" s="193">
        <v>0</v>
      </c>
      <c r="P27" s="193">
        <v>649</v>
      </c>
      <c r="Q2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4.065040650406504E-2</v>
      </c>
      <c r="R27" s="193">
        <v>0</v>
      </c>
      <c r="S27" s="193">
        <v>80</v>
      </c>
      <c r="T27" s="193">
        <v>0</v>
      </c>
      <c r="U27" s="193">
        <v>0</v>
      </c>
      <c r="V27" s="195">
        <v>0</v>
      </c>
      <c r="W27" s="183">
        <v>4.2333019755409221E-2</v>
      </c>
      <c r="X27" s="183">
        <v>0.15333960489181561</v>
      </c>
      <c r="Y27" s="184" t="s">
        <v>1256</v>
      </c>
      <c r="Z27" s="185"/>
      <c r="AA27" s="186" t="s">
        <v>1279</v>
      </c>
      <c r="AB27" s="187" t="s">
        <v>1260</v>
      </c>
      <c r="AC27" s="188">
        <v>0.91571558169387279</v>
      </c>
      <c r="AD27" s="186" t="s">
        <v>20</v>
      </c>
      <c r="AE27" s="187" t="s">
        <v>19</v>
      </c>
    </row>
    <row r="28" spans="1:31" x14ac:dyDescent="0.2">
      <c r="A28" s="197">
        <v>4568</v>
      </c>
      <c r="B28" s="190" t="s">
        <v>256</v>
      </c>
      <c r="C28" s="196" t="s">
        <v>200</v>
      </c>
      <c r="D28" s="192">
        <v>17846</v>
      </c>
      <c r="E2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71104</v>
      </c>
      <c r="F28" s="194">
        <f>IF(Entity_Unit_Costs[[#This Row],[Closing social housing units managed]]&gt;0,Entity_Unit_Costs[[#This Row],[Headline Social Housing Cost]]/Entity_Unit_Costs[[#This Row],[Closing social housing units managed]],"")</f>
        <v>3.9843102095707721</v>
      </c>
      <c r="G28" s="194">
        <f>IF(Entity_Unit_Costs[[#This Row],[Closing social housing units managed]]&gt;0,Entity_Unit_Costs[[#This Row],[Management]]/Entity_Unit_Costs[[#This Row],[Closing social housing units managed]],"")</f>
        <v>1.5475176510142328</v>
      </c>
      <c r="H28" s="193">
        <v>27617</v>
      </c>
      <c r="I28" s="194">
        <f>IF(Entity_Unit_Costs[[#This Row],[Closing social housing units managed]]&gt;0,Entity_Unit_Costs[[#This Row],[Service charge costs]]/Entity_Unit_Costs[[#This Row],[Closing social housing units managed]],"")</f>
        <v>0.21713549254734954</v>
      </c>
      <c r="J28" s="193">
        <v>3875</v>
      </c>
      <c r="K28" s="194">
        <f>IF(Entity_Unit_Costs[[#This Row],[Closing social housing units managed]]&gt;0,(Entity_Unit_Costs[[#This Row],[Routine maintenance]]+Entity_Unit_Costs[[#This Row],[Planned maintenance]])/Entity_Unit_Costs[[#This Row],[Closing social housing units managed]],"")</f>
        <v>1.2628600246553849</v>
      </c>
      <c r="L28" s="193">
        <v>15244</v>
      </c>
      <c r="M28" s="193">
        <v>7293</v>
      </c>
      <c r="N28" s="194">
        <f>IF(Entity_Unit_Costs[[#This Row],[Closing social housing units managed]]&gt;0,(Entity_Unit_Costs[[#This Row],[Major repairs expenditure]]+Entity_Unit_Costs[[#This Row],[Capitalised major repairs expenditure for period]])/Entity_Unit_Costs[[#This Row],[Closing social housing units managed]],"")</f>
        <v>0.64003137958085843</v>
      </c>
      <c r="O28" s="193">
        <v>0</v>
      </c>
      <c r="P28" s="193">
        <v>11422</v>
      </c>
      <c r="Q2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0.31676566177294629</v>
      </c>
      <c r="R28" s="193">
        <v>0</v>
      </c>
      <c r="S28" s="193">
        <v>2331</v>
      </c>
      <c r="T28" s="193">
        <v>3322</v>
      </c>
      <c r="U28" s="193">
        <v>0</v>
      </c>
      <c r="V28" s="195">
        <v>0</v>
      </c>
      <c r="W28" s="183">
        <v>6.658832745789268E-3</v>
      </c>
      <c r="X28" s="183">
        <v>0.14291309943483857</v>
      </c>
      <c r="Y28" s="184" t="s">
        <v>1257</v>
      </c>
      <c r="Z28" s="185">
        <v>40630</v>
      </c>
      <c r="AA28" s="186" t="s">
        <v>1269</v>
      </c>
      <c r="AB28" s="187" t="s">
        <v>1262</v>
      </c>
      <c r="AC28" s="188">
        <v>0.9156653862445665</v>
      </c>
      <c r="AD28" s="186">
        <v>4568</v>
      </c>
      <c r="AE28" s="187" t="s">
        <v>256</v>
      </c>
    </row>
    <row r="29" spans="1:31" x14ac:dyDescent="0.2">
      <c r="A29" s="189" t="s">
        <v>23</v>
      </c>
      <c r="B29" s="190" t="s">
        <v>22</v>
      </c>
      <c r="C29" s="191" t="s">
        <v>200</v>
      </c>
      <c r="D29" s="192">
        <v>4749</v>
      </c>
      <c r="E2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15322</v>
      </c>
      <c r="F29" s="194">
        <f>IF(Entity_Unit_Costs[[#This Row],[Closing social housing units managed]]&gt;0,Entity_Unit_Costs[[#This Row],[Headline Social Housing Cost]]/Entity_Unit_Costs[[#This Row],[Closing social housing units managed]],"")</f>
        <v>3.2263634449357759</v>
      </c>
      <c r="G29" s="194">
        <f>IF(Entity_Unit_Costs[[#This Row],[Closing social housing units managed]]&gt;0,Entity_Unit_Costs[[#This Row],[Management]]/Entity_Unit_Costs[[#This Row],[Closing social housing units managed]],"")</f>
        <v>1.1166561381343441</v>
      </c>
      <c r="H29" s="193">
        <v>5303</v>
      </c>
      <c r="I29" s="194">
        <f>IF(Entity_Unit_Costs[[#This Row],[Closing social housing units managed]]&gt;0,Entity_Unit_Costs[[#This Row],[Service charge costs]]/Entity_Unit_Costs[[#This Row],[Closing social housing units managed]],"")</f>
        <v>0.3710254790482207</v>
      </c>
      <c r="J29" s="193">
        <v>1762</v>
      </c>
      <c r="K29" s="194">
        <f>IF(Entity_Unit_Costs[[#This Row],[Closing social housing units managed]]&gt;0,(Entity_Unit_Costs[[#This Row],[Routine maintenance]]+Entity_Unit_Costs[[#This Row],[Planned maintenance]])/Entity_Unit_Costs[[#This Row],[Closing social housing units managed]],"")</f>
        <v>0.74289324068224893</v>
      </c>
      <c r="L29" s="193">
        <v>2104</v>
      </c>
      <c r="M29" s="193">
        <v>1424</v>
      </c>
      <c r="N29" s="194">
        <f>IF(Entity_Unit_Costs[[#This Row],[Closing social housing units managed]]&gt;0,(Entity_Unit_Costs[[#This Row],[Major repairs expenditure]]+Entity_Unit_Costs[[#This Row],[Capitalised major repairs expenditure for period]])/Entity_Unit_Costs[[#This Row],[Closing social housing units managed]],"")</f>
        <v>0.983575489576753</v>
      </c>
      <c r="O29" s="193">
        <v>579</v>
      </c>
      <c r="P29" s="193">
        <v>4092</v>
      </c>
      <c r="Q2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1.2213097494209308E-2</v>
      </c>
      <c r="R29" s="193">
        <v>0</v>
      </c>
      <c r="S29" s="193">
        <v>58</v>
      </c>
      <c r="T29" s="193">
        <v>0</v>
      </c>
      <c r="U29" s="193">
        <v>0</v>
      </c>
      <c r="V29" s="195">
        <v>0</v>
      </c>
      <c r="W29" s="183">
        <v>4.3431053203040176E-3</v>
      </c>
      <c r="X29" s="183">
        <v>0.1986970684039088</v>
      </c>
      <c r="Y29" s="184" t="s">
        <v>1257</v>
      </c>
      <c r="Z29" s="185">
        <v>36493</v>
      </c>
      <c r="AA29" s="186" t="s">
        <v>1268</v>
      </c>
      <c r="AB29" s="187" t="s">
        <v>1261</v>
      </c>
      <c r="AC29" s="188">
        <v>0.92038375847935372</v>
      </c>
      <c r="AD29" s="186" t="s">
        <v>23</v>
      </c>
      <c r="AE29" s="187" t="s">
        <v>22</v>
      </c>
    </row>
    <row r="30" spans="1:31" x14ac:dyDescent="0.2">
      <c r="A30" s="189" t="s">
        <v>261</v>
      </c>
      <c r="B30" s="190" t="s">
        <v>260</v>
      </c>
      <c r="C30" s="191" t="s">
        <v>200</v>
      </c>
      <c r="D30" s="192">
        <v>1545</v>
      </c>
      <c r="E3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16487</v>
      </c>
      <c r="F30" s="194">
        <f>IF(Entity_Unit_Costs[[#This Row],[Closing social housing units managed]]&gt;0,Entity_Unit_Costs[[#This Row],[Headline Social Housing Cost]]/Entity_Unit_Costs[[#This Row],[Closing social housing units managed]],"")</f>
        <v>10.671197411003236</v>
      </c>
      <c r="G30" s="194">
        <f>IF(Entity_Unit_Costs[[#This Row],[Closing social housing units managed]]&gt;0,Entity_Unit_Costs[[#This Row],[Management]]/Entity_Unit_Costs[[#This Row],[Closing social housing units managed]],"")</f>
        <v>0.94822006472491904</v>
      </c>
      <c r="H30" s="193">
        <v>1465</v>
      </c>
      <c r="I30" s="194">
        <f>IF(Entity_Unit_Costs[[#This Row],[Closing social housing units managed]]&gt;0,Entity_Unit_Costs[[#This Row],[Service charge costs]]/Entity_Unit_Costs[[#This Row],[Closing social housing units managed]],"")</f>
        <v>2.6912621359223299</v>
      </c>
      <c r="J30" s="193">
        <v>4158</v>
      </c>
      <c r="K30" s="194">
        <f>IF(Entity_Unit_Costs[[#This Row],[Closing social housing units managed]]&gt;0,(Entity_Unit_Costs[[#This Row],[Routine maintenance]]+Entity_Unit_Costs[[#This Row],[Planned maintenance]])/Entity_Unit_Costs[[#This Row],[Closing social housing units managed]],"")</f>
        <v>1.2284789644012946</v>
      </c>
      <c r="L30" s="193">
        <v>1898</v>
      </c>
      <c r="M30" s="193">
        <v>0</v>
      </c>
      <c r="N30" s="194">
        <f>IF(Entity_Unit_Costs[[#This Row],[Closing social housing units managed]]&gt;0,(Entity_Unit_Costs[[#This Row],[Major repairs expenditure]]+Entity_Unit_Costs[[#This Row],[Capitalised major repairs expenditure for period]])/Entity_Unit_Costs[[#This Row],[Closing social housing units managed]],"")</f>
        <v>0.5889967637540453</v>
      </c>
      <c r="O30" s="193">
        <v>648</v>
      </c>
      <c r="P30" s="193">
        <v>262</v>
      </c>
      <c r="Q3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5.2142394822006475</v>
      </c>
      <c r="R30" s="193">
        <v>3965</v>
      </c>
      <c r="S30" s="193">
        <v>4091</v>
      </c>
      <c r="T30" s="193">
        <v>0</v>
      </c>
      <c r="U30" s="193">
        <v>0</v>
      </c>
      <c r="V30" s="195">
        <v>0</v>
      </c>
      <c r="W30" s="183">
        <v>0.375</v>
      </c>
      <c r="X30" s="183">
        <v>8.3333333333333329E-2</v>
      </c>
      <c r="Y30" s="184" t="s">
        <v>1256</v>
      </c>
      <c r="Z30" s="185"/>
      <c r="AA30" s="186" t="s">
        <v>1279</v>
      </c>
      <c r="AB30" s="187" t="s">
        <v>1265</v>
      </c>
      <c r="AC30" s="188">
        <v>0.96743818640145196</v>
      </c>
      <c r="AD30" s="186" t="s">
        <v>261</v>
      </c>
      <c r="AE30" s="187" t="s">
        <v>260</v>
      </c>
    </row>
    <row r="31" spans="1:31" x14ac:dyDescent="0.2">
      <c r="A31" s="189" t="s">
        <v>25</v>
      </c>
      <c r="B31" s="190" t="s">
        <v>24</v>
      </c>
      <c r="C31" s="196" t="s">
        <v>201</v>
      </c>
      <c r="D31" s="192">
        <v>3939</v>
      </c>
      <c r="E3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14551</v>
      </c>
      <c r="F31" s="194">
        <f>IF(Entity_Unit_Costs[[#This Row],[Closing social housing units managed]]&gt;0,Entity_Unit_Costs[[#This Row],[Headline Social Housing Cost]]/Entity_Unit_Costs[[#This Row],[Closing social housing units managed]],"")</f>
        <v>3.6940847930946941</v>
      </c>
      <c r="G31" s="194">
        <f>IF(Entity_Unit_Costs[[#This Row],[Closing social housing units managed]]&gt;0,Entity_Unit_Costs[[#This Row],[Management]]/Entity_Unit_Costs[[#This Row],[Closing social housing units managed]],"")</f>
        <v>0.79436405178979441</v>
      </c>
      <c r="H31" s="193">
        <v>3129</v>
      </c>
      <c r="I31" s="194">
        <f>IF(Entity_Unit_Costs[[#This Row],[Closing social housing units managed]]&gt;0,Entity_Unit_Costs[[#This Row],[Service charge costs]]/Entity_Unit_Costs[[#This Row],[Closing social housing units managed]],"")</f>
        <v>0.77557755775577553</v>
      </c>
      <c r="J31" s="193">
        <v>3055</v>
      </c>
      <c r="K31" s="194">
        <f>IF(Entity_Unit_Costs[[#This Row],[Closing social housing units managed]]&gt;0,(Entity_Unit_Costs[[#This Row],[Routine maintenance]]+Entity_Unit_Costs[[#This Row],[Planned maintenance]])/Entity_Unit_Costs[[#This Row],[Closing social housing units managed]],"")</f>
        <v>1.1162731657781162</v>
      </c>
      <c r="L31" s="193">
        <v>3243</v>
      </c>
      <c r="M31" s="193">
        <v>1154</v>
      </c>
      <c r="N31" s="194">
        <f>IF(Entity_Unit_Costs[[#This Row],[Closing social housing units managed]]&gt;0,(Entity_Unit_Costs[[#This Row],[Major repairs expenditure]]+Entity_Unit_Costs[[#This Row],[Capitalised major repairs expenditure for period]])/Entity_Unit_Costs[[#This Row],[Closing social housing units managed]],"")</f>
        <v>0.83396801218583394</v>
      </c>
      <c r="O31" s="193">
        <v>1194</v>
      </c>
      <c r="P31" s="193">
        <v>2091</v>
      </c>
      <c r="Q3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0.17390200558517391</v>
      </c>
      <c r="R31" s="193">
        <v>47</v>
      </c>
      <c r="S31" s="193">
        <v>0</v>
      </c>
      <c r="T31" s="193">
        <v>638</v>
      </c>
      <c r="U31" s="193">
        <v>0</v>
      </c>
      <c r="V31" s="195">
        <v>0</v>
      </c>
      <c r="W31" s="183">
        <v>2.2756005056890011E-3</v>
      </c>
      <c r="X31" s="183">
        <v>9.4816687737041716E-2</v>
      </c>
      <c r="Y31" s="184" t="s">
        <v>1256</v>
      </c>
      <c r="Z31" s="185"/>
      <c r="AA31" s="186" t="s">
        <v>1279</v>
      </c>
      <c r="AB31" s="187" t="s">
        <v>1260</v>
      </c>
      <c r="AC31" s="188">
        <v>0.91571558169387268</v>
      </c>
      <c r="AD31" s="186" t="s">
        <v>25</v>
      </c>
      <c r="AE31" s="187" t="s">
        <v>24</v>
      </c>
    </row>
    <row r="32" spans="1:31" x14ac:dyDescent="0.2">
      <c r="A32" s="189" t="s">
        <v>264</v>
      </c>
      <c r="B32" s="190" t="s">
        <v>263</v>
      </c>
      <c r="C32" s="191" t="s">
        <v>200</v>
      </c>
      <c r="D32" s="192">
        <v>14622</v>
      </c>
      <c r="E3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44116</v>
      </c>
      <c r="F32" s="194">
        <f>IF(Entity_Unit_Costs[[#This Row],[Closing social housing units managed]]&gt;0,Entity_Unit_Costs[[#This Row],[Headline Social Housing Cost]]/Entity_Unit_Costs[[#This Row],[Closing social housing units managed]],"")</f>
        <v>3.0170975242784843</v>
      </c>
      <c r="G32" s="194">
        <f>IF(Entity_Unit_Costs[[#This Row],[Closing social housing units managed]]&gt;0,Entity_Unit_Costs[[#This Row],[Management]]/Entity_Unit_Costs[[#This Row],[Closing social housing units managed]],"")</f>
        <v>1.0599781151689236</v>
      </c>
      <c r="H32" s="193">
        <v>15499</v>
      </c>
      <c r="I32" s="194">
        <f>IF(Entity_Unit_Costs[[#This Row],[Closing social housing units managed]]&gt;0,Entity_Unit_Costs[[#This Row],[Service charge costs]]/Entity_Unit_Costs[[#This Row],[Closing social housing units managed]],"")</f>
        <v>0.29948023526193407</v>
      </c>
      <c r="J32" s="193">
        <v>4379</v>
      </c>
      <c r="K32" s="194">
        <f>IF(Entity_Unit_Costs[[#This Row],[Closing social housing units managed]]&gt;0,(Entity_Unit_Costs[[#This Row],[Routine maintenance]]+Entity_Unit_Costs[[#This Row],[Planned maintenance]])/Entity_Unit_Costs[[#This Row],[Closing social housing units managed]],"")</f>
        <v>0.77814252496238545</v>
      </c>
      <c r="L32" s="193">
        <v>7386</v>
      </c>
      <c r="M32" s="193">
        <v>3992</v>
      </c>
      <c r="N32" s="194">
        <f>IF(Entity_Unit_Costs[[#This Row],[Closing social housing units managed]]&gt;0,(Entity_Unit_Costs[[#This Row],[Major repairs expenditure]]+Entity_Unit_Costs[[#This Row],[Capitalised major repairs expenditure for period]])/Entity_Unit_Costs[[#This Row],[Closing social housing units managed]],"")</f>
        <v>0.77855286554506908</v>
      </c>
      <c r="O32" s="193">
        <v>0</v>
      </c>
      <c r="P32" s="193">
        <v>11384</v>
      </c>
      <c r="Q3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0.10094378334017234</v>
      </c>
      <c r="R32" s="193">
        <v>0</v>
      </c>
      <c r="S32" s="193">
        <v>161</v>
      </c>
      <c r="T32" s="193">
        <v>1315</v>
      </c>
      <c r="U32" s="193">
        <v>0</v>
      </c>
      <c r="V32" s="195">
        <v>0</v>
      </c>
      <c r="W32" s="183">
        <v>1.2530680790595531E-2</v>
      </c>
      <c r="X32" s="183">
        <v>0.1203332902725746</v>
      </c>
      <c r="Y32" s="184" t="s">
        <v>1256</v>
      </c>
      <c r="Z32" s="185"/>
      <c r="AA32" s="186" t="s">
        <v>1279</v>
      </c>
      <c r="AB32" s="187" t="s">
        <v>1263</v>
      </c>
      <c r="AC32" s="188">
        <v>0.99696032632739351</v>
      </c>
      <c r="AD32" s="186" t="s">
        <v>264</v>
      </c>
      <c r="AE32" s="187" t="s">
        <v>263</v>
      </c>
    </row>
    <row r="33" spans="1:31" x14ac:dyDescent="0.2">
      <c r="A33" s="189" t="s">
        <v>28</v>
      </c>
      <c r="B33" s="190" t="s">
        <v>27</v>
      </c>
      <c r="C33" s="196" t="s">
        <v>200</v>
      </c>
      <c r="D33" s="192">
        <v>6174</v>
      </c>
      <c r="E3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20563</v>
      </c>
      <c r="F33" s="194">
        <f>IF(Entity_Unit_Costs[[#This Row],[Closing social housing units managed]]&gt;0,Entity_Unit_Costs[[#This Row],[Headline Social Housing Cost]]/Entity_Unit_Costs[[#This Row],[Closing social housing units managed]],"")</f>
        <v>3.3305798509880145</v>
      </c>
      <c r="G33" s="194">
        <f>IF(Entity_Unit_Costs[[#This Row],[Closing social housing units managed]]&gt;0,Entity_Unit_Costs[[#This Row],[Management]]/Entity_Unit_Costs[[#This Row],[Closing social housing units managed]],"")</f>
        <v>1.2563977972141238</v>
      </c>
      <c r="H33" s="193">
        <v>7757</v>
      </c>
      <c r="I33" s="194">
        <f>IF(Entity_Unit_Costs[[#This Row],[Closing social housing units managed]]&gt;0,Entity_Unit_Costs[[#This Row],[Service charge costs]]/Entity_Unit_Costs[[#This Row],[Closing social housing units managed]],"")</f>
        <v>0.37269193391642369</v>
      </c>
      <c r="J33" s="193">
        <v>2301</v>
      </c>
      <c r="K33" s="194">
        <f>IF(Entity_Unit_Costs[[#This Row],[Closing social housing units managed]]&gt;0,(Entity_Unit_Costs[[#This Row],[Routine maintenance]]+Entity_Unit_Costs[[#This Row],[Planned maintenance]])/Entity_Unit_Costs[[#This Row],[Closing social housing units managed]],"")</f>
        <v>0.69258179462261094</v>
      </c>
      <c r="L33" s="193">
        <v>3158</v>
      </c>
      <c r="M33" s="193">
        <v>1118</v>
      </c>
      <c r="N33" s="194">
        <f>IF(Entity_Unit_Costs[[#This Row],[Closing social housing units managed]]&gt;0,(Entity_Unit_Costs[[#This Row],[Major repairs expenditure]]+Entity_Unit_Costs[[#This Row],[Capitalised major repairs expenditure for period]])/Entity_Unit_Costs[[#This Row],[Closing social housing units managed]],"")</f>
        <v>0.88856494978943956</v>
      </c>
      <c r="O33" s="193">
        <v>2264</v>
      </c>
      <c r="P33" s="193">
        <v>3222</v>
      </c>
      <c r="Q3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0.12034337544541626</v>
      </c>
      <c r="R33" s="193">
        <v>0</v>
      </c>
      <c r="S33" s="193">
        <v>466</v>
      </c>
      <c r="T33" s="193">
        <v>277</v>
      </c>
      <c r="U33" s="193">
        <v>0</v>
      </c>
      <c r="V33" s="195">
        <v>0</v>
      </c>
      <c r="W33" s="183">
        <v>7.7220077220077222E-3</v>
      </c>
      <c r="X33" s="183">
        <v>6.3223938223938222E-2</v>
      </c>
      <c r="Y33" s="184" t="s">
        <v>1257</v>
      </c>
      <c r="Z33" s="185">
        <v>39489</v>
      </c>
      <c r="AA33" s="186" t="s">
        <v>1280</v>
      </c>
      <c r="AB33" s="187" t="s">
        <v>1259</v>
      </c>
      <c r="AC33" s="188">
        <v>1.0118524159776632</v>
      </c>
      <c r="AD33" s="186" t="s">
        <v>28</v>
      </c>
      <c r="AE33" s="187" t="s">
        <v>27</v>
      </c>
    </row>
    <row r="34" spans="1:31" x14ac:dyDescent="0.2">
      <c r="A34" s="189" t="s">
        <v>268</v>
      </c>
      <c r="B34" s="190" t="s">
        <v>267</v>
      </c>
      <c r="C34" s="191" t="s">
        <v>200</v>
      </c>
      <c r="D34" s="192">
        <v>6071</v>
      </c>
      <c r="E3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19903</v>
      </c>
      <c r="F34" s="194">
        <f>IF(Entity_Unit_Costs[[#This Row],[Closing social housing units managed]]&gt;0,Entity_Unit_Costs[[#This Row],[Headline Social Housing Cost]]/Entity_Unit_Costs[[#This Row],[Closing social housing units managed]],"")</f>
        <v>3.2783725910064239</v>
      </c>
      <c r="G34" s="194">
        <f>IF(Entity_Unit_Costs[[#This Row],[Closing social housing units managed]]&gt;0,Entity_Unit_Costs[[#This Row],[Management]]/Entity_Unit_Costs[[#This Row],[Closing social housing units managed]],"")</f>
        <v>0.37572063910393677</v>
      </c>
      <c r="H34" s="193">
        <v>2281</v>
      </c>
      <c r="I34" s="194">
        <f>IF(Entity_Unit_Costs[[#This Row],[Closing social housing units managed]]&gt;0,Entity_Unit_Costs[[#This Row],[Service charge costs]]/Entity_Unit_Costs[[#This Row],[Closing social housing units managed]],"")</f>
        <v>0.36056662823258112</v>
      </c>
      <c r="J34" s="193">
        <v>2189</v>
      </c>
      <c r="K34" s="194">
        <f>IF(Entity_Unit_Costs[[#This Row],[Closing social housing units managed]]&gt;0,(Entity_Unit_Costs[[#This Row],[Routine maintenance]]+Entity_Unit_Costs[[#This Row],[Planned maintenance]])/Entity_Unit_Costs[[#This Row],[Closing social housing units managed]],"")</f>
        <v>0.8731675177071323</v>
      </c>
      <c r="L34" s="193">
        <v>4365</v>
      </c>
      <c r="M34" s="193">
        <v>936</v>
      </c>
      <c r="N34" s="194">
        <f>IF(Entity_Unit_Costs[[#This Row],[Closing social housing units managed]]&gt;0,(Entity_Unit_Costs[[#This Row],[Major repairs expenditure]]+Entity_Unit_Costs[[#This Row],[Capitalised major repairs expenditure for period]])/Entity_Unit_Costs[[#This Row],[Closing social housing units managed]],"")</f>
        <v>0.932630538626256</v>
      </c>
      <c r="O34" s="193">
        <v>2676</v>
      </c>
      <c r="P34" s="193">
        <v>2986</v>
      </c>
      <c r="Q3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0.73628726733651784</v>
      </c>
      <c r="R34" s="193">
        <v>0</v>
      </c>
      <c r="S34" s="193">
        <v>1531</v>
      </c>
      <c r="T34" s="193">
        <v>420</v>
      </c>
      <c r="U34" s="193">
        <v>813</v>
      </c>
      <c r="V34" s="195">
        <v>1706</v>
      </c>
      <c r="W34" s="183">
        <v>5.6209150326797387E-2</v>
      </c>
      <c r="X34" s="183">
        <v>0</v>
      </c>
      <c r="Y34" s="184" t="s">
        <v>1257</v>
      </c>
      <c r="Z34" s="185">
        <v>34088</v>
      </c>
      <c r="AA34" s="186" t="s">
        <v>1268</v>
      </c>
      <c r="AB34" s="187" t="s">
        <v>1264</v>
      </c>
      <c r="AC34" s="188">
        <v>0.94773032743150842</v>
      </c>
      <c r="AD34" s="186" t="s">
        <v>268</v>
      </c>
      <c r="AE34" s="187" t="s">
        <v>267</v>
      </c>
    </row>
    <row r="35" spans="1:31" x14ac:dyDescent="0.2">
      <c r="A35" s="189" t="s">
        <v>30</v>
      </c>
      <c r="B35" s="190" t="s">
        <v>29</v>
      </c>
      <c r="C35" s="196" t="s">
        <v>200</v>
      </c>
      <c r="D35" s="192">
        <v>4915</v>
      </c>
      <c r="E3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14868</v>
      </c>
      <c r="F35" s="194">
        <f>IF(Entity_Unit_Costs[[#This Row],[Closing social housing units managed]]&gt;0,Entity_Unit_Costs[[#This Row],[Headline Social Housing Cost]]/Entity_Unit_Costs[[#This Row],[Closing social housing units managed]],"")</f>
        <v>3.025025432349949</v>
      </c>
      <c r="G35" s="194">
        <f>IF(Entity_Unit_Costs[[#This Row],[Closing social housing units managed]]&gt;0,Entity_Unit_Costs[[#This Row],[Management]]/Entity_Unit_Costs[[#This Row],[Closing social housing units managed]],"")</f>
        <v>0.92390640895218723</v>
      </c>
      <c r="H35" s="193">
        <v>4541</v>
      </c>
      <c r="I35" s="194">
        <f>IF(Entity_Unit_Costs[[#This Row],[Closing social housing units managed]]&gt;0,Entity_Unit_Costs[[#This Row],[Service charge costs]]/Entity_Unit_Costs[[#This Row],[Closing social housing units managed]],"")</f>
        <v>0.46449643947100711</v>
      </c>
      <c r="J35" s="193">
        <v>2283</v>
      </c>
      <c r="K35" s="194">
        <f>IF(Entity_Unit_Costs[[#This Row],[Closing social housing units managed]]&gt;0,(Entity_Unit_Costs[[#This Row],[Routine maintenance]]+Entity_Unit_Costs[[#This Row],[Planned maintenance]])/Entity_Unit_Costs[[#This Row],[Closing social housing units managed]],"")</f>
        <v>0.93489318413021361</v>
      </c>
      <c r="L35" s="193">
        <v>4423</v>
      </c>
      <c r="M35" s="193">
        <v>172</v>
      </c>
      <c r="N35" s="194">
        <f>IF(Entity_Unit_Costs[[#This Row],[Closing social housing units managed]]&gt;0,(Entity_Unit_Costs[[#This Row],[Major repairs expenditure]]+Entity_Unit_Costs[[#This Row],[Capitalised major repairs expenditure for period]])/Entity_Unit_Costs[[#This Row],[Closing social housing units managed]],"")</f>
        <v>0.63499491353001014</v>
      </c>
      <c r="O35" s="193">
        <v>1663</v>
      </c>
      <c r="P35" s="193">
        <v>1458</v>
      </c>
      <c r="Q3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6.6734486266531029E-2</v>
      </c>
      <c r="R35" s="193">
        <v>0</v>
      </c>
      <c r="S35" s="193">
        <v>102</v>
      </c>
      <c r="T35" s="193">
        <v>0</v>
      </c>
      <c r="U35" s="193">
        <v>226</v>
      </c>
      <c r="V35" s="195">
        <v>0</v>
      </c>
      <c r="W35" s="183">
        <v>2.6257767087592705E-2</v>
      </c>
      <c r="X35" s="183">
        <v>0.12407296051312888</v>
      </c>
      <c r="Y35" s="184" t="s">
        <v>1256</v>
      </c>
      <c r="Z35" s="185"/>
      <c r="AA35" s="186" t="s">
        <v>1279</v>
      </c>
      <c r="AB35" s="187" t="s">
        <v>1263</v>
      </c>
      <c r="AC35" s="188">
        <v>1.0022399874355168</v>
      </c>
      <c r="AD35" s="186" t="s">
        <v>30</v>
      </c>
      <c r="AE35" s="187" t="s">
        <v>29</v>
      </c>
    </row>
    <row r="36" spans="1:31" x14ac:dyDescent="0.2">
      <c r="A36" s="189" t="s">
        <v>270</v>
      </c>
      <c r="B36" s="190" t="s">
        <v>271</v>
      </c>
      <c r="C36" s="196" t="s">
        <v>200</v>
      </c>
      <c r="D36" s="192">
        <v>1404</v>
      </c>
      <c r="E3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1363</v>
      </c>
      <c r="F36" s="194">
        <f>IF(Entity_Unit_Costs[[#This Row],[Closing social housing units managed]]&gt;0,Entity_Unit_Costs[[#This Row],[Headline Social Housing Cost]]/Entity_Unit_Costs[[#This Row],[Closing social housing units managed]],"")</f>
        <v>0.97079772079772075</v>
      </c>
      <c r="G36" s="194">
        <f>IF(Entity_Unit_Costs[[#This Row],[Closing social housing units managed]]&gt;0,Entity_Unit_Costs[[#This Row],[Management]]/Entity_Unit_Costs[[#This Row],[Closing social housing units managed]],"")</f>
        <v>0.60897435897435892</v>
      </c>
      <c r="H36" s="193">
        <v>855</v>
      </c>
      <c r="I36" s="194">
        <f>IF(Entity_Unit_Costs[[#This Row],[Closing social housing units managed]]&gt;0,Entity_Unit_Costs[[#This Row],[Service charge costs]]/Entity_Unit_Costs[[#This Row],[Closing social housing units managed]],"")</f>
        <v>0.29273504273504275</v>
      </c>
      <c r="J36" s="193">
        <v>411</v>
      </c>
      <c r="K36" s="194">
        <f>IF(Entity_Unit_Costs[[#This Row],[Closing social housing units managed]]&gt;0,(Entity_Unit_Costs[[#This Row],[Routine maintenance]]+Entity_Unit_Costs[[#This Row],[Planned maintenance]])/Entity_Unit_Costs[[#This Row],[Closing social housing units managed]],"")</f>
        <v>3.4900284900284899E-2</v>
      </c>
      <c r="L36" s="193">
        <v>11</v>
      </c>
      <c r="M36" s="193">
        <v>38</v>
      </c>
      <c r="N36" s="194">
        <f>IF(Entity_Unit_Costs[[#This Row],[Closing social housing units managed]]&gt;0,(Entity_Unit_Costs[[#This Row],[Major repairs expenditure]]+Entity_Unit_Costs[[#This Row],[Capitalised major repairs expenditure for period]])/Entity_Unit_Costs[[#This Row],[Closing social housing units managed]],"")</f>
        <v>3.4188034188034191E-2</v>
      </c>
      <c r="O36" s="193">
        <v>23</v>
      </c>
      <c r="P36" s="193">
        <v>25</v>
      </c>
      <c r="Q3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v>
      </c>
      <c r="R36" s="193">
        <v>0</v>
      </c>
      <c r="S36" s="193">
        <v>0</v>
      </c>
      <c r="T36" s="193">
        <v>0</v>
      </c>
      <c r="U36" s="193">
        <v>0</v>
      </c>
      <c r="V36" s="195">
        <v>0</v>
      </c>
      <c r="W36" s="183">
        <v>0</v>
      </c>
      <c r="X36" s="183">
        <v>0</v>
      </c>
      <c r="Y36" s="184" t="s">
        <v>1256</v>
      </c>
      <c r="Z36" s="185"/>
      <c r="AA36" s="186" t="s">
        <v>1279</v>
      </c>
      <c r="AB36" s="187" t="s">
        <v>1260</v>
      </c>
      <c r="AC36" s="188">
        <v>0.92681553385315263</v>
      </c>
      <c r="AD36" s="186" t="s">
        <v>1227</v>
      </c>
      <c r="AE36" s="187" t="s">
        <v>275</v>
      </c>
    </row>
    <row r="37" spans="1:31" x14ac:dyDescent="0.2">
      <c r="A37" s="197">
        <v>4819</v>
      </c>
      <c r="B37" s="190" t="s">
        <v>273</v>
      </c>
      <c r="C37" s="196" t="s">
        <v>200</v>
      </c>
      <c r="D37" s="192">
        <v>27251</v>
      </c>
      <c r="E3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81744</v>
      </c>
      <c r="F37" s="194">
        <f>IF(Entity_Unit_Costs[[#This Row],[Closing social housing units managed]]&gt;0,Entity_Unit_Costs[[#This Row],[Headline Social Housing Cost]]/Entity_Unit_Costs[[#This Row],[Closing social housing units managed]],"")</f>
        <v>2.9996697368903895</v>
      </c>
      <c r="G37" s="194">
        <f>IF(Entity_Unit_Costs[[#This Row],[Closing social housing units managed]]&gt;0,Entity_Unit_Costs[[#This Row],[Management]]/Entity_Unit_Costs[[#This Row],[Closing social housing units managed]],"")</f>
        <v>0.74378921874426629</v>
      </c>
      <c r="H37" s="193">
        <v>20269</v>
      </c>
      <c r="I37" s="194">
        <f>IF(Entity_Unit_Costs[[#This Row],[Closing social housing units managed]]&gt;0,Entity_Unit_Costs[[#This Row],[Service charge costs]]/Entity_Unit_Costs[[#This Row],[Closing social housing units managed]],"")</f>
        <v>0.37125243110344575</v>
      </c>
      <c r="J37" s="193">
        <v>10117</v>
      </c>
      <c r="K37" s="194">
        <f>IF(Entity_Unit_Costs[[#This Row],[Closing social housing units managed]]&gt;0,(Entity_Unit_Costs[[#This Row],[Routine maintenance]]+Entity_Unit_Costs[[#This Row],[Planned maintenance]])/Entity_Unit_Costs[[#This Row],[Closing social housing units managed]],"")</f>
        <v>0.73388132545594653</v>
      </c>
      <c r="L37" s="193">
        <v>17635</v>
      </c>
      <c r="M37" s="193">
        <v>2364</v>
      </c>
      <c r="N37" s="194">
        <f>IF(Entity_Unit_Costs[[#This Row],[Closing social housing units managed]]&gt;0,(Entity_Unit_Costs[[#This Row],[Major repairs expenditure]]+Entity_Unit_Costs[[#This Row],[Capitalised major repairs expenditure for period]])/Entity_Unit_Costs[[#This Row],[Closing social housing units managed]],"")</f>
        <v>0.8535833547392756</v>
      </c>
      <c r="O37" s="193">
        <v>6055</v>
      </c>
      <c r="P37" s="193">
        <v>17206</v>
      </c>
      <c r="Q3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0.29716340684745512</v>
      </c>
      <c r="R37" s="193">
        <v>108</v>
      </c>
      <c r="S37" s="193">
        <v>3782</v>
      </c>
      <c r="T37" s="193">
        <v>4208</v>
      </c>
      <c r="U37" s="193">
        <v>0</v>
      </c>
      <c r="V37" s="195">
        <v>0</v>
      </c>
      <c r="W37" s="183">
        <v>3.7783565470124181E-2</v>
      </c>
      <c r="X37" s="183">
        <v>3.9746348091948817E-2</v>
      </c>
      <c r="Y37" s="184" t="s">
        <v>1256</v>
      </c>
      <c r="Z37" s="185"/>
      <c r="AA37" s="186" t="s">
        <v>1279</v>
      </c>
      <c r="AB37" s="187" t="s">
        <v>1260</v>
      </c>
      <c r="AC37" s="188">
        <v>0.93320514070930249</v>
      </c>
      <c r="AD37" s="186" t="s">
        <v>1227</v>
      </c>
      <c r="AE37" s="187" t="s">
        <v>275</v>
      </c>
    </row>
    <row r="38" spans="1:31" x14ac:dyDescent="0.2">
      <c r="A38" s="189" t="s">
        <v>32</v>
      </c>
      <c r="B38" s="190" t="s">
        <v>31</v>
      </c>
      <c r="C38" s="191" t="s">
        <v>200</v>
      </c>
      <c r="D38" s="192">
        <v>3846</v>
      </c>
      <c r="E3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11177</v>
      </c>
      <c r="F38" s="194">
        <f>IF(Entity_Unit_Costs[[#This Row],[Closing social housing units managed]]&gt;0,Entity_Unit_Costs[[#This Row],[Headline Social Housing Cost]]/Entity_Unit_Costs[[#This Row],[Closing social housing units managed]],"")</f>
        <v>2.9061362454498179</v>
      </c>
      <c r="G38" s="194">
        <f>IF(Entity_Unit_Costs[[#This Row],[Closing social housing units managed]]&gt;0,Entity_Unit_Costs[[#This Row],[Management]]/Entity_Unit_Costs[[#This Row],[Closing social housing units managed]],"")</f>
        <v>1.1266250650026002</v>
      </c>
      <c r="H38" s="193">
        <v>4333</v>
      </c>
      <c r="I38" s="194">
        <f>IF(Entity_Unit_Costs[[#This Row],[Closing social housing units managed]]&gt;0,Entity_Unit_Costs[[#This Row],[Service charge costs]]/Entity_Unit_Costs[[#This Row],[Closing social housing units managed]],"")</f>
        <v>0.34477379095163807</v>
      </c>
      <c r="J38" s="193">
        <v>1326</v>
      </c>
      <c r="K38" s="194">
        <f>IF(Entity_Unit_Costs[[#This Row],[Closing social housing units managed]]&gt;0,(Entity_Unit_Costs[[#This Row],[Routine maintenance]]+Entity_Unit_Costs[[#This Row],[Planned maintenance]])/Entity_Unit_Costs[[#This Row],[Closing social housing units managed]],"")</f>
        <v>0.71788871554862199</v>
      </c>
      <c r="L38" s="193">
        <v>1972</v>
      </c>
      <c r="M38" s="193">
        <v>789</v>
      </c>
      <c r="N38" s="194">
        <f>IF(Entity_Unit_Costs[[#This Row],[Closing social housing units managed]]&gt;0,(Entity_Unit_Costs[[#This Row],[Major repairs expenditure]]+Entity_Unit_Costs[[#This Row],[Capitalised major repairs expenditure for period]])/Entity_Unit_Costs[[#This Row],[Closing social housing units managed]],"")</f>
        <v>0.61024440977639105</v>
      </c>
      <c r="O38" s="193">
        <v>0</v>
      </c>
      <c r="P38" s="193">
        <v>2347</v>
      </c>
      <c r="Q3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0.10660426417056683</v>
      </c>
      <c r="R38" s="193">
        <v>28</v>
      </c>
      <c r="S38" s="193">
        <v>0</v>
      </c>
      <c r="T38" s="193">
        <v>382</v>
      </c>
      <c r="U38" s="193">
        <v>0</v>
      </c>
      <c r="V38" s="195">
        <v>0</v>
      </c>
      <c r="W38" s="183">
        <v>2.9850746268656717E-3</v>
      </c>
      <c r="X38" s="183">
        <v>0.24559023066485752</v>
      </c>
      <c r="Y38" s="184" t="s">
        <v>1257</v>
      </c>
      <c r="Z38" s="185">
        <v>38075</v>
      </c>
      <c r="AA38" s="186" t="s">
        <v>1268</v>
      </c>
      <c r="AB38" s="187" t="s">
        <v>1260</v>
      </c>
      <c r="AC38" s="188">
        <v>0.91571558169387279</v>
      </c>
      <c r="AD38" s="186" t="s">
        <v>32</v>
      </c>
      <c r="AE38" s="187" t="s">
        <v>31</v>
      </c>
    </row>
    <row r="39" spans="1:31" x14ac:dyDescent="0.2">
      <c r="A39" s="189" t="s">
        <v>276</v>
      </c>
      <c r="B39" s="190" t="s">
        <v>277</v>
      </c>
      <c r="C39" s="191" t="s">
        <v>200</v>
      </c>
      <c r="D39" s="192">
        <v>1086</v>
      </c>
      <c r="E3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6125</v>
      </c>
      <c r="F39" s="194">
        <f>IF(Entity_Unit_Costs[[#This Row],[Closing social housing units managed]]&gt;0,Entity_Unit_Costs[[#This Row],[Headline Social Housing Cost]]/Entity_Unit_Costs[[#This Row],[Closing social housing units managed]],"")</f>
        <v>5.6399631675874771</v>
      </c>
      <c r="G39" s="194">
        <f>IF(Entity_Unit_Costs[[#This Row],[Closing social housing units managed]]&gt;0,Entity_Unit_Costs[[#This Row],[Management]]/Entity_Unit_Costs[[#This Row],[Closing social housing units managed]],"")</f>
        <v>0.77900552486187846</v>
      </c>
      <c r="H39" s="193">
        <v>846</v>
      </c>
      <c r="I39" s="194">
        <f>IF(Entity_Unit_Costs[[#This Row],[Closing social housing units managed]]&gt;0,Entity_Unit_Costs[[#This Row],[Service charge costs]]/Entity_Unit_Costs[[#This Row],[Closing social housing units managed]],"")</f>
        <v>1.8941068139963169</v>
      </c>
      <c r="J39" s="193">
        <v>2057</v>
      </c>
      <c r="K39" s="194">
        <f>IF(Entity_Unit_Costs[[#This Row],[Closing social housing units managed]]&gt;0,(Entity_Unit_Costs[[#This Row],[Routine maintenance]]+Entity_Unit_Costs[[#This Row],[Planned maintenance]])/Entity_Unit_Costs[[#This Row],[Closing social housing units managed]],"")</f>
        <v>1.003683241252302</v>
      </c>
      <c r="L39" s="193">
        <v>1014</v>
      </c>
      <c r="M39" s="193">
        <v>76</v>
      </c>
      <c r="N39" s="194">
        <f>IF(Entity_Unit_Costs[[#This Row],[Closing social housing units managed]]&gt;0,(Entity_Unit_Costs[[#This Row],[Major repairs expenditure]]+Entity_Unit_Costs[[#This Row],[Capitalised major repairs expenditure for period]])/Entity_Unit_Costs[[#This Row],[Closing social housing units managed]],"")</f>
        <v>0.95672191528545125</v>
      </c>
      <c r="O39" s="193">
        <v>59</v>
      </c>
      <c r="P39" s="193">
        <v>980</v>
      </c>
      <c r="Q3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1.0064456721915285</v>
      </c>
      <c r="R39" s="193">
        <v>646</v>
      </c>
      <c r="S39" s="193">
        <v>447</v>
      </c>
      <c r="T39" s="193">
        <v>0</v>
      </c>
      <c r="U39" s="193">
        <v>0</v>
      </c>
      <c r="V39" s="195">
        <v>0</v>
      </c>
      <c r="W39" s="183">
        <v>0</v>
      </c>
      <c r="X39" s="183">
        <v>0.98453139217470431</v>
      </c>
      <c r="Y39" s="184" t="s">
        <v>1256</v>
      </c>
      <c r="Z39" s="185"/>
      <c r="AA39" s="186" t="s">
        <v>1279</v>
      </c>
      <c r="AB39" s="187" t="s">
        <v>1265</v>
      </c>
      <c r="AC39" s="188">
        <v>0.96617455710897804</v>
      </c>
      <c r="AD39" s="186" t="s">
        <v>276</v>
      </c>
      <c r="AE39" s="187" t="s">
        <v>277</v>
      </c>
    </row>
    <row r="40" spans="1:31" x14ac:dyDescent="0.2">
      <c r="A40" s="197">
        <v>4714</v>
      </c>
      <c r="B40" s="190" t="s">
        <v>33</v>
      </c>
      <c r="C40" s="196" t="s">
        <v>200</v>
      </c>
      <c r="D40" s="192">
        <v>1780</v>
      </c>
      <c r="E4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8080</v>
      </c>
      <c r="F40" s="194">
        <f>IF(Entity_Unit_Costs[[#This Row],[Closing social housing units managed]]&gt;0,Entity_Unit_Costs[[#This Row],[Headline Social Housing Cost]]/Entity_Unit_Costs[[#This Row],[Closing social housing units managed]],"")</f>
        <v>4.5393258426966296</v>
      </c>
      <c r="G40" s="194">
        <f>IF(Entity_Unit_Costs[[#This Row],[Closing social housing units managed]]&gt;0,Entity_Unit_Costs[[#This Row],[Management]]/Entity_Unit_Costs[[#This Row],[Closing social housing units managed]],"")</f>
        <v>1.2410112359550562</v>
      </c>
      <c r="H40" s="193">
        <v>2209</v>
      </c>
      <c r="I40" s="194">
        <f>IF(Entity_Unit_Costs[[#This Row],[Closing social housing units managed]]&gt;0,Entity_Unit_Costs[[#This Row],[Service charge costs]]/Entity_Unit_Costs[[#This Row],[Closing social housing units managed]],"")</f>
        <v>1.4876404494382023</v>
      </c>
      <c r="J40" s="193">
        <v>2648</v>
      </c>
      <c r="K40" s="194">
        <f>IF(Entity_Unit_Costs[[#This Row],[Closing social housing units managed]]&gt;0,(Entity_Unit_Costs[[#This Row],[Routine maintenance]]+Entity_Unit_Costs[[#This Row],[Planned maintenance]])/Entity_Unit_Costs[[#This Row],[Closing social housing units managed]],"")</f>
        <v>0.88988764044943824</v>
      </c>
      <c r="L40" s="193">
        <v>1484</v>
      </c>
      <c r="M40" s="193">
        <v>100</v>
      </c>
      <c r="N40" s="194">
        <f>IF(Entity_Unit_Costs[[#This Row],[Closing social housing units managed]]&gt;0,(Entity_Unit_Costs[[#This Row],[Major repairs expenditure]]+Entity_Unit_Costs[[#This Row],[Capitalised major repairs expenditure for period]])/Entity_Unit_Costs[[#This Row],[Closing social housing units managed]],"")</f>
        <v>0.648876404494382</v>
      </c>
      <c r="O40" s="193">
        <v>788</v>
      </c>
      <c r="P40" s="193">
        <v>367</v>
      </c>
      <c r="Q4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0.27191011235955054</v>
      </c>
      <c r="R40" s="193">
        <v>484</v>
      </c>
      <c r="S40" s="193">
        <v>0</v>
      </c>
      <c r="T40" s="193">
        <v>0</v>
      </c>
      <c r="U40" s="193">
        <v>0</v>
      </c>
      <c r="V40" s="195">
        <v>0</v>
      </c>
      <c r="W40" s="183">
        <v>3.4710743801652892E-2</v>
      </c>
      <c r="X40" s="183">
        <v>8.8154269972451783E-3</v>
      </c>
      <c r="Y40" s="184" t="s">
        <v>1257</v>
      </c>
      <c r="Z40" s="185">
        <v>41095</v>
      </c>
      <c r="AA40" s="186" t="s">
        <v>1269</v>
      </c>
      <c r="AB40" s="187" t="s">
        <v>1266</v>
      </c>
      <c r="AC40" s="188">
        <v>0.9026647648742484</v>
      </c>
      <c r="AD40" s="186">
        <v>4714</v>
      </c>
      <c r="AE40" s="187" t="s">
        <v>33</v>
      </c>
    </row>
    <row r="41" spans="1:31" x14ac:dyDescent="0.2">
      <c r="A41" s="189" t="s">
        <v>278</v>
      </c>
      <c r="B41" s="190" t="s">
        <v>279</v>
      </c>
      <c r="C41" s="196" t="s">
        <v>200</v>
      </c>
      <c r="D41" s="192">
        <v>5010</v>
      </c>
      <c r="E4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15396</v>
      </c>
      <c r="F41" s="194">
        <f>IF(Entity_Unit_Costs[[#This Row],[Closing social housing units managed]]&gt;0,Entity_Unit_Costs[[#This Row],[Headline Social Housing Cost]]/Entity_Unit_Costs[[#This Row],[Closing social housing units managed]],"")</f>
        <v>3.0730538922155688</v>
      </c>
      <c r="G41" s="194">
        <f>IF(Entity_Unit_Costs[[#This Row],[Closing social housing units managed]]&gt;0,Entity_Unit_Costs[[#This Row],[Management]]/Entity_Unit_Costs[[#This Row],[Closing social housing units managed]],"")</f>
        <v>1.0261477045908183</v>
      </c>
      <c r="H41" s="193">
        <v>5141</v>
      </c>
      <c r="I41" s="194">
        <f>IF(Entity_Unit_Costs[[#This Row],[Closing social housing units managed]]&gt;0,Entity_Unit_Costs[[#This Row],[Service charge costs]]/Entity_Unit_Costs[[#This Row],[Closing social housing units managed]],"")</f>
        <v>0.22055888223552894</v>
      </c>
      <c r="J41" s="193">
        <v>1105</v>
      </c>
      <c r="K41" s="194">
        <f>IF(Entity_Unit_Costs[[#This Row],[Closing social housing units managed]]&gt;0,(Entity_Unit_Costs[[#This Row],[Routine maintenance]]+Entity_Unit_Costs[[#This Row],[Planned maintenance]])/Entity_Unit_Costs[[#This Row],[Closing social housing units managed]],"")</f>
        <v>0.77724550898203593</v>
      </c>
      <c r="L41" s="193">
        <v>3458</v>
      </c>
      <c r="M41" s="193">
        <v>436</v>
      </c>
      <c r="N41" s="194">
        <f>IF(Entity_Unit_Costs[[#This Row],[Closing social housing units managed]]&gt;0,(Entity_Unit_Costs[[#This Row],[Major repairs expenditure]]+Entity_Unit_Costs[[#This Row],[Capitalised major repairs expenditure for period]])/Entity_Unit_Costs[[#This Row],[Closing social housing units managed]],"")</f>
        <v>0.93233532934131735</v>
      </c>
      <c r="O41" s="193">
        <v>1140</v>
      </c>
      <c r="P41" s="193">
        <v>3531</v>
      </c>
      <c r="Q4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0.11676646706586827</v>
      </c>
      <c r="R41" s="193">
        <v>303</v>
      </c>
      <c r="S41" s="193">
        <v>282</v>
      </c>
      <c r="T41" s="193">
        <v>0</v>
      </c>
      <c r="U41" s="193">
        <v>0</v>
      </c>
      <c r="V41" s="195">
        <v>0</v>
      </c>
      <c r="W41" s="183">
        <v>3.3881111787380805E-2</v>
      </c>
      <c r="X41" s="183">
        <v>0.23006695069993913</v>
      </c>
      <c r="Y41" s="184" t="s">
        <v>1257</v>
      </c>
      <c r="Z41" s="185">
        <v>36593</v>
      </c>
      <c r="AA41" s="186" t="s">
        <v>1268</v>
      </c>
      <c r="AB41" s="187" t="s">
        <v>1262</v>
      </c>
      <c r="AC41" s="188">
        <v>0.91566538624456639</v>
      </c>
      <c r="AD41" s="186" t="s">
        <v>278</v>
      </c>
      <c r="AE41" s="187" t="s">
        <v>279</v>
      </c>
    </row>
    <row r="42" spans="1:31" x14ac:dyDescent="0.2">
      <c r="A42" s="189" t="s">
        <v>37</v>
      </c>
      <c r="B42" s="190" t="s">
        <v>35</v>
      </c>
      <c r="C42" s="196" t="s">
        <v>200</v>
      </c>
      <c r="D42" s="192">
        <v>19164</v>
      </c>
      <c r="E4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88839</v>
      </c>
      <c r="F42" s="194">
        <f>IF(Entity_Unit_Costs[[#This Row],[Closing social housing units managed]]&gt;0,Entity_Unit_Costs[[#This Row],[Headline Social Housing Cost]]/Entity_Unit_Costs[[#This Row],[Closing social housing units managed]],"")</f>
        <v>4.6357232310582344</v>
      </c>
      <c r="G42" s="194">
        <f>IF(Entity_Unit_Costs[[#This Row],[Closing social housing units managed]]&gt;0,Entity_Unit_Costs[[#This Row],[Management]]/Entity_Unit_Costs[[#This Row],[Closing social housing units managed]],"")</f>
        <v>1.1895742016280526</v>
      </c>
      <c r="H42" s="193">
        <v>22797</v>
      </c>
      <c r="I42" s="194">
        <f>IF(Entity_Unit_Costs[[#This Row],[Closing social housing units managed]]&gt;0,Entity_Unit_Costs[[#This Row],[Service charge costs]]/Entity_Unit_Costs[[#This Row],[Closing social housing units managed]],"")</f>
        <v>0.66765810895428934</v>
      </c>
      <c r="J42" s="193">
        <v>12795</v>
      </c>
      <c r="K42" s="194">
        <f>IF(Entity_Unit_Costs[[#This Row],[Closing social housing units managed]]&gt;0,(Entity_Unit_Costs[[#This Row],[Routine maintenance]]+Entity_Unit_Costs[[#This Row],[Planned maintenance]])/Entity_Unit_Costs[[#This Row],[Closing social housing units managed]],"")</f>
        <v>1.2395115842204132</v>
      </c>
      <c r="L42" s="193">
        <v>13941</v>
      </c>
      <c r="M42" s="193">
        <v>9813</v>
      </c>
      <c r="N42" s="194">
        <f>IF(Entity_Unit_Costs[[#This Row],[Closing social housing units managed]]&gt;0,(Entity_Unit_Costs[[#This Row],[Major repairs expenditure]]+Entity_Unit_Costs[[#This Row],[Capitalised major repairs expenditure for period]])/Entity_Unit_Costs[[#This Row],[Closing social housing units managed]],"")</f>
        <v>1.2447297015236902</v>
      </c>
      <c r="O42" s="193">
        <v>0</v>
      </c>
      <c r="P42" s="193">
        <v>23854</v>
      </c>
      <c r="Q4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0.29424963473178878</v>
      </c>
      <c r="R42" s="193">
        <v>254</v>
      </c>
      <c r="S42" s="193">
        <v>0</v>
      </c>
      <c r="T42" s="193">
        <v>3156</v>
      </c>
      <c r="U42" s="193">
        <v>0</v>
      </c>
      <c r="V42" s="195">
        <v>2229</v>
      </c>
      <c r="W42" s="183">
        <v>4.586629973626878E-3</v>
      </c>
      <c r="X42" s="183">
        <v>3.9043687650498794E-2</v>
      </c>
      <c r="Y42" s="184" t="s">
        <v>1256</v>
      </c>
      <c r="Z42" s="185"/>
      <c r="AA42" s="186" t="s">
        <v>1279</v>
      </c>
      <c r="AB42" s="187" t="s">
        <v>1267</v>
      </c>
      <c r="AC42" s="188">
        <v>1.1791771572597811</v>
      </c>
      <c r="AD42" s="186" t="s">
        <v>37</v>
      </c>
      <c r="AE42" s="187" t="s">
        <v>35</v>
      </c>
    </row>
    <row r="43" spans="1:31" x14ac:dyDescent="0.2">
      <c r="A43" s="189" t="s">
        <v>280</v>
      </c>
      <c r="B43" s="190" t="s">
        <v>281</v>
      </c>
      <c r="C43" s="196" t="s">
        <v>200</v>
      </c>
      <c r="D43" s="192">
        <v>0</v>
      </c>
      <c r="E4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5064</v>
      </c>
      <c r="F43" s="194" t="str">
        <f>IF(Entity_Unit_Costs[[#This Row],[Closing social housing units managed]]&gt;0,Entity_Unit_Costs[[#This Row],[Headline Social Housing Cost]]/Entity_Unit_Costs[[#This Row],[Closing social housing units managed]],"")</f>
        <v/>
      </c>
      <c r="G43" s="194" t="str">
        <f>IF(Entity_Unit_Costs[[#This Row],[Closing social housing units managed]]&gt;0,Entity_Unit_Costs[[#This Row],[Management]]/Entity_Unit_Costs[[#This Row],[Closing social housing units managed]],"")</f>
        <v/>
      </c>
      <c r="H43" s="193">
        <v>1257</v>
      </c>
      <c r="I43" s="194" t="str">
        <f>IF(Entity_Unit_Costs[[#This Row],[Closing social housing units managed]]&gt;0,Entity_Unit_Costs[[#This Row],[Service charge costs]]/Entity_Unit_Costs[[#This Row],[Closing social housing units managed]],"")</f>
        <v/>
      </c>
      <c r="J43" s="193">
        <v>164</v>
      </c>
      <c r="K43" s="194" t="str">
        <f>IF(Entity_Unit_Costs[[#This Row],[Closing social housing units managed]]&gt;0,(Entity_Unit_Costs[[#This Row],[Routine maintenance]]+Entity_Unit_Costs[[#This Row],[Planned maintenance]])/Entity_Unit_Costs[[#This Row],[Closing social housing units managed]],"")</f>
        <v/>
      </c>
      <c r="L43" s="193">
        <v>1033</v>
      </c>
      <c r="M43" s="193">
        <v>402</v>
      </c>
      <c r="N43" s="194" t="str">
        <f>IF(Entity_Unit_Costs[[#This Row],[Closing social housing units managed]]&gt;0,(Entity_Unit_Costs[[#This Row],[Major repairs expenditure]]+Entity_Unit_Costs[[#This Row],[Capitalised major repairs expenditure for period]])/Entity_Unit_Costs[[#This Row],[Closing social housing units managed]],"")</f>
        <v/>
      </c>
      <c r="O43" s="193">
        <v>0</v>
      </c>
      <c r="P43" s="193">
        <v>1817</v>
      </c>
      <c r="Q43" s="194" t="str">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
      </c>
      <c r="R43" s="193">
        <v>0</v>
      </c>
      <c r="S43" s="193">
        <v>0</v>
      </c>
      <c r="T43" s="193">
        <v>0</v>
      </c>
      <c r="U43" s="193">
        <v>391</v>
      </c>
      <c r="V43" s="195">
        <v>0</v>
      </c>
      <c r="W43" s="183"/>
      <c r="X43" s="183"/>
      <c r="Y43" s="184" t="s">
        <v>1257</v>
      </c>
      <c r="Z43" s="185" t="s">
        <v>1281</v>
      </c>
      <c r="AA43" s="186"/>
      <c r="AB43" s="187" t="s">
        <v>1275</v>
      </c>
      <c r="AC43" s="188"/>
      <c r="AD43" s="186">
        <v>4834</v>
      </c>
      <c r="AE43" s="187" t="s">
        <v>590</v>
      </c>
    </row>
    <row r="44" spans="1:31" x14ac:dyDescent="0.2">
      <c r="A44" s="189" t="s">
        <v>284</v>
      </c>
      <c r="B44" s="190" t="s">
        <v>283</v>
      </c>
      <c r="C44" s="196" t="s">
        <v>200</v>
      </c>
      <c r="D44" s="192">
        <v>1963</v>
      </c>
      <c r="E4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20819</v>
      </c>
      <c r="F44" s="194">
        <f>IF(Entity_Unit_Costs[[#This Row],[Closing social housing units managed]]&gt;0,Entity_Unit_Costs[[#This Row],[Headline Social Housing Cost]]/Entity_Unit_Costs[[#This Row],[Closing social housing units managed]],"")</f>
        <v>10.60570555272542</v>
      </c>
      <c r="G44" s="194">
        <f>IF(Entity_Unit_Costs[[#This Row],[Closing social housing units managed]]&gt;0,Entity_Unit_Costs[[#This Row],[Management]]/Entity_Unit_Costs[[#This Row],[Closing social housing units managed]],"")</f>
        <v>3.1400916963830872</v>
      </c>
      <c r="H44" s="193">
        <v>6164</v>
      </c>
      <c r="I44" s="194">
        <f>IF(Entity_Unit_Costs[[#This Row],[Closing social housing units managed]]&gt;0,Entity_Unit_Costs[[#This Row],[Service charge costs]]/Entity_Unit_Costs[[#This Row],[Closing social housing units managed]],"")</f>
        <v>5.4885379521141111</v>
      </c>
      <c r="J44" s="193">
        <v>10774</v>
      </c>
      <c r="K44" s="194">
        <f>IF(Entity_Unit_Costs[[#This Row],[Closing social housing units managed]]&gt;0,(Entity_Unit_Costs[[#This Row],[Routine maintenance]]+Entity_Unit_Costs[[#This Row],[Planned maintenance]])/Entity_Unit_Costs[[#This Row],[Closing social housing units managed]],"")</f>
        <v>0.50738665308201736</v>
      </c>
      <c r="L44" s="193">
        <v>815</v>
      </c>
      <c r="M44" s="193">
        <v>181</v>
      </c>
      <c r="N44" s="194">
        <f>IF(Entity_Unit_Costs[[#This Row],[Closing social housing units managed]]&gt;0,(Entity_Unit_Costs[[#This Row],[Major repairs expenditure]]+Entity_Unit_Costs[[#This Row],[Capitalised major repairs expenditure for period]])/Entity_Unit_Costs[[#This Row],[Closing social housing units managed]],"")</f>
        <v>1.2934284258787569</v>
      </c>
      <c r="O44" s="193">
        <v>534</v>
      </c>
      <c r="P44" s="193">
        <v>2005</v>
      </c>
      <c r="Q4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0.1762608252674478</v>
      </c>
      <c r="R44" s="193">
        <v>0</v>
      </c>
      <c r="S44" s="193">
        <v>240</v>
      </c>
      <c r="T44" s="193">
        <v>106</v>
      </c>
      <c r="U44" s="193">
        <v>0</v>
      </c>
      <c r="V44" s="195">
        <v>0</v>
      </c>
      <c r="W44" s="183">
        <v>0.11543506777437691</v>
      </c>
      <c r="X44" s="183">
        <v>0.74639265413205069</v>
      </c>
      <c r="Y44" s="184" t="s">
        <v>1256</v>
      </c>
      <c r="Z44" s="185"/>
      <c r="AA44" s="186" t="s">
        <v>1279</v>
      </c>
      <c r="AB44" s="187" t="s">
        <v>1267</v>
      </c>
      <c r="AC44" s="188">
        <v>1.2395780953914375</v>
      </c>
      <c r="AD44" s="186" t="s">
        <v>284</v>
      </c>
      <c r="AE44" s="187" t="s">
        <v>283</v>
      </c>
    </row>
    <row r="45" spans="1:31" x14ac:dyDescent="0.2">
      <c r="A45" s="189" t="s">
        <v>39</v>
      </c>
      <c r="B45" s="190" t="s">
        <v>38</v>
      </c>
      <c r="C45" s="196" t="s">
        <v>200</v>
      </c>
      <c r="D45" s="192">
        <v>4225</v>
      </c>
      <c r="E4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13991</v>
      </c>
      <c r="F45" s="194">
        <f>IF(Entity_Unit_Costs[[#This Row],[Closing social housing units managed]]&gt;0,Entity_Unit_Costs[[#This Row],[Headline Social Housing Cost]]/Entity_Unit_Costs[[#This Row],[Closing social housing units managed]],"")</f>
        <v>3.3114792899408285</v>
      </c>
      <c r="G45" s="194">
        <f>IF(Entity_Unit_Costs[[#This Row],[Closing social housing units managed]]&gt;0,Entity_Unit_Costs[[#This Row],[Management]]/Entity_Unit_Costs[[#This Row],[Closing social housing units managed]],"")</f>
        <v>0.80757396449704144</v>
      </c>
      <c r="H45" s="193">
        <v>3412</v>
      </c>
      <c r="I45" s="194">
        <f>IF(Entity_Unit_Costs[[#This Row],[Closing social housing units managed]]&gt;0,Entity_Unit_Costs[[#This Row],[Service charge costs]]/Entity_Unit_Costs[[#This Row],[Closing social housing units managed]],"")</f>
        <v>0.35100591715976331</v>
      </c>
      <c r="J45" s="193">
        <v>1483</v>
      </c>
      <c r="K45" s="194">
        <f>IF(Entity_Unit_Costs[[#This Row],[Closing social housing units managed]]&gt;0,(Entity_Unit_Costs[[#This Row],[Routine maintenance]]+Entity_Unit_Costs[[#This Row],[Planned maintenance]])/Entity_Unit_Costs[[#This Row],[Closing social housing units managed]],"")</f>
        <v>0.92686390532544383</v>
      </c>
      <c r="L45" s="193">
        <v>3916</v>
      </c>
      <c r="M45" s="193">
        <v>0</v>
      </c>
      <c r="N45" s="194">
        <f>IF(Entity_Unit_Costs[[#This Row],[Closing social housing units managed]]&gt;0,(Entity_Unit_Costs[[#This Row],[Major repairs expenditure]]+Entity_Unit_Costs[[#This Row],[Capitalised major repairs expenditure for period]])/Entity_Unit_Costs[[#This Row],[Closing social housing units managed]],"")</f>
        <v>1.0859171597633137</v>
      </c>
      <c r="O45" s="193">
        <v>0</v>
      </c>
      <c r="P45" s="193">
        <v>4588</v>
      </c>
      <c r="Q4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0.14011834319526628</v>
      </c>
      <c r="R45" s="193">
        <v>592</v>
      </c>
      <c r="S45" s="193">
        <v>0</v>
      </c>
      <c r="T45" s="193">
        <v>0</v>
      </c>
      <c r="U45" s="193">
        <v>0</v>
      </c>
      <c r="V45" s="195">
        <v>0</v>
      </c>
      <c r="W45" s="183">
        <v>0</v>
      </c>
      <c r="X45" s="183">
        <v>0</v>
      </c>
      <c r="Y45" s="184" t="s">
        <v>1257</v>
      </c>
      <c r="Z45" s="185">
        <v>39482</v>
      </c>
      <c r="AA45" s="186" t="s">
        <v>1280</v>
      </c>
      <c r="AB45" s="187" t="s">
        <v>1266</v>
      </c>
      <c r="AC45" s="188">
        <v>0.9026647648742484</v>
      </c>
      <c r="AD45" s="186">
        <v>4646</v>
      </c>
      <c r="AE45" s="187" t="s">
        <v>466</v>
      </c>
    </row>
    <row r="46" spans="1:31" x14ac:dyDescent="0.2">
      <c r="A46" s="189" t="s">
        <v>285</v>
      </c>
      <c r="B46" s="190" t="s">
        <v>286</v>
      </c>
      <c r="C46" s="196" t="s">
        <v>200</v>
      </c>
      <c r="D46" s="192">
        <v>645</v>
      </c>
      <c r="E4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7310</v>
      </c>
      <c r="F46" s="194">
        <f>IF(Entity_Unit_Costs[[#This Row],[Closing social housing units managed]]&gt;0,Entity_Unit_Costs[[#This Row],[Headline Social Housing Cost]]/Entity_Unit_Costs[[#This Row],[Closing social housing units managed]],"")</f>
        <v>11.333333333333334</v>
      </c>
      <c r="G46" s="194">
        <f>IF(Entity_Unit_Costs[[#This Row],[Closing social housing units managed]]&gt;0,Entity_Unit_Costs[[#This Row],[Management]]/Entity_Unit_Costs[[#This Row],[Closing social housing units managed]],"")</f>
        <v>4.5984496124031011</v>
      </c>
      <c r="H46" s="193">
        <v>2966</v>
      </c>
      <c r="I46" s="194">
        <f>IF(Entity_Unit_Costs[[#This Row],[Closing social housing units managed]]&gt;0,Entity_Unit_Costs[[#This Row],[Service charge costs]]/Entity_Unit_Costs[[#This Row],[Closing social housing units managed]],"")</f>
        <v>1.7410852713178295</v>
      </c>
      <c r="J46" s="193">
        <v>1123</v>
      </c>
      <c r="K46" s="194">
        <f>IF(Entity_Unit_Costs[[#This Row],[Closing social housing units managed]]&gt;0,(Entity_Unit_Costs[[#This Row],[Routine maintenance]]+Entity_Unit_Costs[[#This Row],[Planned maintenance]])/Entity_Unit_Costs[[#This Row],[Closing social housing units managed]],"")</f>
        <v>0.75813953488372088</v>
      </c>
      <c r="L46" s="193">
        <v>482</v>
      </c>
      <c r="M46" s="193">
        <v>7</v>
      </c>
      <c r="N46" s="194">
        <f>IF(Entity_Unit_Costs[[#This Row],[Closing social housing units managed]]&gt;0,(Entity_Unit_Costs[[#This Row],[Major repairs expenditure]]+Entity_Unit_Costs[[#This Row],[Capitalised major repairs expenditure for period]])/Entity_Unit_Costs[[#This Row],[Closing social housing units managed]],"")</f>
        <v>6.2015503875968991E-2</v>
      </c>
      <c r="O46" s="193">
        <v>0</v>
      </c>
      <c r="P46" s="193">
        <v>40</v>
      </c>
      <c r="Q4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4.173643410852713</v>
      </c>
      <c r="R46" s="193">
        <v>2692</v>
      </c>
      <c r="S46" s="193">
        <v>0</v>
      </c>
      <c r="T46" s="193">
        <v>0</v>
      </c>
      <c r="U46" s="193">
        <v>0</v>
      </c>
      <c r="V46" s="195">
        <v>0</v>
      </c>
      <c r="W46" s="183">
        <v>0.87408759124087587</v>
      </c>
      <c r="X46" s="183">
        <v>1.0948905109489052E-2</v>
      </c>
      <c r="Y46" s="184" t="s">
        <v>1256</v>
      </c>
      <c r="Z46" s="185"/>
      <c r="AA46" s="186" t="s">
        <v>1279</v>
      </c>
      <c r="AB46" s="187" t="s">
        <v>1258</v>
      </c>
      <c r="AC46" s="188">
        <v>0.98362844943422223</v>
      </c>
      <c r="AD46" s="186" t="s">
        <v>285</v>
      </c>
      <c r="AE46" s="187" t="s">
        <v>286</v>
      </c>
    </row>
    <row r="47" spans="1:31" x14ac:dyDescent="0.2">
      <c r="A47" s="189" t="s">
        <v>287</v>
      </c>
      <c r="B47" s="190" t="s">
        <v>288</v>
      </c>
      <c r="C47" s="196" t="s">
        <v>200</v>
      </c>
      <c r="D47" s="192">
        <v>1154</v>
      </c>
      <c r="E4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4258</v>
      </c>
      <c r="F47" s="194">
        <f>IF(Entity_Unit_Costs[[#This Row],[Closing social housing units managed]]&gt;0,Entity_Unit_Costs[[#This Row],[Headline Social Housing Cost]]/Entity_Unit_Costs[[#This Row],[Closing social housing units managed]],"")</f>
        <v>3.6897746967071057</v>
      </c>
      <c r="G47" s="194">
        <f>IF(Entity_Unit_Costs[[#This Row],[Closing social housing units managed]]&gt;0,Entity_Unit_Costs[[#This Row],[Management]]/Entity_Unit_Costs[[#This Row],[Closing social housing units managed]],"")</f>
        <v>1.3544194107452339</v>
      </c>
      <c r="H47" s="193">
        <v>1563</v>
      </c>
      <c r="I47" s="194">
        <f>IF(Entity_Unit_Costs[[#This Row],[Closing social housing units managed]]&gt;0,Entity_Unit_Costs[[#This Row],[Service charge costs]]/Entity_Unit_Costs[[#This Row],[Closing social housing units managed]],"")</f>
        <v>0.84662045060658575</v>
      </c>
      <c r="J47" s="193">
        <v>977</v>
      </c>
      <c r="K47" s="194">
        <f>IF(Entity_Unit_Costs[[#This Row],[Closing social housing units managed]]&gt;0,(Entity_Unit_Costs[[#This Row],[Routine maintenance]]+Entity_Unit_Costs[[#This Row],[Planned maintenance]])/Entity_Unit_Costs[[#This Row],[Closing social housing units managed]],"")</f>
        <v>0.68370883882149047</v>
      </c>
      <c r="L47" s="193">
        <v>501</v>
      </c>
      <c r="M47" s="193">
        <v>288</v>
      </c>
      <c r="N47" s="194">
        <f>IF(Entity_Unit_Costs[[#This Row],[Closing social housing units managed]]&gt;0,(Entity_Unit_Costs[[#This Row],[Major repairs expenditure]]+Entity_Unit_Costs[[#This Row],[Capitalised major repairs expenditure for period]])/Entity_Unit_Costs[[#This Row],[Closing social housing units managed]],"")</f>
        <v>0.80069324090121319</v>
      </c>
      <c r="O47" s="193">
        <v>0</v>
      </c>
      <c r="P47" s="193">
        <v>924</v>
      </c>
      <c r="Q4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4.3327556325823222E-3</v>
      </c>
      <c r="R47" s="193">
        <v>0</v>
      </c>
      <c r="S47" s="193">
        <v>0</v>
      </c>
      <c r="T47" s="193">
        <v>5</v>
      </c>
      <c r="U47" s="193">
        <v>0</v>
      </c>
      <c r="V47" s="195">
        <v>0</v>
      </c>
      <c r="W47" s="183">
        <v>0</v>
      </c>
      <c r="X47" s="183">
        <v>0</v>
      </c>
      <c r="Y47" s="184" t="s">
        <v>1257</v>
      </c>
      <c r="Z47" s="185">
        <v>36248</v>
      </c>
      <c r="AA47" s="186" t="s">
        <v>1268</v>
      </c>
      <c r="AB47" s="187" t="s">
        <v>1267</v>
      </c>
      <c r="AC47" s="188">
        <v>1.2488627787394371</v>
      </c>
      <c r="AD47" s="186" t="s">
        <v>368</v>
      </c>
      <c r="AE47" s="187" t="s">
        <v>367</v>
      </c>
    </row>
    <row r="48" spans="1:31" x14ac:dyDescent="0.2">
      <c r="A48" s="189" t="s">
        <v>42</v>
      </c>
      <c r="B48" s="190" t="s">
        <v>40</v>
      </c>
      <c r="C48" s="196" t="s">
        <v>200</v>
      </c>
      <c r="D48" s="192">
        <v>8535</v>
      </c>
      <c r="E4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26279</v>
      </c>
      <c r="F48" s="194">
        <f>IF(Entity_Unit_Costs[[#This Row],[Closing social housing units managed]]&gt;0,Entity_Unit_Costs[[#This Row],[Headline Social Housing Cost]]/Entity_Unit_Costs[[#This Row],[Closing social housing units managed]],"")</f>
        <v>3.0789689513766842</v>
      </c>
      <c r="G48" s="194">
        <f>IF(Entity_Unit_Costs[[#This Row],[Closing social housing units managed]]&gt;0,Entity_Unit_Costs[[#This Row],[Management]]/Entity_Unit_Costs[[#This Row],[Closing social housing units managed]],"")</f>
        <v>1.3134153485647335</v>
      </c>
      <c r="H48" s="193">
        <v>11210</v>
      </c>
      <c r="I48" s="194">
        <f>IF(Entity_Unit_Costs[[#This Row],[Closing social housing units managed]]&gt;0,Entity_Unit_Costs[[#This Row],[Service charge costs]]/Entity_Unit_Costs[[#This Row],[Closing social housing units managed]],"")</f>
        <v>0.25588752196836556</v>
      </c>
      <c r="J48" s="193">
        <v>2184</v>
      </c>
      <c r="K48" s="194">
        <f>IF(Entity_Unit_Costs[[#This Row],[Closing social housing units managed]]&gt;0,(Entity_Unit_Costs[[#This Row],[Routine maintenance]]+Entity_Unit_Costs[[#This Row],[Planned maintenance]])/Entity_Unit_Costs[[#This Row],[Closing social housing units managed]],"")</f>
        <v>1.0642062097246632</v>
      </c>
      <c r="L48" s="193">
        <v>4423</v>
      </c>
      <c r="M48" s="193">
        <v>4660</v>
      </c>
      <c r="N48" s="194">
        <f>IF(Entity_Unit_Costs[[#This Row],[Closing social housing units managed]]&gt;0,(Entity_Unit_Costs[[#This Row],[Major repairs expenditure]]+Entity_Unit_Costs[[#This Row],[Capitalised major repairs expenditure for period]])/Entity_Unit_Costs[[#This Row],[Closing social housing units managed]],"")</f>
        <v>0.3669595782073814</v>
      </c>
      <c r="O48" s="193">
        <v>426</v>
      </c>
      <c r="P48" s="193">
        <v>2706</v>
      </c>
      <c r="Q4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7.8500292911540717E-2</v>
      </c>
      <c r="R48" s="193">
        <v>0</v>
      </c>
      <c r="S48" s="193">
        <v>398</v>
      </c>
      <c r="T48" s="193">
        <v>0</v>
      </c>
      <c r="U48" s="193">
        <v>272</v>
      </c>
      <c r="V48" s="195">
        <v>0</v>
      </c>
      <c r="W48" s="183">
        <v>0.10876699484294421</v>
      </c>
      <c r="X48" s="183">
        <v>0.14451476793248946</v>
      </c>
      <c r="Y48" s="184" t="s">
        <v>1257</v>
      </c>
      <c r="Z48" s="185">
        <v>37326</v>
      </c>
      <c r="AA48" s="186" t="s">
        <v>1268</v>
      </c>
      <c r="AB48" s="187" t="s">
        <v>1263</v>
      </c>
      <c r="AC48" s="188">
        <v>1.0022399874355168</v>
      </c>
      <c r="AD48" s="186" t="s">
        <v>42</v>
      </c>
      <c r="AE48" s="187" t="s">
        <v>40</v>
      </c>
    </row>
    <row r="49" spans="1:31" x14ac:dyDescent="0.2">
      <c r="A49" s="189" t="s">
        <v>289</v>
      </c>
      <c r="B49" s="190" t="s">
        <v>290</v>
      </c>
      <c r="C49" s="196" t="s">
        <v>200</v>
      </c>
      <c r="D49" s="192">
        <v>5065</v>
      </c>
      <c r="E4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14718</v>
      </c>
      <c r="F49" s="194">
        <f>IF(Entity_Unit_Costs[[#This Row],[Closing social housing units managed]]&gt;0,Entity_Unit_Costs[[#This Row],[Headline Social Housing Cost]]/Entity_Unit_Costs[[#This Row],[Closing social housing units managed]],"")</f>
        <v>2.9058242843040474</v>
      </c>
      <c r="G49" s="194">
        <f>IF(Entity_Unit_Costs[[#This Row],[Closing social housing units managed]]&gt;0,Entity_Unit_Costs[[#This Row],[Management]]/Entity_Unit_Costs[[#This Row],[Closing social housing units managed]],"")</f>
        <v>0.49772951628825274</v>
      </c>
      <c r="H49" s="193">
        <v>2521</v>
      </c>
      <c r="I49" s="194">
        <f>IF(Entity_Unit_Costs[[#This Row],[Closing social housing units managed]]&gt;0,Entity_Unit_Costs[[#This Row],[Service charge costs]]/Entity_Unit_Costs[[#This Row],[Closing social housing units managed]],"")</f>
        <v>0.34471865745310959</v>
      </c>
      <c r="J49" s="193">
        <v>1746</v>
      </c>
      <c r="K49" s="194">
        <f>IF(Entity_Unit_Costs[[#This Row],[Closing social housing units managed]]&gt;0,(Entity_Unit_Costs[[#This Row],[Routine maintenance]]+Entity_Unit_Costs[[#This Row],[Planned maintenance]])/Entity_Unit_Costs[[#This Row],[Closing social housing units managed]],"")</f>
        <v>1.1204343534057255</v>
      </c>
      <c r="L49" s="193">
        <v>3905</v>
      </c>
      <c r="M49" s="193">
        <v>1770</v>
      </c>
      <c r="N49" s="194">
        <f>IF(Entity_Unit_Costs[[#This Row],[Closing social housing units managed]]&gt;0,(Entity_Unit_Costs[[#This Row],[Major repairs expenditure]]+Entity_Unit_Costs[[#This Row],[Capitalised major repairs expenditure for period]])/Entity_Unit_Costs[[#This Row],[Closing social housing units managed]],"")</f>
        <v>0.72892398815399806</v>
      </c>
      <c r="O49" s="193">
        <v>0</v>
      </c>
      <c r="P49" s="193">
        <v>3692</v>
      </c>
      <c r="Q4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0.21401776900296149</v>
      </c>
      <c r="R49" s="193">
        <v>95</v>
      </c>
      <c r="S49" s="193">
        <v>287</v>
      </c>
      <c r="T49" s="193">
        <v>702</v>
      </c>
      <c r="U49" s="193">
        <v>0</v>
      </c>
      <c r="V49" s="195">
        <v>0</v>
      </c>
      <c r="W49" s="183">
        <v>9.8736176935229061E-4</v>
      </c>
      <c r="X49" s="183">
        <v>0.21939178515007898</v>
      </c>
      <c r="Y49" s="184" t="s">
        <v>1257</v>
      </c>
      <c r="Z49" s="185">
        <v>38915</v>
      </c>
      <c r="AA49" s="186" t="s">
        <v>1280</v>
      </c>
      <c r="AB49" s="187" t="s">
        <v>1262</v>
      </c>
      <c r="AC49" s="188">
        <v>0.91572888304091826</v>
      </c>
      <c r="AD49" s="186" t="s">
        <v>289</v>
      </c>
      <c r="AE49" s="187" t="s">
        <v>290</v>
      </c>
    </row>
    <row r="50" spans="1:31" x14ac:dyDescent="0.2">
      <c r="A50" s="189" t="s">
        <v>291</v>
      </c>
      <c r="B50" s="190" t="s">
        <v>292</v>
      </c>
      <c r="C50" s="196" t="s">
        <v>200</v>
      </c>
      <c r="D50" s="192">
        <v>3068</v>
      </c>
      <c r="E5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12046</v>
      </c>
      <c r="F50" s="194">
        <f>IF(Entity_Unit_Costs[[#This Row],[Closing social housing units managed]]&gt;0,Entity_Unit_Costs[[#This Row],[Headline Social Housing Cost]]/Entity_Unit_Costs[[#This Row],[Closing social housing units managed]],"")</f>
        <v>3.9263363754889178</v>
      </c>
      <c r="G50" s="194">
        <f>IF(Entity_Unit_Costs[[#This Row],[Closing social housing units managed]]&gt;0,Entity_Unit_Costs[[#This Row],[Management]]/Entity_Unit_Costs[[#This Row],[Closing social housing units managed]],"")</f>
        <v>0.7082790091264668</v>
      </c>
      <c r="H50" s="193">
        <v>2173</v>
      </c>
      <c r="I50" s="194">
        <f>IF(Entity_Unit_Costs[[#This Row],[Closing social housing units managed]]&gt;0,Entity_Unit_Costs[[#This Row],[Service charge costs]]/Entity_Unit_Costs[[#This Row],[Closing social housing units managed]],"")</f>
        <v>0.65156453715775753</v>
      </c>
      <c r="J50" s="193">
        <v>1999</v>
      </c>
      <c r="K50" s="194">
        <f>IF(Entity_Unit_Costs[[#This Row],[Closing social housing units managed]]&gt;0,(Entity_Unit_Costs[[#This Row],[Routine maintenance]]+Entity_Unit_Costs[[#This Row],[Planned maintenance]])/Entity_Unit_Costs[[#This Row],[Closing social housing units managed]],"")</f>
        <v>0.98337679269882661</v>
      </c>
      <c r="L50" s="193">
        <v>2318</v>
      </c>
      <c r="M50" s="193">
        <v>699</v>
      </c>
      <c r="N50" s="194">
        <f>IF(Entity_Unit_Costs[[#This Row],[Closing social housing units managed]]&gt;0,(Entity_Unit_Costs[[#This Row],[Major repairs expenditure]]+Entity_Unit_Costs[[#This Row],[Capitalised major repairs expenditure for period]])/Entity_Unit_Costs[[#This Row],[Closing social housing units managed]],"")</f>
        <v>1.395697522816167</v>
      </c>
      <c r="O50" s="193">
        <v>616</v>
      </c>
      <c r="P50" s="193">
        <v>3666</v>
      </c>
      <c r="Q5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0.18741851368970014</v>
      </c>
      <c r="R50" s="193">
        <v>576</v>
      </c>
      <c r="S50" s="193">
        <v>0</v>
      </c>
      <c r="T50" s="193">
        <v>-183</v>
      </c>
      <c r="U50" s="193">
        <v>182</v>
      </c>
      <c r="V50" s="195">
        <v>0</v>
      </c>
      <c r="W50" s="183">
        <v>2.3636936653009769E-2</v>
      </c>
      <c r="X50" s="183">
        <v>0.33343838638512446</v>
      </c>
      <c r="Y50" s="184" t="s">
        <v>1256</v>
      </c>
      <c r="Z50" s="185"/>
      <c r="AA50" s="186" t="s">
        <v>1279</v>
      </c>
      <c r="AB50" s="187" t="s">
        <v>1266</v>
      </c>
      <c r="AC50" s="188">
        <v>0.90266476487424852</v>
      </c>
      <c r="AD50" s="186" t="s">
        <v>1226</v>
      </c>
      <c r="AE50" s="187" t="s">
        <v>252</v>
      </c>
    </row>
    <row r="51" spans="1:31" x14ac:dyDescent="0.2">
      <c r="A51" s="189" t="s">
        <v>44</v>
      </c>
      <c r="B51" s="190" t="s">
        <v>43</v>
      </c>
      <c r="C51" s="196" t="s">
        <v>200</v>
      </c>
      <c r="D51" s="192">
        <v>5670</v>
      </c>
      <c r="E5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6831</v>
      </c>
      <c r="F51" s="194">
        <f>IF(Entity_Unit_Costs[[#This Row],[Closing social housing units managed]]&gt;0,Entity_Unit_Costs[[#This Row],[Headline Social Housing Cost]]/Entity_Unit_Costs[[#This Row],[Closing social housing units managed]],"")</f>
        <v>1.2047619047619047</v>
      </c>
      <c r="G51" s="194">
        <f>IF(Entity_Unit_Costs[[#This Row],[Closing social housing units managed]]&gt;0,Entity_Unit_Costs[[#This Row],[Management]]/Entity_Unit_Costs[[#This Row],[Closing social housing units managed]],"")</f>
        <v>0.41358024691358025</v>
      </c>
      <c r="H51" s="193">
        <v>2345</v>
      </c>
      <c r="I51" s="194">
        <f>IF(Entity_Unit_Costs[[#This Row],[Closing social housing units managed]]&gt;0,Entity_Unit_Costs[[#This Row],[Service charge costs]]/Entity_Unit_Costs[[#This Row],[Closing social housing units managed]],"")</f>
        <v>0.10211640211640212</v>
      </c>
      <c r="J51" s="193">
        <v>579</v>
      </c>
      <c r="K51" s="194">
        <f>IF(Entity_Unit_Costs[[#This Row],[Closing social housing units managed]]&gt;0,(Entity_Unit_Costs[[#This Row],[Routine maintenance]]+Entity_Unit_Costs[[#This Row],[Planned maintenance]])/Entity_Unit_Costs[[#This Row],[Closing social housing units managed]],"")</f>
        <v>0.60423280423280423</v>
      </c>
      <c r="L51" s="193">
        <v>1712</v>
      </c>
      <c r="M51" s="193">
        <v>1714</v>
      </c>
      <c r="N51" s="194">
        <f>IF(Entity_Unit_Costs[[#This Row],[Closing social housing units managed]]&gt;0,(Entity_Unit_Costs[[#This Row],[Major repairs expenditure]]+Entity_Unit_Costs[[#This Row],[Capitalised major repairs expenditure for period]])/Entity_Unit_Costs[[#This Row],[Closing social housing units managed]],"")</f>
        <v>6.4726631393298054E-2</v>
      </c>
      <c r="O51" s="193">
        <v>107</v>
      </c>
      <c r="P51" s="193">
        <v>260</v>
      </c>
      <c r="Q5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2.0105820105820106E-2</v>
      </c>
      <c r="R51" s="193">
        <v>114</v>
      </c>
      <c r="S51" s="193">
        <v>0</v>
      </c>
      <c r="T51" s="193">
        <v>0</v>
      </c>
      <c r="U51" s="193">
        <v>0</v>
      </c>
      <c r="V51" s="195">
        <v>0</v>
      </c>
      <c r="W51" s="183">
        <v>4.4923629829290209E-3</v>
      </c>
      <c r="X51" s="183">
        <v>0.11734052111410602</v>
      </c>
      <c r="Y51" s="184" t="s">
        <v>1257</v>
      </c>
      <c r="Z51" s="185">
        <v>39167</v>
      </c>
      <c r="AA51" s="186" t="s">
        <v>1280</v>
      </c>
      <c r="AB51" s="187" t="s">
        <v>1262</v>
      </c>
      <c r="AC51" s="188">
        <v>0.9156653862445665</v>
      </c>
      <c r="AD51" s="186" t="s">
        <v>1223</v>
      </c>
      <c r="AE51" s="187" t="s">
        <v>220</v>
      </c>
    </row>
    <row r="52" spans="1:31" x14ac:dyDescent="0.2">
      <c r="A52" s="189" t="s">
        <v>293</v>
      </c>
      <c r="B52" s="190" t="s">
        <v>294</v>
      </c>
      <c r="C52" s="196" t="s">
        <v>200</v>
      </c>
      <c r="D52" s="192">
        <v>36748</v>
      </c>
      <c r="E5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173134</v>
      </c>
      <c r="F52" s="194">
        <f>IF(Entity_Unit_Costs[[#This Row],[Closing social housing units managed]]&gt;0,Entity_Unit_Costs[[#This Row],[Headline Social Housing Cost]]/Entity_Unit_Costs[[#This Row],[Closing social housing units managed]],"")</f>
        <v>4.7113856536410141</v>
      </c>
      <c r="G52" s="194">
        <f>IF(Entity_Unit_Costs[[#This Row],[Closing social housing units managed]]&gt;0,Entity_Unit_Costs[[#This Row],[Management]]/Entity_Unit_Costs[[#This Row],[Closing social housing units managed]],"")</f>
        <v>0.76583759660389683</v>
      </c>
      <c r="H52" s="193">
        <v>28143</v>
      </c>
      <c r="I52" s="194">
        <f>IF(Entity_Unit_Costs[[#This Row],[Closing social housing units managed]]&gt;0,Entity_Unit_Costs[[#This Row],[Service charge costs]]/Entity_Unit_Costs[[#This Row],[Closing social housing units managed]],"")</f>
        <v>0.5858822248829868</v>
      </c>
      <c r="J52" s="193">
        <v>21530</v>
      </c>
      <c r="K52" s="194">
        <f>IF(Entity_Unit_Costs[[#This Row],[Closing social housing units managed]]&gt;0,(Entity_Unit_Costs[[#This Row],[Routine maintenance]]+Entity_Unit_Costs[[#This Row],[Planned maintenance]])/Entity_Unit_Costs[[#This Row],[Closing social housing units managed]],"")</f>
        <v>2.3808098399912923</v>
      </c>
      <c r="L52" s="193">
        <v>59302</v>
      </c>
      <c r="M52" s="193">
        <v>28188</v>
      </c>
      <c r="N52" s="194">
        <f>IF(Entity_Unit_Costs[[#This Row],[Closing social housing units managed]]&gt;0,(Entity_Unit_Costs[[#This Row],[Major repairs expenditure]]+Entity_Unit_Costs[[#This Row],[Capitalised major repairs expenditure for period]])/Entity_Unit_Costs[[#This Row],[Closing social housing units managed]],"")</f>
        <v>0.54128115815826716</v>
      </c>
      <c r="O52" s="193">
        <v>0</v>
      </c>
      <c r="P52" s="193">
        <v>19891</v>
      </c>
      <c r="Q5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0.4375748340045717</v>
      </c>
      <c r="R52" s="193">
        <v>88</v>
      </c>
      <c r="S52" s="193">
        <v>21</v>
      </c>
      <c r="T52" s="193">
        <v>13838</v>
      </c>
      <c r="U52" s="193">
        <v>668</v>
      </c>
      <c r="V52" s="195">
        <v>1465</v>
      </c>
      <c r="W52" s="183">
        <v>3.8223767731964453E-2</v>
      </c>
      <c r="X52" s="183">
        <v>7.6530330628691287E-2</v>
      </c>
      <c r="Y52" s="184" t="s">
        <v>1256</v>
      </c>
      <c r="Z52" s="185"/>
      <c r="AA52" s="186" t="s">
        <v>1279</v>
      </c>
      <c r="AB52" s="187" t="s">
        <v>1263</v>
      </c>
      <c r="AC52" s="188">
        <v>1.0853901350198998</v>
      </c>
      <c r="AD52" s="186" t="s">
        <v>1228</v>
      </c>
      <c r="AE52" s="187" t="s">
        <v>300</v>
      </c>
    </row>
    <row r="53" spans="1:31" x14ac:dyDescent="0.2">
      <c r="A53" s="189" t="s">
        <v>295</v>
      </c>
      <c r="B53" s="190" t="s">
        <v>296</v>
      </c>
      <c r="C53" s="196" t="s">
        <v>200</v>
      </c>
      <c r="D53" s="192">
        <v>4233</v>
      </c>
      <c r="E5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10991</v>
      </c>
      <c r="F53" s="194">
        <f>IF(Entity_Unit_Costs[[#This Row],[Closing social housing units managed]]&gt;0,Entity_Unit_Costs[[#This Row],[Headline Social Housing Cost]]/Entity_Unit_Costs[[#This Row],[Closing social housing units managed]],"")</f>
        <v>2.5965036617056461</v>
      </c>
      <c r="G53" s="194">
        <f>IF(Entity_Unit_Costs[[#This Row],[Closing social housing units managed]]&gt;0,Entity_Unit_Costs[[#This Row],[Management]]/Entity_Unit_Costs[[#This Row],[Closing social housing units managed]],"")</f>
        <v>1.0978029766123316</v>
      </c>
      <c r="H53" s="193">
        <v>4647</v>
      </c>
      <c r="I53" s="194">
        <f>IF(Entity_Unit_Costs[[#This Row],[Closing social housing units managed]]&gt;0,Entity_Unit_Costs[[#This Row],[Service charge costs]]/Entity_Unit_Costs[[#This Row],[Closing social housing units managed]],"")</f>
        <v>0.29742499409402318</v>
      </c>
      <c r="J53" s="193">
        <v>1259</v>
      </c>
      <c r="K53" s="194">
        <f>IF(Entity_Unit_Costs[[#This Row],[Closing social housing units managed]]&gt;0,(Entity_Unit_Costs[[#This Row],[Routine maintenance]]+Entity_Unit_Costs[[#This Row],[Planned maintenance]])/Entity_Unit_Costs[[#This Row],[Closing social housing units managed]],"")</f>
        <v>0.63099456650129937</v>
      </c>
      <c r="L53" s="193">
        <v>1904</v>
      </c>
      <c r="M53" s="193">
        <v>767</v>
      </c>
      <c r="N53" s="194">
        <f>IF(Entity_Unit_Costs[[#This Row],[Closing social housing units managed]]&gt;0,(Entity_Unit_Costs[[#This Row],[Major repairs expenditure]]+Entity_Unit_Costs[[#This Row],[Capitalised major repairs expenditure for period]])/Entity_Unit_Costs[[#This Row],[Closing social housing units managed]],"")</f>
        <v>0.47885660288211668</v>
      </c>
      <c r="O53" s="193">
        <v>1122</v>
      </c>
      <c r="P53" s="193">
        <v>905</v>
      </c>
      <c r="Q5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9.1424521615875262E-2</v>
      </c>
      <c r="R53" s="193">
        <v>307</v>
      </c>
      <c r="S53" s="193">
        <v>9</v>
      </c>
      <c r="T53" s="193">
        <v>0</v>
      </c>
      <c r="U53" s="193">
        <v>71</v>
      </c>
      <c r="V53" s="195">
        <v>0</v>
      </c>
      <c r="W53" s="183">
        <v>0</v>
      </c>
      <c r="X53" s="183">
        <v>6.6146940703992437E-3</v>
      </c>
      <c r="Y53" s="184" t="s">
        <v>1257</v>
      </c>
      <c r="Z53" s="185">
        <v>39601</v>
      </c>
      <c r="AA53" s="186" t="s">
        <v>1280</v>
      </c>
      <c r="AB53" s="187" t="s">
        <v>1262</v>
      </c>
      <c r="AC53" s="188">
        <v>0.9156653862445665</v>
      </c>
      <c r="AD53" s="186">
        <v>4808</v>
      </c>
      <c r="AE53" s="187" t="s">
        <v>570</v>
      </c>
    </row>
    <row r="54" spans="1:31" x14ac:dyDescent="0.2">
      <c r="A54" s="189" t="s">
        <v>297</v>
      </c>
      <c r="B54" s="190" t="s">
        <v>298</v>
      </c>
      <c r="C54" s="196" t="s">
        <v>200</v>
      </c>
      <c r="D54" s="192">
        <v>14948</v>
      </c>
      <c r="E5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43476</v>
      </c>
      <c r="F54" s="194">
        <f>IF(Entity_Unit_Costs[[#This Row],[Closing social housing units managed]]&gt;0,Entity_Unit_Costs[[#This Row],[Headline Social Housing Cost]]/Entity_Unit_Costs[[#This Row],[Closing social housing units managed]],"")</f>
        <v>2.9084827401659084</v>
      </c>
      <c r="G54" s="194">
        <f>IF(Entity_Unit_Costs[[#This Row],[Closing social housing units managed]]&gt;0,Entity_Unit_Costs[[#This Row],[Management]]/Entity_Unit_Costs[[#This Row],[Closing social housing units managed]],"")</f>
        <v>0.95317099277495321</v>
      </c>
      <c r="H54" s="193">
        <v>14248</v>
      </c>
      <c r="I54" s="194">
        <f>IF(Entity_Unit_Costs[[#This Row],[Closing social housing units managed]]&gt;0,Entity_Unit_Costs[[#This Row],[Service charge costs]]/Entity_Unit_Costs[[#This Row],[Closing social housing units managed]],"")</f>
        <v>0.2251137275889751</v>
      </c>
      <c r="J54" s="193">
        <v>3365</v>
      </c>
      <c r="K54" s="194">
        <f>IF(Entity_Unit_Costs[[#This Row],[Closing social housing units managed]]&gt;0,(Entity_Unit_Costs[[#This Row],[Routine maintenance]]+Entity_Unit_Costs[[#This Row],[Planned maintenance]])/Entity_Unit_Costs[[#This Row],[Closing social housing units managed]],"")</f>
        <v>0.82291945410757295</v>
      </c>
      <c r="L54" s="193">
        <v>8354</v>
      </c>
      <c r="M54" s="193">
        <v>3947</v>
      </c>
      <c r="N54" s="194">
        <f>IF(Entity_Unit_Costs[[#This Row],[Closing social housing units managed]]&gt;0,(Entity_Unit_Costs[[#This Row],[Major repairs expenditure]]+Entity_Unit_Costs[[#This Row],[Capitalised major repairs expenditure for period]])/Entity_Unit_Costs[[#This Row],[Closing social housing units managed]],"")</f>
        <v>0.6424939791276425</v>
      </c>
      <c r="O54" s="193">
        <v>1239</v>
      </c>
      <c r="P54" s="193">
        <v>8365</v>
      </c>
      <c r="Q5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0.26478458656676479</v>
      </c>
      <c r="R54" s="193">
        <v>3510</v>
      </c>
      <c r="S54" s="193">
        <v>363</v>
      </c>
      <c r="T54" s="193">
        <v>85</v>
      </c>
      <c r="U54" s="193">
        <v>0</v>
      </c>
      <c r="V54" s="195">
        <v>0</v>
      </c>
      <c r="W54" s="183">
        <v>6.7537539559625617E-2</v>
      </c>
      <c r="X54" s="183">
        <v>0</v>
      </c>
      <c r="Y54" s="184" t="s">
        <v>1257</v>
      </c>
      <c r="Z54" s="185">
        <v>39727</v>
      </c>
      <c r="AA54" s="186" t="s">
        <v>1280</v>
      </c>
      <c r="AB54" s="187" t="s">
        <v>1262</v>
      </c>
      <c r="AC54" s="188">
        <v>0.9156653862445665</v>
      </c>
      <c r="AD54" s="186">
        <v>4820</v>
      </c>
      <c r="AE54" s="187" t="s">
        <v>373</v>
      </c>
    </row>
    <row r="55" spans="1:31" x14ac:dyDescent="0.2">
      <c r="A55" s="189" t="s">
        <v>46</v>
      </c>
      <c r="B55" s="190" t="s">
        <v>45</v>
      </c>
      <c r="C55" s="196" t="s">
        <v>200</v>
      </c>
      <c r="D55" s="192">
        <v>10652</v>
      </c>
      <c r="E5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28338</v>
      </c>
      <c r="F55" s="194">
        <f>IF(Entity_Unit_Costs[[#This Row],[Closing social housing units managed]]&gt;0,Entity_Unit_Costs[[#This Row],[Headline Social Housing Cost]]/Entity_Unit_Costs[[#This Row],[Closing social housing units managed]],"")</f>
        <v>2.6603454750281639</v>
      </c>
      <c r="G55" s="194">
        <f>IF(Entity_Unit_Costs[[#This Row],[Closing social housing units managed]]&gt;0,Entity_Unit_Costs[[#This Row],[Management]]/Entity_Unit_Costs[[#This Row],[Closing social housing units managed]],"")</f>
        <v>0.91672925272249339</v>
      </c>
      <c r="H55" s="193">
        <v>9765</v>
      </c>
      <c r="I55" s="194">
        <f>IF(Entity_Unit_Costs[[#This Row],[Closing social housing units managed]]&gt;0,Entity_Unit_Costs[[#This Row],[Service charge costs]]/Entity_Unit_Costs[[#This Row],[Closing social housing units managed]],"")</f>
        <v>0.12410814870446864</v>
      </c>
      <c r="J55" s="193">
        <v>1322</v>
      </c>
      <c r="K55" s="194">
        <f>IF(Entity_Unit_Costs[[#This Row],[Closing social housing units managed]]&gt;0,(Entity_Unit_Costs[[#This Row],[Routine maintenance]]+Entity_Unit_Costs[[#This Row],[Planned maintenance]])/Entity_Unit_Costs[[#This Row],[Closing social housing units managed]],"")</f>
        <v>0.86453248216297407</v>
      </c>
      <c r="L55" s="193">
        <v>7252</v>
      </c>
      <c r="M55" s="193">
        <v>1957</v>
      </c>
      <c r="N55" s="194">
        <f>IF(Entity_Unit_Costs[[#This Row],[Closing social housing units managed]]&gt;0,(Entity_Unit_Costs[[#This Row],[Major repairs expenditure]]+Entity_Unit_Costs[[#This Row],[Capitalised major repairs expenditure for period]])/Entity_Unit_Costs[[#This Row],[Closing social housing units managed]],"")</f>
        <v>0.55069470521967701</v>
      </c>
      <c r="O55" s="193">
        <v>3720</v>
      </c>
      <c r="P55" s="193">
        <v>2146</v>
      </c>
      <c r="Q5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0.20428088621855051</v>
      </c>
      <c r="R55" s="193">
        <v>0</v>
      </c>
      <c r="S55" s="193">
        <v>0</v>
      </c>
      <c r="T55" s="193">
        <v>2176</v>
      </c>
      <c r="U55" s="193">
        <v>0</v>
      </c>
      <c r="V55" s="195">
        <v>0</v>
      </c>
      <c r="W55" s="183">
        <v>1.1266547741996056E-3</v>
      </c>
      <c r="X55" s="183">
        <v>0</v>
      </c>
      <c r="Y55" s="184" t="s">
        <v>1257</v>
      </c>
      <c r="Z55" s="185">
        <v>37452</v>
      </c>
      <c r="AA55" s="186" t="s">
        <v>1268</v>
      </c>
      <c r="AB55" s="187" t="s">
        <v>1266</v>
      </c>
      <c r="AC55" s="188">
        <v>0.90318526045340863</v>
      </c>
      <c r="AD55" s="186" t="s">
        <v>46</v>
      </c>
      <c r="AE55" s="187" t="s">
        <v>45</v>
      </c>
    </row>
    <row r="56" spans="1:31" x14ac:dyDescent="0.2">
      <c r="A56" s="189" t="s">
        <v>303</v>
      </c>
      <c r="B56" s="190" t="s">
        <v>302</v>
      </c>
      <c r="C56" s="191" t="s">
        <v>200</v>
      </c>
      <c r="D56" s="192">
        <v>4256</v>
      </c>
      <c r="E5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13452</v>
      </c>
      <c r="F56" s="194">
        <f>IF(Entity_Unit_Costs[[#This Row],[Closing social housing units managed]]&gt;0,Entity_Unit_Costs[[#This Row],[Headline Social Housing Cost]]/Entity_Unit_Costs[[#This Row],[Closing social housing units managed]],"")</f>
        <v>3.1607142857142856</v>
      </c>
      <c r="G56" s="194">
        <f>IF(Entity_Unit_Costs[[#This Row],[Closing social housing units managed]]&gt;0,Entity_Unit_Costs[[#This Row],[Management]]/Entity_Unit_Costs[[#This Row],[Closing social housing units managed]],"")</f>
        <v>0.59586466165413532</v>
      </c>
      <c r="H56" s="193">
        <v>2536</v>
      </c>
      <c r="I56" s="194">
        <f>IF(Entity_Unit_Costs[[#This Row],[Closing social housing units managed]]&gt;0,Entity_Unit_Costs[[#This Row],[Service charge costs]]/Entity_Unit_Costs[[#This Row],[Closing social housing units managed]],"")</f>
        <v>0.32753759398496241</v>
      </c>
      <c r="J56" s="193">
        <v>1394</v>
      </c>
      <c r="K56" s="194">
        <f>IF(Entity_Unit_Costs[[#This Row],[Closing social housing units managed]]&gt;0,(Entity_Unit_Costs[[#This Row],[Routine maintenance]]+Entity_Unit_Costs[[#This Row],[Planned maintenance]])/Entity_Unit_Costs[[#This Row],[Closing social housing units managed]],"")</f>
        <v>1.3414003759398496</v>
      </c>
      <c r="L56" s="193">
        <v>3866</v>
      </c>
      <c r="M56" s="193">
        <v>1843</v>
      </c>
      <c r="N56" s="194">
        <f>IF(Entity_Unit_Costs[[#This Row],[Closing social housing units managed]]&gt;0,(Entity_Unit_Costs[[#This Row],[Major repairs expenditure]]+Entity_Unit_Costs[[#This Row],[Capitalised major repairs expenditure for period]])/Entity_Unit_Costs[[#This Row],[Closing social housing units managed]],"")</f>
        <v>0.89567669172932329</v>
      </c>
      <c r="O56" s="193">
        <v>1042</v>
      </c>
      <c r="P56" s="193">
        <v>2770</v>
      </c>
      <c r="Q5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2.3496240601503758E-4</v>
      </c>
      <c r="R56" s="193">
        <v>1</v>
      </c>
      <c r="S56" s="193">
        <v>0</v>
      </c>
      <c r="T56" s="193">
        <v>0</v>
      </c>
      <c r="U56" s="193">
        <v>0</v>
      </c>
      <c r="V56" s="195">
        <v>0</v>
      </c>
      <c r="W56" s="183">
        <v>1.6090297790585975E-2</v>
      </c>
      <c r="X56" s="183">
        <v>0.15682036503362151</v>
      </c>
      <c r="Y56" s="184" t="s">
        <v>1257</v>
      </c>
      <c r="Z56" s="185">
        <v>35877</v>
      </c>
      <c r="AA56" s="186" t="s">
        <v>1268</v>
      </c>
      <c r="AB56" s="187" t="s">
        <v>1265</v>
      </c>
      <c r="AC56" s="188">
        <v>0.96617455710897804</v>
      </c>
      <c r="AD56" s="186" t="s">
        <v>303</v>
      </c>
      <c r="AE56" s="187" t="s">
        <v>302</v>
      </c>
    </row>
    <row r="57" spans="1:31" x14ac:dyDescent="0.2">
      <c r="A57" s="189" t="s">
        <v>304</v>
      </c>
      <c r="B57" s="190" t="s">
        <v>305</v>
      </c>
      <c r="C57" s="196" t="s">
        <v>200</v>
      </c>
      <c r="D57" s="192">
        <v>6011</v>
      </c>
      <c r="E5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14407</v>
      </c>
      <c r="F57" s="194">
        <f>IF(Entity_Unit_Costs[[#This Row],[Closing social housing units managed]]&gt;0,Entity_Unit_Costs[[#This Row],[Headline Social Housing Cost]]/Entity_Unit_Costs[[#This Row],[Closing social housing units managed]],"")</f>
        <v>2.3967725835967393</v>
      </c>
      <c r="G57" s="194">
        <f>IF(Entity_Unit_Costs[[#This Row],[Closing social housing units managed]]&gt;0,Entity_Unit_Costs[[#This Row],[Management]]/Entity_Unit_Costs[[#This Row],[Closing social housing units managed]],"")</f>
        <v>0.43869572450507405</v>
      </c>
      <c r="H57" s="193">
        <v>2637</v>
      </c>
      <c r="I57" s="194">
        <f>IF(Entity_Unit_Costs[[#This Row],[Closing social housing units managed]]&gt;0,Entity_Unit_Costs[[#This Row],[Service charge costs]]/Entity_Unit_Costs[[#This Row],[Closing social housing units managed]],"")</f>
        <v>2.1127932124438531E-2</v>
      </c>
      <c r="J57" s="193">
        <v>127</v>
      </c>
      <c r="K57" s="194">
        <f>IF(Entity_Unit_Costs[[#This Row],[Closing social housing units managed]]&gt;0,(Entity_Unit_Costs[[#This Row],[Routine maintenance]]+Entity_Unit_Costs[[#This Row],[Planned maintenance]])/Entity_Unit_Costs[[#This Row],[Closing social housing units managed]],"")</f>
        <v>0.83463649975045751</v>
      </c>
      <c r="L57" s="193">
        <v>4368</v>
      </c>
      <c r="M57" s="193">
        <v>649</v>
      </c>
      <c r="N57" s="194">
        <f>IF(Entity_Unit_Costs[[#This Row],[Closing social housing units managed]]&gt;0,(Entity_Unit_Costs[[#This Row],[Major repairs expenditure]]+Entity_Unit_Costs[[#This Row],[Capitalised major repairs expenditure for period]])/Entity_Unit_Costs[[#This Row],[Closing social housing units managed]],"")</f>
        <v>0.90384295458326402</v>
      </c>
      <c r="O57" s="193">
        <v>1420</v>
      </c>
      <c r="P57" s="193">
        <v>4013</v>
      </c>
      <c r="Q5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0.19846947263350523</v>
      </c>
      <c r="R57" s="193">
        <v>350</v>
      </c>
      <c r="S57" s="193">
        <v>0</v>
      </c>
      <c r="T57" s="193">
        <v>270</v>
      </c>
      <c r="U57" s="193">
        <v>121</v>
      </c>
      <c r="V57" s="195">
        <v>452</v>
      </c>
      <c r="W57" s="183">
        <v>0</v>
      </c>
      <c r="X57" s="183">
        <v>0</v>
      </c>
      <c r="Y57" s="184" t="s">
        <v>1257</v>
      </c>
      <c r="Z57" s="185">
        <v>37690</v>
      </c>
      <c r="AA57" s="186" t="s">
        <v>1268</v>
      </c>
      <c r="AB57" s="187" t="s">
        <v>1262</v>
      </c>
      <c r="AC57" s="188">
        <v>0.9156653862445665</v>
      </c>
      <c r="AD57" s="186">
        <v>4649</v>
      </c>
      <c r="AE57" s="187" t="s">
        <v>864</v>
      </c>
    </row>
    <row r="58" spans="1:31" x14ac:dyDescent="0.2">
      <c r="A58" s="189" t="s">
        <v>306</v>
      </c>
      <c r="B58" s="190" t="s">
        <v>307</v>
      </c>
      <c r="C58" s="191" t="s">
        <v>200</v>
      </c>
      <c r="D58" s="192">
        <v>3232</v>
      </c>
      <c r="E5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9822</v>
      </c>
      <c r="F58" s="194">
        <f>IF(Entity_Unit_Costs[[#This Row],[Closing social housing units managed]]&gt;0,Entity_Unit_Costs[[#This Row],[Headline Social Housing Cost]]/Entity_Unit_Costs[[#This Row],[Closing social housing units managed]],"")</f>
        <v>3.0389851485148514</v>
      </c>
      <c r="G58" s="194">
        <f>IF(Entity_Unit_Costs[[#This Row],[Closing social housing units managed]]&gt;0,Entity_Unit_Costs[[#This Row],[Management]]/Entity_Unit_Costs[[#This Row],[Closing social housing units managed]],"")</f>
        <v>1.2413366336633664</v>
      </c>
      <c r="H58" s="193">
        <v>4012</v>
      </c>
      <c r="I58" s="194">
        <f>IF(Entity_Unit_Costs[[#This Row],[Closing social housing units managed]]&gt;0,Entity_Unit_Costs[[#This Row],[Service charge costs]]/Entity_Unit_Costs[[#This Row],[Closing social housing units managed]],"")</f>
        <v>0.23948019801980197</v>
      </c>
      <c r="J58" s="193">
        <v>774</v>
      </c>
      <c r="K58" s="194">
        <f>IF(Entity_Unit_Costs[[#This Row],[Closing social housing units managed]]&gt;0,(Entity_Unit_Costs[[#This Row],[Routine maintenance]]+Entity_Unit_Costs[[#This Row],[Planned maintenance]])/Entity_Unit_Costs[[#This Row],[Closing social housing units managed]],"")</f>
        <v>0.73267326732673266</v>
      </c>
      <c r="L58" s="193">
        <v>2101</v>
      </c>
      <c r="M58" s="193">
        <v>267</v>
      </c>
      <c r="N58" s="194">
        <f>IF(Entity_Unit_Costs[[#This Row],[Closing social housing units managed]]&gt;0,(Entity_Unit_Costs[[#This Row],[Major repairs expenditure]]+Entity_Unit_Costs[[#This Row],[Capitalised major repairs expenditure for period]])/Entity_Unit_Costs[[#This Row],[Closing social housing units managed]],"")</f>
        <v>0.57240099009900991</v>
      </c>
      <c r="O58" s="193">
        <v>622</v>
      </c>
      <c r="P58" s="193">
        <v>1228</v>
      </c>
      <c r="Q5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0.2530940594059406</v>
      </c>
      <c r="R58" s="193">
        <v>633</v>
      </c>
      <c r="S58" s="193">
        <v>0</v>
      </c>
      <c r="T58" s="193">
        <v>185</v>
      </c>
      <c r="U58" s="193">
        <v>0</v>
      </c>
      <c r="V58" s="195">
        <v>0</v>
      </c>
      <c r="W58" s="183">
        <v>4.9115913555992138E-2</v>
      </c>
      <c r="X58" s="183">
        <v>0.10903732809430255</v>
      </c>
      <c r="Y58" s="184" t="s">
        <v>1256</v>
      </c>
      <c r="Z58" s="185"/>
      <c r="AA58" s="186" t="s">
        <v>1279</v>
      </c>
      <c r="AB58" s="187" t="s">
        <v>1263</v>
      </c>
      <c r="AC58" s="188">
        <v>1.0022399874355168</v>
      </c>
      <c r="AD58" s="186" t="s">
        <v>306</v>
      </c>
      <c r="AE58" s="187" t="s">
        <v>307</v>
      </c>
    </row>
    <row r="59" spans="1:31" x14ac:dyDescent="0.2">
      <c r="A59" s="189" t="s">
        <v>49</v>
      </c>
      <c r="B59" s="190" t="s">
        <v>48</v>
      </c>
      <c r="C59" s="196" t="s">
        <v>200</v>
      </c>
      <c r="D59" s="192">
        <v>6173</v>
      </c>
      <c r="E5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15917</v>
      </c>
      <c r="F59" s="194">
        <f>IF(Entity_Unit_Costs[[#This Row],[Closing social housing units managed]]&gt;0,Entity_Unit_Costs[[#This Row],[Headline Social Housing Cost]]/Entity_Unit_Costs[[#This Row],[Closing social housing units managed]],"")</f>
        <v>2.5784869593390574</v>
      </c>
      <c r="G59" s="194">
        <f>IF(Entity_Unit_Costs[[#This Row],[Closing social housing units managed]]&gt;0,Entity_Unit_Costs[[#This Row],[Management]]/Entity_Unit_Costs[[#This Row],[Closing social housing units managed]],"")</f>
        <v>0.88984286408553381</v>
      </c>
      <c r="H59" s="193">
        <v>5493</v>
      </c>
      <c r="I59" s="194">
        <f>IF(Entity_Unit_Costs[[#This Row],[Closing social housing units managed]]&gt;0,Entity_Unit_Costs[[#This Row],[Service charge costs]]/Entity_Unit_Costs[[#This Row],[Closing social housing units managed]],"")</f>
        <v>0.21869431394783737</v>
      </c>
      <c r="J59" s="193">
        <v>1350</v>
      </c>
      <c r="K59" s="194">
        <f>IF(Entity_Unit_Costs[[#This Row],[Closing social housing units managed]]&gt;0,(Entity_Unit_Costs[[#This Row],[Routine maintenance]]+Entity_Unit_Costs[[#This Row],[Planned maintenance]])/Entity_Unit_Costs[[#This Row],[Closing social housing units managed]],"")</f>
        <v>0.73481289486473356</v>
      </c>
      <c r="L59" s="193">
        <v>4536</v>
      </c>
      <c r="M59" s="193">
        <v>0</v>
      </c>
      <c r="N59" s="194">
        <f>IF(Entity_Unit_Costs[[#This Row],[Closing social housing units managed]]&gt;0,(Entity_Unit_Costs[[#This Row],[Major repairs expenditure]]+Entity_Unit_Costs[[#This Row],[Capitalised major repairs expenditure for period]])/Entity_Unit_Costs[[#This Row],[Closing social housing units managed]],"")</f>
        <v>0.56763324153572003</v>
      </c>
      <c r="O59" s="193">
        <v>0</v>
      </c>
      <c r="P59" s="193">
        <v>3504</v>
      </c>
      <c r="Q5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0.16750364490523245</v>
      </c>
      <c r="R59" s="193">
        <v>0</v>
      </c>
      <c r="S59" s="193">
        <v>237</v>
      </c>
      <c r="T59" s="193">
        <v>0</v>
      </c>
      <c r="U59" s="193">
        <v>206</v>
      </c>
      <c r="V59" s="195">
        <v>591</v>
      </c>
      <c r="W59" s="183">
        <v>2.9159241859711645E-3</v>
      </c>
      <c r="X59" s="183">
        <v>6.8200226794103355E-2</v>
      </c>
      <c r="Y59" s="184" t="s">
        <v>1257</v>
      </c>
      <c r="Z59" s="185">
        <v>38684</v>
      </c>
      <c r="AA59" s="186" t="s">
        <v>1280</v>
      </c>
      <c r="AB59" s="187" t="s">
        <v>1262</v>
      </c>
      <c r="AC59" s="188">
        <v>0.9156653862445665</v>
      </c>
      <c r="AD59" s="186" t="s">
        <v>49</v>
      </c>
      <c r="AE59" s="187" t="s">
        <v>48</v>
      </c>
    </row>
    <row r="60" spans="1:31" x14ac:dyDescent="0.2">
      <c r="A60" s="189" t="s">
        <v>51</v>
      </c>
      <c r="B60" s="190" t="s">
        <v>50</v>
      </c>
      <c r="C60" s="196" t="s">
        <v>200</v>
      </c>
      <c r="D60" s="192">
        <v>2887</v>
      </c>
      <c r="E6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10838</v>
      </c>
      <c r="F60" s="194">
        <f>IF(Entity_Unit_Costs[[#This Row],[Closing social housing units managed]]&gt;0,Entity_Unit_Costs[[#This Row],[Headline Social Housing Cost]]/Entity_Unit_Costs[[#This Row],[Closing social housing units managed]],"")</f>
        <v>3.7540699688257706</v>
      </c>
      <c r="G60" s="194">
        <f>IF(Entity_Unit_Costs[[#This Row],[Closing social housing units managed]]&gt;0,Entity_Unit_Costs[[#This Row],[Management]]/Entity_Unit_Costs[[#This Row],[Closing social housing units managed]],"")</f>
        <v>0.99064773120886729</v>
      </c>
      <c r="H60" s="193">
        <v>2860</v>
      </c>
      <c r="I60" s="194">
        <f>IF(Entity_Unit_Costs[[#This Row],[Closing social housing units managed]]&gt;0,Entity_Unit_Costs[[#This Row],[Service charge costs]]/Entity_Unit_Costs[[#This Row],[Closing social housing units managed]],"")</f>
        <v>0.22029788708001385</v>
      </c>
      <c r="J60" s="193">
        <v>636</v>
      </c>
      <c r="K60" s="194">
        <f>IF(Entity_Unit_Costs[[#This Row],[Closing social housing units managed]]&gt;0,(Entity_Unit_Costs[[#This Row],[Routine maintenance]]+Entity_Unit_Costs[[#This Row],[Planned maintenance]])/Entity_Unit_Costs[[#This Row],[Closing social housing units managed]],"")</f>
        <v>1.335296155178386</v>
      </c>
      <c r="L60" s="193">
        <v>1983</v>
      </c>
      <c r="M60" s="193">
        <v>1872</v>
      </c>
      <c r="N60" s="194">
        <f>IF(Entity_Unit_Costs[[#This Row],[Closing social housing units managed]]&gt;0,(Entity_Unit_Costs[[#This Row],[Major repairs expenditure]]+Entity_Unit_Costs[[#This Row],[Capitalised major repairs expenditure for period]])/Entity_Unit_Costs[[#This Row],[Closing social housing units managed]],"")</f>
        <v>0.5978524419812955</v>
      </c>
      <c r="O60" s="193">
        <v>349</v>
      </c>
      <c r="P60" s="193">
        <v>1377</v>
      </c>
      <c r="Q6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0.60997575337720822</v>
      </c>
      <c r="R60" s="193">
        <v>118</v>
      </c>
      <c r="S60" s="193">
        <v>116</v>
      </c>
      <c r="T60" s="193">
        <v>1335</v>
      </c>
      <c r="U60" s="193">
        <v>192</v>
      </c>
      <c r="V60" s="195">
        <v>0</v>
      </c>
      <c r="W60" s="183">
        <v>8.4438692979618243E-2</v>
      </c>
      <c r="X60" s="183">
        <v>0.25590423811064378</v>
      </c>
      <c r="Y60" s="184" t="s">
        <v>1256</v>
      </c>
      <c r="Z60" s="185"/>
      <c r="AA60" s="186" t="s">
        <v>1279</v>
      </c>
      <c r="AB60" s="187" t="s">
        <v>1264</v>
      </c>
      <c r="AC60" s="188">
        <v>0.94807909763407583</v>
      </c>
      <c r="AD60" s="186" t="s">
        <v>51</v>
      </c>
      <c r="AE60" s="187" t="s">
        <v>50</v>
      </c>
    </row>
    <row r="61" spans="1:31" x14ac:dyDescent="0.2">
      <c r="A61" s="189" t="s">
        <v>309</v>
      </c>
      <c r="B61" s="190" t="s">
        <v>310</v>
      </c>
      <c r="C61" s="196" t="s">
        <v>200</v>
      </c>
      <c r="D61" s="192">
        <v>12915</v>
      </c>
      <c r="E6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35507</v>
      </c>
      <c r="F61" s="194">
        <f>IF(Entity_Unit_Costs[[#This Row],[Closing social housing units managed]]&gt;0,Entity_Unit_Costs[[#This Row],[Headline Social Housing Cost]]/Entity_Unit_Costs[[#This Row],[Closing social housing units managed]],"")</f>
        <v>2.7492837785520714</v>
      </c>
      <c r="G61" s="194">
        <f>IF(Entity_Unit_Costs[[#This Row],[Closing social housing units managed]]&gt;0,Entity_Unit_Costs[[#This Row],[Management]]/Entity_Unit_Costs[[#This Row],[Closing social housing units managed]],"")</f>
        <v>0.58389469608981803</v>
      </c>
      <c r="H61" s="193">
        <v>7541</v>
      </c>
      <c r="I61" s="194">
        <f>IF(Entity_Unit_Costs[[#This Row],[Closing social housing units managed]]&gt;0,Entity_Unit_Costs[[#This Row],[Service charge costs]]/Entity_Unit_Costs[[#This Row],[Closing social housing units managed]],"")</f>
        <v>0.39171506000774292</v>
      </c>
      <c r="J61" s="193">
        <v>5059</v>
      </c>
      <c r="K61" s="194">
        <f>IF(Entity_Unit_Costs[[#This Row],[Closing social housing units managed]]&gt;0,(Entity_Unit_Costs[[#This Row],[Routine maintenance]]+Entity_Unit_Costs[[#This Row],[Planned maintenance]])/Entity_Unit_Costs[[#This Row],[Closing social housing units managed]],"")</f>
        <v>1.1770809136662794</v>
      </c>
      <c r="L61" s="193">
        <v>10547</v>
      </c>
      <c r="M61" s="193">
        <v>4655</v>
      </c>
      <c r="N61" s="194">
        <f>IF(Entity_Unit_Costs[[#This Row],[Closing social housing units managed]]&gt;0,(Entity_Unit_Costs[[#This Row],[Major repairs expenditure]]+Entity_Unit_Costs[[#This Row],[Capitalised major repairs expenditure for period]])/Entity_Unit_Costs[[#This Row],[Closing social housing units managed]],"")</f>
        <v>0.54696089818041038</v>
      </c>
      <c r="O61" s="193">
        <v>21</v>
      </c>
      <c r="P61" s="193">
        <v>7043</v>
      </c>
      <c r="Q6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4.9632210607820366E-2</v>
      </c>
      <c r="R61" s="193">
        <v>538</v>
      </c>
      <c r="S61" s="193">
        <v>0</v>
      </c>
      <c r="T61" s="193">
        <v>38</v>
      </c>
      <c r="U61" s="193">
        <v>65</v>
      </c>
      <c r="V61" s="195">
        <v>0</v>
      </c>
      <c r="W61" s="183">
        <v>4.840691293308215E-2</v>
      </c>
      <c r="X61" s="183">
        <v>0.11679908264395118</v>
      </c>
      <c r="Y61" s="184" t="s">
        <v>1256</v>
      </c>
      <c r="Z61" s="185"/>
      <c r="AA61" s="186" t="s">
        <v>1279</v>
      </c>
      <c r="AB61" s="187" t="s">
        <v>1262</v>
      </c>
      <c r="AC61" s="188">
        <v>0.91566694513520308</v>
      </c>
      <c r="AD61" s="186">
        <v>4649</v>
      </c>
      <c r="AE61" s="187" t="s">
        <v>864</v>
      </c>
    </row>
    <row r="62" spans="1:31" x14ac:dyDescent="0.2">
      <c r="A62" s="189" t="s">
        <v>311</v>
      </c>
      <c r="B62" s="190" t="s">
        <v>312</v>
      </c>
      <c r="C62" s="196" t="s">
        <v>200</v>
      </c>
      <c r="D62" s="192">
        <v>3194</v>
      </c>
      <c r="E6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10109</v>
      </c>
      <c r="F62" s="194">
        <f>IF(Entity_Unit_Costs[[#This Row],[Closing social housing units managed]]&gt;0,Entity_Unit_Costs[[#This Row],[Headline Social Housing Cost]]/Entity_Unit_Costs[[#This Row],[Closing social housing units managed]],"")</f>
        <v>3.164996869129618</v>
      </c>
      <c r="G62" s="194">
        <f>IF(Entity_Unit_Costs[[#This Row],[Closing social housing units managed]]&gt;0,Entity_Unit_Costs[[#This Row],[Management]]/Entity_Unit_Costs[[#This Row],[Closing social housing units managed]],"")</f>
        <v>0.55541640576080153</v>
      </c>
      <c r="H62" s="193">
        <v>1774</v>
      </c>
      <c r="I62" s="194">
        <f>IF(Entity_Unit_Costs[[#This Row],[Closing social housing units managed]]&gt;0,Entity_Unit_Costs[[#This Row],[Service charge costs]]/Entity_Unit_Costs[[#This Row],[Closing social housing units managed]],"")</f>
        <v>0.37006887914840325</v>
      </c>
      <c r="J62" s="193">
        <v>1182</v>
      </c>
      <c r="K62" s="194">
        <f>IF(Entity_Unit_Costs[[#This Row],[Closing social housing units managed]]&gt;0,(Entity_Unit_Costs[[#This Row],[Routine maintenance]]+Entity_Unit_Costs[[#This Row],[Planned maintenance]])/Entity_Unit_Costs[[#This Row],[Closing social housing units managed]],"")</f>
        <v>0.74921728240450847</v>
      </c>
      <c r="L62" s="193">
        <v>1772</v>
      </c>
      <c r="M62" s="193">
        <v>621</v>
      </c>
      <c r="N62" s="194">
        <f>IF(Entity_Unit_Costs[[#This Row],[Closing social housing units managed]]&gt;0,(Entity_Unit_Costs[[#This Row],[Major repairs expenditure]]+Entity_Unit_Costs[[#This Row],[Capitalised major repairs expenditure for period]])/Entity_Unit_Costs[[#This Row],[Closing social housing units managed]],"")</f>
        <v>0.37038196618659985</v>
      </c>
      <c r="O62" s="193">
        <v>536</v>
      </c>
      <c r="P62" s="193">
        <v>647</v>
      </c>
      <c r="Q6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1.119912335629305</v>
      </c>
      <c r="R62" s="193">
        <v>3503</v>
      </c>
      <c r="S62" s="193">
        <v>74</v>
      </c>
      <c r="T62" s="193">
        <v>0</v>
      </c>
      <c r="U62" s="193">
        <v>0</v>
      </c>
      <c r="V62" s="195">
        <v>0</v>
      </c>
      <c r="W62" s="183">
        <v>3.2710280373831772E-2</v>
      </c>
      <c r="X62" s="183">
        <v>4.4236760124610593E-2</v>
      </c>
      <c r="Y62" s="184" t="s">
        <v>1256</v>
      </c>
      <c r="Z62" s="185"/>
      <c r="AA62" s="186" t="s">
        <v>1279</v>
      </c>
      <c r="AB62" s="187" t="s">
        <v>1263</v>
      </c>
      <c r="AC62" s="188">
        <v>1.002246010260418</v>
      </c>
      <c r="AD62" s="186" t="s">
        <v>1243</v>
      </c>
      <c r="AE62" s="187" t="s">
        <v>599</v>
      </c>
    </row>
    <row r="63" spans="1:31" x14ac:dyDescent="0.2">
      <c r="A63" s="189" t="s">
        <v>313</v>
      </c>
      <c r="B63" s="190" t="s">
        <v>314</v>
      </c>
      <c r="C63" s="196" t="s">
        <v>200</v>
      </c>
      <c r="D63" s="192">
        <v>4671</v>
      </c>
      <c r="E6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12527</v>
      </c>
      <c r="F63" s="194">
        <f>IF(Entity_Unit_Costs[[#This Row],[Closing social housing units managed]]&gt;0,Entity_Unit_Costs[[#This Row],[Headline Social Housing Cost]]/Entity_Unit_Costs[[#This Row],[Closing social housing units managed]],"")</f>
        <v>2.6818668379362021</v>
      </c>
      <c r="G63" s="194">
        <f>IF(Entity_Unit_Costs[[#This Row],[Closing social housing units managed]]&gt;0,Entity_Unit_Costs[[#This Row],[Management]]/Entity_Unit_Costs[[#This Row],[Closing social housing units managed]],"")</f>
        <v>0.9803040034253907</v>
      </c>
      <c r="H63" s="193">
        <v>4579</v>
      </c>
      <c r="I63" s="194">
        <f>IF(Entity_Unit_Costs[[#This Row],[Closing social housing units managed]]&gt;0,Entity_Unit_Costs[[#This Row],[Service charge costs]]/Entity_Unit_Costs[[#This Row],[Closing social housing units managed]],"")</f>
        <v>0.17833440376792978</v>
      </c>
      <c r="J63" s="193">
        <v>833</v>
      </c>
      <c r="K63" s="194">
        <f>IF(Entity_Unit_Costs[[#This Row],[Closing social housing units managed]]&gt;0,(Entity_Unit_Costs[[#This Row],[Routine maintenance]]+Entity_Unit_Costs[[#This Row],[Planned maintenance]])/Entity_Unit_Costs[[#This Row],[Closing social housing units managed]],"")</f>
        <v>0.71590665810318987</v>
      </c>
      <c r="L63" s="193">
        <v>1394</v>
      </c>
      <c r="M63" s="193">
        <v>1950</v>
      </c>
      <c r="N63" s="194">
        <f>IF(Entity_Unit_Costs[[#This Row],[Closing social housing units managed]]&gt;0,(Entity_Unit_Costs[[#This Row],[Major repairs expenditure]]+Entity_Unit_Costs[[#This Row],[Capitalised major repairs expenditure for period]])/Entity_Unit_Costs[[#This Row],[Closing social housing units managed]],"")</f>
        <v>0.659601798330122</v>
      </c>
      <c r="O63" s="193">
        <v>718</v>
      </c>
      <c r="P63" s="193">
        <v>2363</v>
      </c>
      <c r="Q6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0.14771997430956968</v>
      </c>
      <c r="R63" s="193">
        <v>0</v>
      </c>
      <c r="S63" s="193">
        <v>0</v>
      </c>
      <c r="T63" s="193">
        <v>690</v>
      </c>
      <c r="U63" s="193">
        <v>0</v>
      </c>
      <c r="V63" s="195">
        <v>0</v>
      </c>
      <c r="W63" s="183">
        <v>0</v>
      </c>
      <c r="X63" s="183">
        <v>0</v>
      </c>
      <c r="Y63" s="184" t="s">
        <v>1257</v>
      </c>
      <c r="Z63" s="185">
        <v>36976</v>
      </c>
      <c r="AA63" s="186" t="s">
        <v>1268</v>
      </c>
      <c r="AB63" s="187" t="s">
        <v>1259</v>
      </c>
      <c r="AC63" s="188">
        <v>1.0031312936363666</v>
      </c>
      <c r="AD63" s="186" t="s">
        <v>313</v>
      </c>
      <c r="AE63" s="187" t="s">
        <v>314</v>
      </c>
    </row>
    <row r="64" spans="1:31" x14ac:dyDescent="0.2">
      <c r="A64" s="189" t="s">
        <v>53</v>
      </c>
      <c r="B64" s="190" t="s">
        <v>52</v>
      </c>
      <c r="C64" s="191" t="s">
        <v>200</v>
      </c>
      <c r="D64" s="192">
        <v>10672</v>
      </c>
      <c r="E6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30506</v>
      </c>
      <c r="F64" s="194">
        <f>IF(Entity_Unit_Costs[[#This Row],[Closing social housing units managed]]&gt;0,Entity_Unit_Costs[[#This Row],[Headline Social Housing Cost]]/Entity_Unit_Costs[[#This Row],[Closing social housing units managed]],"")</f>
        <v>2.8585082458770614</v>
      </c>
      <c r="G64" s="194">
        <f>IF(Entity_Unit_Costs[[#This Row],[Closing social housing units managed]]&gt;0,Entity_Unit_Costs[[#This Row],[Management]]/Entity_Unit_Costs[[#This Row],[Closing social housing units managed]],"")</f>
        <v>0.86600449775112442</v>
      </c>
      <c r="H64" s="193">
        <v>9242</v>
      </c>
      <c r="I64" s="194">
        <f>IF(Entity_Unit_Costs[[#This Row],[Closing social housing units managed]]&gt;0,Entity_Unit_Costs[[#This Row],[Service charge costs]]/Entity_Unit_Costs[[#This Row],[Closing social housing units managed]],"")</f>
        <v>0.34023613193403296</v>
      </c>
      <c r="J64" s="193">
        <v>3631</v>
      </c>
      <c r="K64" s="194">
        <f>IF(Entity_Unit_Costs[[#This Row],[Closing social housing units managed]]&gt;0,(Entity_Unit_Costs[[#This Row],[Routine maintenance]]+Entity_Unit_Costs[[#This Row],[Planned maintenance]])/Entity_Unit_Costs[[#This Row],[Closing social housing units managed]],"")</f>
        <v>0.91013868065967019</v>
      </c>
      <c r="L64" s="193">
        <v>6105</v>
      </c>
      <c r="M64" s="193">
        <v>3608</v>
      </c>
      <c r="N64" s="194">
        <f>IF(Entity_Unit_Costs[[#This Row],[Closing social housing units managed]]&gt;0,(Entity_Unit_Costs[[#This Row],[Major repairs expenditure]]+Entity_Unit_Costs[[#This Row],[Capitalised major repairs expenditure for period]])/Entity_Unit_Costs[[#This Row],[Closing social housing units managed]],"")</f>
        <v>0.66426161919040483</v>
      </c>
      <c r="O64" s="193">
        <v>0</v>
      </c>
      <c r="P64" s="193">
        <v>7089</v>
      </c>
      <c r="Q6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7.7867316341829085E-2</v>
      </c>
      <c r="R64" s="193">
        <v>0</v>
      </c>
      <c r="S64" s="193">
        <v>115</v>
      </c>
      <c r="T64" s="193">
        <v>0</v>
      </c>
      <c r="U64" s="193">
        <v>262</v>
      </c>
      <c r="V64" s="195">
        <v>454</v>
      </c>
      <c r="W64" s="183">
        <v>7.0628119408607214E-3</v>
      </c>
      <c r="X64" s="183">
        <v>0.10716639984932667</v>
      </c>
      <c r="Y64" s="184" t="s">
        <v>1257</v>
      </c>
      <c r="Z64" s="185">
        <v>38264</v>
      </c>
      <c r="AA64" s="186" t="s">
        <v>1268</v>
      </c>
      <c r="AB64" s="187" t="s">
        <v>1263</v>
      </c>
      <c r="AC64" s="188">
        <v>1.0010183150953693</v>
      </c>
      <c r="AD64" s="186" t="s">
        <v>53</v>
      </c>
      <c r="AE64" s="187" t="s">
        <v>52</v>
      </c>
    </row>
    <row r="65" spans="1:31" x14ac:dyDescent="0.2">
      <c r="A65" s="189" t="s">
        <v>55</v>
      </c>
      <c r="B65" s="190" t="s">
        <v>54</v>
      </c>
      <c r="C65" s="191" t="s">
        <v>200</v>
      </c>
      <c r="D65" s="192">
        <v>1506</v>
      </c>
      <c r="E6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7762</v>
      </c>
      <c r="F65" s="194">
        <f>IF(Entity_Unit_Costs[[#This Row],[Closing social housing units managed]]&gt;0,Entity_Unit_Costs[[#This Row],[Headline Social Housing Cost]]/Entity_Unit_Costs[[#This Row],[Closing social housing units managed]],"")</f>
        <v>5.1540504648074368</v>
      </c>
      <c r="G65" s="194">
        <f>IF(Entity_Unit_Costs[[#This Row],[Closing social housing units managed]]&gt;0,Entity_Unit_Costs[[#This Row],[Management]]/Entity_Unit_Costs[[#This Row],[Closing social housing units managed]],"")</f>
        <v>1.5278884462151394</v>
      </c>
      <c r="H65" s="193">
        <v>2301</v>
      </c>
      <c r="I65" s="194">
        <f>IF(Entity_Unit_Costs[[#This Row],[Closing social housing units managed]]&gt;0,Entity_Unit_Costs[[#This Row],[Service charge costs]]/Entity_Unit_Costs[[#This Row],[Closing social housing units managed]],"")</f>
        <v>0.4588313413014608</v>
      </c>
      <c r="J65" s="193">
        <v>691</v>
      </c>
      <c r="K65" s="194">
        <f>IF(Entity_Unit_Costs[[#This Row],[Closing social housing units managed]]&gt;0,(Entity_Unit_Costs[[#This Row],[Routine maintenance]]+Entity_Unit_Costs[[#This Row],[Planned maintenance]])/Entity_Unit_Costs[[#This Row],[Closing social housing units managed]],"")</f>
        <v>1.199867197875166</v>
      </c>
      <c r="L65" s="193">
        <v>1429</v>
      </c>
      <c r="M65" s="193">
        <v>378</v>
      </c>
      <c r="N65" s="194">
        <f>IF(Entity_Unit_Costs[[#This Row],[Closing social housing units managed]]&gt;0,(Entity_Unit_Costs[[#This Row],[Major repairs expenditure]]+Entity_Unit_Costs[[#This Row],[Capitalised major repairs expenditure for period]])/Entity_Unit_Costs[[#This Row],[Closing social housing units managed]],"")</f>
        <v>0.40969455511288183</v>
      </c>
      <c r="O65" s="193">
        <v>0</v>
      </c>
      <c r="P65" s="193">
        <v>617</v>
      </c>
      <c r="Q6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1.5577689243027888</v>
      </c>
      <c r="R65" s="193">
        <v>0</v>
      </c>
      <c r="S65" s="193">
        <v>2336</v>
      </c>
      <c r="T65" s="193">
        <v>10</v>
      </c>
      <c r="U65" s="193">
        <v>0</v>
      </c>
      <c r="V65" s="195">
        <v>0</v>
      </c>
      <c r="W65" s="183">
        <v>0.1781647689216343</v>
      </c>
      <c r="X65" s="183">
        <v>0.1781647689216343</v>
      </c>
      <c r="Y65" s="184" t="s">
        <v>1256</v>
      </c>
      <c r="Z65" s="185"/>
      <c r="AA65" s="186" t="s">
        <v>1279</v>
      </c>
      <c r="AB65" s="187" t="s">
        <v>1267</v>
      </c>
      <c r="AC65" s="188">
        <v>1.2488627787394371</v>
      </c>
      <c r="AD65" s="186" t="s">
        <v>55</v>
      </c>
      <c r="AE65" s="187" t="s">
        <v>54</v>
      </c>
    </row>
    <row r="66" spans="1:31" x14ac:dyDescent="0.2">
      <c r="A66" s="189" t="s">
        <v>59</v>
      </c>
      <c r="B66" s="190" t="s">
        <v>58</v>
      </c>
      <c r="C66" s="191" t="s">
        <v>200</v>
      </c>
      <c r="D66" s="192">
        <v>11747</v>
      </c>
      <c r="E6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39523</v>
      </c>
      <c r="F66" s="194">
        <f>IF(Entity_Unit_Costs[[#This Row],[Closing social housing units managed]]&gt;0,Entity_Unit_Costs[[#This Row],[Headline Social Housing Cost]]/Entity_Unit_Costs[[#This Row],[Closing social housing units managed]],"")</f>
        <v>3.3645186004937431</v>
      </c>
      <c r="G66" s="194">
        <f>IF(Entity_Unit_Costs[[#This Row],[Closing social housing units managed]]&gt;0,Entity_Unit_Costs[[#This Row],[Management]]/Entity_Unit_Costs[[#This Row],[Closing social housing units managed]],"")</f>
        <v>0.76496126670639308</v>
      </c>
      <c r="H66" s="193">
        <v>8986</v>
      </c>
      <c r="I66" s="194">
        <f>IF(Entity_Unit_Costs[[#This Row],[Closing social housing units managed]]&gt;0,Entity_Unit_Costs[[#This Row],[Service charge costs]]/Entity_Unit_Costs[[#This Row],[Closing social housing units managed]],"")</f>
        <v>0.21809823784796117</v>
      </c>
      <c r="J66" s="193">
        <v>2562</v>
      </c>
      <c r="K66" s="194">
        <f>IF(Entity_Unit_Costs[[#This Row],[Closing social housing units managed]]&gt;0,(Entity_Unit_Costs[[#This Row],[Routine maintenance]]+Entity_Unit_Costs[[#This Row],[Planned maintenance]])/Entity_Unit_Costs[[#This Row],[Closing social housing units managed]],"")</f>
        <v>0.78471099004001021</v>
      </c>
      <c r="L66" s="193">
        <v>9218</v>
      </c>
      <c r="M66" s="193">
        <v>0</v>
      </c>
      <c r="N66" s="194">
        <f>IF(Entity_Unit_Costs[[#This Row],[Closing social housing units managed]]&gt;0,(Entity_Unit_Costs[[#This Row],[Major repairs expenditure]]+Entity_Unit_Costs[[#This Row],[Capitalised major repairs expenditure for period]])/Entity_Unit_Costs[[#This Row],[Closing social housing units managed]],"")</f>
        <v>1.3362560653783946</v>
      </c>
      <c r="O66" s="193">
        <v>9542</v>
      </c>
      <c r="P66" s="193">
        <v>6155</v>
      </c>
      <c r="Q6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0.26049204052098407</v>
      </c>
      <c r="R66" s="193">
        <v>2567</v>
      </c>
      <c r="S66" s="193">
        <v>0</v>
      </c>
      <c r="T66" s="193">
        <v>0</v>
      </c>
      <c r="U66" s="193">
        <v>493</v>
      </c>
      <c r="V66" s="195">
        <v>0</v>
      </c>
      <c r="W66" s="183">
        <v>1.5785054575986567E-2</v>
      </c>
      <c r="X66" s="183">
        <v>0.15230898404701931</v>
      </c>
      <c r="Y66" s="184" t="s">
        <v>1257</v>
      </c>
      <c r="Z66" s="185">
        <v>36248</v>
      </c>
      <c r="AA66" s="186" t="s">
        <v>1268</v>
      </c>
      <c r="AB66" s="187" t="s">
        <v>1265</v>
      </c>
      <c r="AC66" s="188">
        <v>0.96617455710897804</v>
      </c>
      <c r="AD66" s="186" t="s">
        <v>1230</v>
      </c>
      <c r="AE66" s="187" t="s">
        <v>56</v>
      </c>
    </row>
    <row r="67" spans="1:31" x14ac:dyDescent="0.2">
      <c r="A67" s="197">
        <v>4575</v>
      </c>
      <c r="B67" s="190" t="s">
        <v>320</v>
      </c>
      <c r="C67" s="196" t="s">
        <v>200</v>
      </c>
      <c r="D67" s="192">
        <v>4178</v>
      </c>
      <c r="E6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12788</v>
      </c>
      <c r="F67" s="194">
        <f>IF(Entity_Unit_Costs[[#This Row],[Closing social housing units managed]]&gt;0,Entity_Unit_Costs[[#This Row],[Headline Social Housing Cost]]/Entity_Unit_Costs[[#This Row],[Closing social housing units managed]],"")</f>
        <v>3.060794638583054</v>
      </c>
      <c r="G67" s="194">
        <f>IF(Entity_Unit_Costs[[#This Row],[Closing social housing units managed]]&gt;0,Entity_Unit_Costs[[#This Row],[Management]]/Entity_Unit_Costs[[#This Row],[Closing social housing units managed]],"")</f>
        <v>1.2101483963618958</v>
      </c>
      <c r="H67" s="193">
        <v>5056</v>
      </c>
      <c r="I67" s="194">
        <f>IF(Entity_Unit_Costs[[#This Row],[Closing social housing units managed]]&gt;0,Entity_Unit_Costs[[#This Row],[Service charge costs]]/Entity_Unit_Costs[[#This Row],[Closing social housing units managed]],"")</f>
        <v>6.5820966969842035E-2</v>
      </c>
      <c r="J67" s="193">
        <v>275</v>
      </c>
      <c r="K67" s="194">
        <f>IF(Entity_Unit_Costs[[#This Row],[Closing social housing units managed]]&gt;0,(Entity_Unit_Costs[[#This Row],[Routine maintenance]]+Entity_Unit_Costs[[#This Row],[Planned maintenance]])/Entity_Unit_Costs[[#This Row],[Closing social housing units managed]],"")</f>
        <v>1.1146481570129247</v>
      </c>
      <c r="L67" s="193">
        <v>3990</v>
      </c>
      <c r="M67" s="193">
        <v>667</v>
      </c>
      <c r="N67" s="194">
        <f>IF(Entity_Unit_Costs[[#This Row],[Closing social housing units managed]]&gt;0,(Entity_Unit_Costs[[#This Row],[Major repairs expenditure]]+Entity_Unit_Costs[[#This Row],[Capitalised major repairs expenditure for period]])/Entity_Unit_Costs[[#This Row],[Closing social housing units managed]],"")</f>
        <v>0.67017711823839154</v>
      </c>
      <c r="O67" s="193">
        <v>7</v>
      </c>
      <c r="P67" s="193">
        <v>2793</v>
      </c>
      <c r="Q6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v>
      </c>
      <c r="R67" s="193">
        <v>0</v>
      </c>
      <c r="S67" s="193">
        <v>0</v>
      </c>
      <c r="T67" s="193">
        <v>0</v>
      </c>
      <c r="U67" s="193">
        <v>0</v>
      </c>
      <c r="V67" s="195">
        <v>0</v>
      </c>
      <c r="W67" s="183">
        <v>0</v>
      </c>
      <c r="X67" s="183">
        <v>0</v>
      </c>
      <c r="Y67" s="184" t="s">
        <v>1257</v>
      </c>
      <c r="Z67" s="185">
        <v>42107</v>
      </c>
      <c r="AA67" s="186" t="s">
        <v>1269</v>
      </c>
      <c r="AB67" s="187" t="s">
        <v>1266</v>
      </c>
      <c r="AC67" s="188">
        <v>0.9026647648742484</v>
      </c>
      <c r="AD67" s="186">
        <v>4805</v>
      </c>
      <c r="AE67" s="187" t="s">
        <v>317</v>
      </c>
    </row>
    <row r="68" spans="1:31" x14ac:dyDescent="0.2">
      <c r="A68" s="189" t="s">
        <v>321</v>
      </c>
      <c r="B68" s="190" t="s">
        <v>322</v>
      </c>
      <c r="C68" s="196" t="s">
        <v>200</v>
      </c>
      <c r="D68" s="192">
        <v>3394</v>
      </c>
      <c r="E6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9237</v>
      </c>
      <c r="F68" s="194">
        <f>IF(Entity_Unit_Costs[[#This Row],[Closing social housing units managed]]&gt;0,Entity_Unit_Costs[[#This Row],[Headline Social Housing Cost]]/Entity_Unit_Costs[[#This Row],[Closing social housing units managed]],"")</f>
        <v>2.7215674720094283</v>
      </c>
      <c r="G68" s="194">
        <f>IF(Entity_Unit_Costs[[#This Row],[Closing social housing units managed]]&gt;0,Entity_Unit_Costs[[#This Row],[Management]]/Entity_Unit_Costs[[#This Row],[Closing social housing units managed]],"")</f>
        <v>0.68797878609310548</v>
      </c>
      <c r="H68" s="193">
        <v>2335</v>
      </c>
      <c r="I68" s="194">
        <f>IF(Entity_Unit_Costs[[#This Row],[Closing social housing units managed]]&gt;0,Entity_Unit_Costs[[#This Row],[Service charge costs]]/Entity_Unit_Costs[[#This Row],[Closing social housing units managed]],"")</f>
        <v>0.33824395992928696</v>
      </c>
      <c r="J68" s="193">
        <v>1148</v>
      </c>
      <c r="K68" s="194">
        <f>IF(Entity_Unit_Costs[[#This Row],[Closing social housing units managed]]&gt;0,(Entity_Unit_Costs[[#This Row],[Routine maintenance]]+Entity_Unit_Costs[[#This Row],[Planned maintenance]])/Entity_Unit_Costs[[#This Row],[Closing social housing units managed]],"")</f>
        <v>1.1546847377725398</v>
      </c>
      <c r="L68" s="193">
        <v>3237</v>
      </c>
      <c r="M68" s="193">
        <v>682</v>
      </c>
      <c r="N68" s="194">
        <f>IF(Entity_Unit_Costs[[#This Row],[Closing social housing units managed]]&gt;0,(Entity_Unit_Costs[[#This Row],[Major repairs expenditure]]+Entity_Unit_Costs[[#This Row],[Capitalised major repairs expenditure for period]])/Entity_Unit_Costs[[#This Row],[Closing social housing units managed]],"")</f>
        <v>0.50088391278727162</v>
      </c>
      <c r="O68" s="193">
        <v>1264</v>
      </c>
      <c r="P68" s="193">
        <v>436</v>
      </c>
      <c r="Q6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3.9776075427224514E-2</v>
      </c>
      <c r="R68" s="193">
        <v>0</v>
      </c>
      <c r="S68" s="193">
        <v>0</v>
      </c>
      <c r="T68" s="193">
        <v>101</v>
      </c>
      <c r="U68" s="193">
        <v>34</v>
      </c>
      <c r="V68" s="195">
        <v>0</v>
      </c>
      <c r="W68" s="183">
        <v>2.7413950654888823E-3</v>
      </c>
      <c r="X68" s="183">
        <v>0.27809929942126105</v>
      </c>
      <c r="Y68" s="184" t="s">
        <v>1257</v>
      </c>
      <c r="Z68" s="185">
        <v>37319</v>
      </c>
      <c r="AA68" s="186" t="s">
        <v>1268</v>
      </c>
      <c r="AB68" s="187" t="s">
        <v>1261</v>
      </c>
      <c r="AC68" s="188">
        <v>0.92038375847935383</v>
      </c>
      <c r="AD68" s="186" t="s">
        <v>1253</v>
      </c>
      <c r="AE68" s="187" t="s">
        <v>822</v>
      </c>
    </row>
    <row r="69" spans="1:31" x14ac:dyDescent="0.2">
      <c r="A69" s="189" t="s">
        <v>323</v>
      </c>
      <c r="B69" s="190" t="s">
        <v>324</v>
      </c>
      <c r="C69" s="196" t="s">
        <v>200</v>
      </c>
      <c r="D69" s="192">
        <v>5692</v>
      </c>
      <c r="E6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10310</v>
      </c>
      <c r="F69" s="194">
        <f>IF(Entity_Unit_Costs[[#This Row],[Closing social housing units managed]]&gt;0,Entity_Unit_Costs[[#This Row],[Headline Social Housing Cost]]/Entity_Unit_Costs[[#This Row],[Closing social housing units managed]],"")</f>
        <v>1.8113141250878426</v>
      </c>
      <c r="G69" s="194">
        <f>IF(Entity_Unit_Costs[[#This Row],[Closing social housing units managed]]&gt;0,Entity_Unit_Costs[[#This Row],[Management]]/Entity_Unit_Costs[[#This Row],[Closing social housing units managed]],"")</f>
        <v>0.44465917076598738</v>
      </c>
      <c r="H69" s="193">
        <v>2531</v>
      </c>
      <c r="I69" s="194">
        <f>IF(Entity_Unit_Costs[[#This Row],[Closing social housing units managed]]&gt;0,Entity_Unit_Costs[[#This Row],[Service charge costs]]/Entity_Unit_Costs[[#This Row],[Closing social housing units managed]],"")</f>
        <v>0.30200281096275472</v>
      </c>
      <c r="J69" s="193">
        <v>1719</v>
      </c>
      <c r="K69" s="194">
        <f>IF(Entity_Unit_Costs[[#This Row],[Closing social housing units managed]]&gt;0,(Entity_Unit_Costs[[#This Row],[Routine maintenance]]+Entity_Unit_Costs[[#This Row],[Planned maintenance]])/Entity_Unit_Costs[[#This Row],[Closing social housing units managed]],"")</f>
        <v>0.69747013352073084</v>
      </c>
      <c r="L69" s="193">
        <v>3314</v>
      </c>
      <c r="M69" s="193">
        <v>656</v>
      </c>
      <c r="N69" s="194">
        <f>IF(Entity_Unit_Costs[[#This Row],[Closing social housing units managed]]&gt;0,(Entity_Unit_Costs[[#This Row],[Major repairs expenditure]]+Entity_Unit_Costs[[#This Row],[Capitalised major repairs expenditure for period]])/Entity_Unit_Costs[[#This Row],[Closing social housing units managed]],"")</f>
        <v>0.25544624033731556</v>
      </c>
      <c r="O69" s="193">
        <v>1002</v>
      </c>
      <c r="P69" s="193">
        <v>452</v>
      </c>
      <c r="Q6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0.11173576950105411</v>
      </c>
      <c r="R69" s="193">
        <v>0</v>
      </c>
      <c r="S69" s="193">
        <v>0</v>
      </c>
      <c r="T69" s="193">
        <v>479</v>
      </c>
      <c r="U69" s="193">
        <v>157</v>
      </c>
      <c r="V69" s="195">
        <v>0</v>
      </c>
      <c r="W69" s="183">
        <v>8.9010612803834301E-3</v>
      </c>
      <c r="X69" s="183">
        <v>4.0225950017117429E-2</v>
      </c>
      <c r="Y69" s="184" t="s">
        <v>1256</v>
      </c>
      <c r="Z69" s="185"/>
      <c r="AA69" s="186" t="s">
        <v>1279</v>
      </c>
      <c r="AB69" s="187" t="s">
        <v>1261</v>
      </c>
      <c r="AC69" s="188">
        <v>0.92035348283674867</v>
      </c>
      <c r="AD69" s="186" t="s">
        <v>1253</v>
      </c>
      <c r="AE69" s="187" t="s">
        <v>822</v>
      </c>
    </row>
    <row r="70" spans="1:31" x14ac:dyDescent="0.2">
      <c r="A70" s="189" t="s">
        <v>325</v>
      </c>
      <c r="B70" s="190" t="s">
        <v>326</v>
      </c>
      <c r="C70" s="191" t="s">
        <v>200</v>
      </c>
      <c r="D70" s="192">
        <v>3103</v>
      </c>
      <c r="E7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9685</v>
      </c>
      <c r="F70" s="194">
        <f>IF(Entity_Unit_Costs[[#This Row],[Closing social housing units managed]]&gt;0,Entity_Unit_Costs[[#This Row],[Headline Social Housing Cost]]/Entity_Unit_Costs[[#This Row],[Closing social housing units managed]],"")</f>
        <v>3.1211730583306476</v>
      </c>
      <c r="G70" s="194">
        <f>IF(Entity_Unit_Costs[[#This Row],[Closing social housing units managed]]&gt;0,Entity_Unit_Costs[[#This Row],[Management]]/Entity_Unit_Costs[[#This Row],[Closing social housing units managed]],"")</f>
        <v>1.3718981630679987</v>
      </c>
      <c r="H70" s="193">
        <v>4257</v>
      </c>
      <c r="I70" s="194">
        <f>IF(Entity_Unit_Costs[[#This Row],[Closing social housing units managed]]&gt;0,Entity_Unit_Costs[[#This Row],[Service charge costs]]/Entity_Unit_Costs[[#This Row],[Closing social housing units managed]],"")</f>
        <v>0.28198517563648084</v>
      </c>
      <c r="J70" s="193">
        <v>875</v>
      </c>
      <c r="K70" s="194">
        <f>IF(Entity_Unit_Costs[[#This Row],[Closing social housing units managed]]&gt;0,(Entity_Unit_Costs[[#This Row],[Routine maintenance]]+Entity_Unit_Costs[[#This Row],[Planned maintenance]])/Entity_Unit_Costs[[#This Row],[Closing social housing units managed]],"")</f>
        <v>0.92265549468256525</v>
      </c>
      <c r="L70" s="193">
        <v>2236</v>
      </c>
      <c r="M70" s="193">
        <v>627</v>
      </c>
      <c r="N70" s="194">
        <f>IF(Entity_Unit_Costs[[#This Row],[Closing social housing units managed]]&gt;0,(Entity_Unit_Costs[[#This Row],[Major repairs expenditure]]+Entity_Unit_Costs[[#This Row],[Capitalised major repairs expenditure for period]])/Entity_Unit_Costs[[#This Row],[Closing social housing units managed]],"")</f>
        <v>0.42378343538511121</v>
      </c>
      <c r="O70" s="193">
        <v>152</v>
      </c>
      <c r="P70" s="193">
        <v>1163</v>
      </c>
      <c r="Q7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0.12085078955849178</v>
      </c>
      <c r="R70" s="193">
        <v>42</v>
      </c>
      <c r="S70" s="193">
        <v>0</v>
      </c>
      <c r="T70" s="193">
        <v>333</v>
      </c>
      <c r="U70" s="193">
        <v>0</v>
      </c>
      <c r="V70" s="195">
        <v>0</v>
      </c>
      <c r="W70" s="183">
        <v>0</v>
      </c>
      <c r="X70" s="183">
        <v>3.2455012853470439E-2</v>
      </c>
      <c r="Y70" s="184" t="s">
        <v>1257</v>
      </c>
      <c r="Z70" s="185">
        <v>36250</v>
      </c>
      <c r="AA70" s="186" t="s">
        <v>1268</v>
      </c>
      <c r="AB70" s="187" t="s">
        <v>1262</v>
      </c>
      <c r="AC70" s="188">
        <v>0.9156653862445665</v>
      </c>
      <c r="AD70" s="186" t="s">
        <v>1255</v>
      </c>
      <c r="AE70" s="187" t="s">
        <v>861</v>
      </c>
    </row>
    <row r="71" spans="1:31" x14ac:dyDescent="0.2">
      <c r="A71" s="189" t="s">
        <v>327</v>
      </c>
      <c r="B71" s="190" t="s">
        <v>328</v>
      </c>
      <c r="C71" s="196" t="s">
        <v>200</v>
      </c>
      <c r="D71" s="192">
        <v>8780</v>
      </c>
      <c r="E7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20246</v>
      </c>
      <c r="F71" s="194">
        <f>IF(Entity_Unit_Costs[[#This Row],[Closing social housing units managed]]&gt;0,Entity_Unit_Costs[[#This Row],[Headline Social Housing Cost]]/Entity_Unit_Costs[[#This Row],[Closing social housing units managed]],"")</f>
        <v>2.3059225512528472</v>
      </c>
      <c r="G71" s="194">
        <f>IF(Entity_Unit_Costs[[#This Row],[Closing social housing units managed]]&gt;0,Entity_Unit_Costs[[#This Row],[Management]]/Entity_Unit_Costs[[#This Row],[Closing social housing units managed]],"")</f>
        <v>0.58940774487471526</v>
      </c>
      <c r="H71" s="193">
        <v>5175</v>
      </c>
      <c r="I71" s="194">
        <f>IF(Entity_Unit_Costs[[#This Row],[Closing social housing units managed]]&gt;0,Entity_Unit_Costs[[#This Row],[Service charge costs]]/Entity_Unit_Costs[[#This Row],[Closing social housing units managed]],"")</f>
        <v>0.43211845102505697</v>
      </c>
      <c r="J71" s="193">
        <v>3794</v>
      </c>
      <c r="K71" s="194">
        <f>IF(Entity_Unit_Costs[[#This Row],[Closing social housing units managed]]&gt;0,(Entity_Unit_Costs[[#This Row],[Routine maintenance]]+Entity_Unit_Costs[[#This Row],[Planned maintenance]])/Entity_Unit_Costs[[#This Row],[Closing social housing units managed]],"")</f>
        <v>0.66287015945330297</v>
      </c>
      <c r="L71" s="193">
        <v>4943</v>
      </c>
      <c r="M71" s="193">
        <v>877</v>
      </c>
      <c r="N71" s="194">
        <f>IF(Entity_Unit_Costs[[#This Row],[Closing social housing units managed]]&gt;0,(Entity_Unit_Costs[[#This Row],[Major repairs expenditure]]+Entity_Unit_Costs[[#This Row],[Capitalised major repairs expenditure for period]])/Entity_Unit_Costs[[#This Row],[Closing social housing units managed]],"")</f>
        <v>0.41731207289293848</v>
      </c>
      <c r="O71" s="193">
        <v>1146</v>
      </c>
      <c r="P71" s="193">
        <v>2518</v>
      </c>
      <c r="Q7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0.20421412300683373</v>
      </c>
      <c r="R71" s="193">
        <v>0</v>
      </c>
      <c r="S71" s="193">
        <v>0</v>
      </c>
      <c r="T71" s="193">
        <v>630</v>
      </c>
      <c r="U71" s="193">
        <v>1163</v>
      </c>
      <c r="V71" s="195">
        <v>0</v>
      </c>
      <c r="W71" s="183">
        <v>8.5295989815404195E-3</v>
      </c>
      <c r="X71" s="183">
        <v>7.383831954169319E-2</v>
      </c>
      <c r="Y71" s="184" t="s">
        <v>1256</v>
      </c>
      <c r="Z71" s="185"/>
      <c r="AA71" s="186" t="s">
        <v>1279</v>
      </c>
      <c r="AB71" s="187" t="s">
        <v>1261</v>
      </c>
      <c r="AC71" s="188">
        <v>0.92186562695750729</v>
      </c>
      <c r="AD71" s="186" t="s">
        <v>1243</v>
      </c>
      <c r="AE71" s="187" t="s">
        <v>599</v>
      </c>
    </row>
    <row r="72" spans="1:31" x14ac:dyDescent="0.2">
      <c r="A72" s="189" t="s">
        <v>331</v>
      </c>
      <c r="B72" s="190" t="s">
        <v>330</v>
      </c>
      <c r="C72" s="196" t="s">
        <v>200</v>
      </c>
      <c r="D72" s="192">
        <v>6696</v>
      </c>
      <c r="E7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21084</v>
      </c>
      <c r="F72" s="194">
        <f>IF(Entity_Unit_Costs[[#This Row],[Closing social housing units managed]]&gt;0,Entity_Unit_Costs[[#This Row],[Headline Social Housing Cost]]/Entity_Unit_Costs[[#This Row],[Closing social housing units managed]],"")</f>
        <v>3.1487455197132617</v>
      </c>
      <c r="G72" s="194">
        <f>IF(Entity_Unit_Costs[[#This Row],[Closing social housing units managed]]&gt;0,Entity_Unit_Costs[[#This Row],[Management]]/Entity_Unit_Costs[[#This Row],[Closing social housing units managed]],"")</f>
        <v>0.18847072879330945</v>
      </c>
      <c r="H72" s="193">
        <v>1262</v>
      </c>
      <c r="I72" s="194">
        <f>IF(Entity_Unit_Costs[[#This Row],[Closing social housing units managed]]&gt;0,Entity_Unit_Costs[[#This Row],[Service charge costs]]/Entity_Unit_Costs[[#This Row],[Closing social housing units managed]],"")</f>
        <v>0.36708482676224613</v>
      </c>
      <c r="J72" s="193">
        <v>2458</v>
      </c>
      <c r="K72" s="194">
        <f>IF(Entity_Unit_Costs[[#This Row],[Closing social housing units managed]]&gt;0,(Entity_Unit_Costs[[#This Row],[Routine maintenance]]+Entity_Unit_Costs[[#This Row],[Planned maintenance]])/Entity_Unit_Costs[[#This Row],[Closing social housing units managed]],"")</f>
        <v>0.56406810035842292</v>
      </c>
      <c r="L72" s="193">
        <v>2607</v>
      </c>
      <c r="M72" s="193">
        <v>1170</v>
      </c>
      <c r="N72" s="194">
        <f>IF(Entity_Unit_Costs[[#This Row],[Closing social housing units managed]]&gt;0,(Entity_Unit_Costs[[#This Row],[Major repairs expenditure]]+Entity_Unit_Costs[[#This Row],[Capitalised major repairs expenditure for period]])/Entity_Unit_Costs[[#This Row],[Closing social housing units managed]],"")</f>
        <v>0.72102747909199527</v>
      </c>
      <c r="O72" s="193">
        <v>0</v>
      </c>
      <c r="P72" s="193">
        <v>4828</v>
      </c>
      <c r="Q7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1.3080943847072879</v>
      </c>
      <c r="R72" s="193">
        <v>8759</v>
      </c>
      <c r="S72" s="193">
        <v>0</v>
      </c>
      <c r="T72" s="193">
        <v>0</v>
      </c>
      <c r="U72" s="193">
        <v>0</v>
      </c>
      <c r="V72" s="195">
        <v>0</v>
      </c>
      <c r="W72" s="183">
        <v>0</v>
      </c>
      <c r="X72" s="183">
        <v>2.9037569226163747E-2</v>
      </c>
      <c r="Y72" s="184" t="s">
        <v>1257</v>
      </c>
      <c r="Z72" s="185">
        <v>39055</v>
      </c>
      <c r="AA72" s="186" t="s">
        <v>1280</v>
      </c>
      <c r="AB72" s="187" t="s">
        <v>1266</v>
      </c>
      <c r="AC72" s="188">
        <v>0.9026647648742484</v>
      </c>
      <c r="AD72" s="186" t="s">
        <v>331</v>
      </c>
      <c r="AE72" s="187" t="s">
        <v>330</v>
      </c>
    </row>
    <row r="73" spans="1:31" x14ac:dyDescent="0.2">
      <c r="A73" s="197">
        <v>4818</v>
      </c>
      <c r="B73" s="190" t="s">
        <v>60</v>
      </c>
      <c r="C73" s="196" t="s">
        <v>200</v>
      </c>
      <c r="D73" s="192">
        <v>22313</v>
      </c>
      <c r="E7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60942</v>
      </c>
      <c r="F73" s="194">
        <f>IF(Entity_Unit_Costs[[#This Row],[Closing social housing units managed]]&gt;0,Entity_Unit_Costs[[#This Row],[Headline Social Housing Cost]]/Entity_Unit_Costs[[#This Row],[Closing social housing units managed]],"")</f>
        <v>2.7312329135481557</v>
      </c>
      <c r="G73" s="194">
        <f>IF(Entity_Unit_Costs[[#This Row],[Closing social housing units managed]]&gt;0,Entity_Unit_Costs[[#This Row],[Management]]/Entity_Unit_Costs[[#This Row],[Closing social housing units managed]],"")</f>
        <v>0.89817595123918792</v>
      </c>
      <c r="H73" s="193">
        <v>20041</v>
      </c>
      <c r="I73" s="194">
        <f>IF(Entity_Unit_Costs[[#This Row],[Closing social housing units managed]]&gt;0,Entity_Unit_Costs[[#This Row],[Service charge costs]]/Entity_Unit_Costs[[#This Row],[Closing social housing units managed]],"")</f>
        <v>0.31309102317034915</v>
      </c>
      <c r="J73" s="193">
        <v>6986</v>
      </c>
      <c r="K73" s="194">
        <f>IF(Entity_Unit_Costs[[#This Row],[Closing social housing units managed]]&gt;0,(Entity_Unit_Costs[[#This Row],[Routine maintenance]]+Entity_Unit_Costs[[#This Row],[Planned maintenance]])/Entity_Unit_Costs[[#This Row],[Closing social housing units managed]],"")</f>
        <v>0.89033298973692465</v>
      </c>
      <c r="L73" s="193">
        <v>14071</v>
      </c>
      <c r="M73" s="193">
        <v>5795</v>
      </c>
      <c r="N73" s="194">
        <f>IF(Entity_Unit_Costs[[#This Row],[Closing social housing units managed]]&gt;0,(Entity_Unit_Costs[[#This Row],[Major repairs expenditure]]+Entity_Unit_Costs[[#This Row],[Capitalised major repairs expenditure for period]])/Entity_Unit_Costs[[#This Row],[Closing social housing units managed]],"")</f>
        <v>0.5439429928741093</v>
      </c>
      <c r="O73" s="193">
        <v>4544</v>
      </c>
      <c r="P73" s="193">
        <v>7593</v>
      </c>
      <c r="Q7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8.5689956527584821E-2</v>
      </c>
      <c r="R73" s="193">
        <v>0</v>
      </c>
      <c r="S73" s="193">
        <v>203</v>
      </c>
      <c r="T73" s="193">
        <v>347</v>
      </c>
      <c r="U73" s="193">
        <v>1362</v>
      </c>
      <c r="V73" s="195">
        <v>0</v>
      </c>
      <c r="W73" s="183">
        <v>2.1634396873011545E-2</v>
      </c>
      <c r="X73" s="183">
        <v>1.9225524952277067E-2</v>
      </c>
      <c r="Y73" s="184" t="s">
        <v>1256</v>
      </c>
      <c r="Z73" s="185"/>
      <c r="AA73" s="186" t="s">
        <v>1279</v>
      </c>
      <c r="AB73" s="187" t="s">
        <v>1265</v>
      </c>
      <c r="AC73" s="188">
        <v>0.96617247115787419</v>
      </c>
      <c r="AD73" s="186">
        <v>4818</v>
      </c>
      <c r="AE73" s="187" t="s">
        <v>60</v>
      </c>
    </row>
    <row r="74" spans="1:31" x14ac:dyDescent="0.2">
      <c r="A74" s="189" t="s">
        <v>332</v>
      </c>
      <c r="B74" s="190" t="s">
        <v>333</v>
      </c>
      <c r="C74" s="191" t="s">
        <v>200</v>
      </c>
      <c r="D74" s="192">
        <v>5731</v>
      </c>
      <c r="E7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21036</v>
      </c>
      <c r="F74" s="194">
        <f>IF(Entity_Unit_Costs[[#This Row],[Closing social housing units managed]]&gt;0,Entity_Unit_Costs[[#This Row],[Headline Social Housing Cost]]/Entity_Unit_Costs[[#This Row],[Closing social housing units managed]],"")</f>
        <v>3.6705636014657128</v>
      </c>
      <c r="G74" s="194">
        <f>IF(Entity_Unit_Costs[[#This Row],[Closing social housing units managed]]&gt;0,Entity_Unit_Costs[[#This Row],[Management]]/Entity_Unit_Costs[[#This Row],[Closing social housing units managed]],"")</f>
        <v>1.0338509858663409</v>
      </c>
      <c r="H74" s="193">
        <v>5925</v>
      </c>
      <c r="I74" s="194">
        <f>IF(Entity_Unit_Costs[[#This Row],[Closing social housing units managed]]&gt;0,Entity_Unit_Costs[[#This Row],[Service charge costs]]/Entity_Unit_Costs[[#This Row],[Closing social housing units managed]],"")</f>
        <v>0.20764264526260687</v>
      </c>
      <c r="J74" s="193">
        <v>1190</v>
      </c>
      <c r="K74" s="194">
        <f>IF(Entity_Unit_Costs[[#This Row],[Closing social housing units managed]]&gt;0,(Entity_Unit_Costs[[#This Row],[Routine maintenance]]+Entity_Unit_Costs[[#This Row],[Planned maintenance]])/Entity_Unit_Costs[[#This Row],[Closing social housing units managed]],"")</f>
        <v>0.910486826033851</v>
      </c>
      <c r="L74" s="193">
        <v>3850</v>
      </c>
      <c r="M74" s="193">
        <v>1368</v>
      </c>
      <c r="N74" s="194">
        <f>IF(Entity_Unit_Costs[[#This Row],[Closing social housing units managed]]&gt;0,(Entity_Unit_Costs[[#This Row],[Major repairs expenditure]]+Entity_Unit_Costs[[#This Row],[Capitalised major repairs expenditure for period]])/Entity_Unit_Costs[[#This Row],[Closing social housing units managed]],"")</f>
        <v>1.0136101901936834</v>
      </c>
      <c r="O74" s="193">
        <v>3768</v>
      </c>
      <c r="P74" s="193">
        <v>2041</v>
      </c>
      <c r="Q7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0.50497295410923049</v>
      </c>
      <c r="R74" s="193">
        <v>291</v>
      </c>
      <c r="S74" s="193">
        <v>0</v>
      </c>
      <c r="T74" s="193">
        <v>215</v>
      </c>
      <c r="U74" s="193">
        <v>2388</v>
      </c>
      <c r="V74" s="195">
        <v>0</v>
      </c>
      <c r="W74" s="183">
        <v>4.9144521295959231E-3</v>
      </c>
      <c r="X74" s="183">
        <v>0.11303239898070623</v>
      </c>
      <c r="Y74" s="184" t="s">
        <v>1256</v>
      </c>
      <c r="Z74" s="185"/>
      <c r="AA74" s="186" t="s">
        <v>1279</v>
      </c>
      <c r="AB74" s="187" t="s">
        <v>1259</v>
      </c>
      <c r="AC74" s="188">
        <v>1.0114699657577944</v>
      </c>
      <c r="AD74" s="186" t="s">
        <v>1246</v>
      </c>
      <c r="AE74" s="187" t="s">
        <v>623</v>
      </c>
    </row>
    <row r="75" spans="1:31" x14ac:dyDescent="0.2">
      <c r="A75" s="189" t="s">
        <v>64</v>
      </c>
      <c r="B75" s="190" t="s">
        <v>63</v>
      </c>
      <c r="C75" s="196" t="s">
        <v>200</v>
      </c>
      <c r="D75" s="192">
        <v>1763</v>
      </c>
      <c r="E7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5011</v>
      </c>
      <c r="F75" s="194">
        <f>IF(Entity_Unit_Costs[[#This Row],[Closing social housing units managed]]&gt;0,Entity_Unit_Costs[[#This Row],[Headline Social Housing Cost]]/Entity_Unit_Costs[[#This Row],[Closing social housing units managed]],"")</f>
        <v>2.8423142370958594</v>
      </c>
      <c r="G75" s="194">
        <f>IF(Entity_Unit_Costs[[#This Row],[Closing social housing units managed]]&gt;0,Entity_Unit_Costs[[#This Row],[Management]]/Entity_Unit_Costs[[#This Row],[Closing social housing units managed]],"")</f>
        <v>0.47249007373794666</v>
      </c>
      <c r="H75" s="193">
        <v>833</v>
      </c>
      <c r="I75" s="194">
        <f>IF(Entity_Unit_Costs[[#This Row],[Closing social housing units managed]]&gt;0,Entity_Unit_Costs[[#This Row],[Service charge costs]]/Entity_Unit_Costs[[#This Row],[Closing social housing units managed]],"")</f>
        <v>0.11174134997163924</v>
      </c>
      <c r="J75" s="193">
        <v>197</v>
      </c>
      <c r="K75" s="194">
        <f>IF(Entity_Unit_Costs[[#This Row],[Closing social housing units managed]]&gt;0,(Entity_Unit_Costs[[#This Row],[Routine maintenance]]+Entity_Unit_Costs[[#This Row],[Planned maintenance]])/Entity_Unit_Costs[[#This Row],[Closing social housing units managed]],"")</f>
        <v>1.1174134997163925</v>
      </c>
      <c r="L75" s="193">
        <v>1965</v>
      </c>
      <c r="M75" s="193">
        <v>5</v>
      </c>
      <c r="N75" s="194">
        <f>IF(Entity_Unit_Costs[[#This Row],[Closing social housing units managed]]&gt;0,(Entity_Unit_Costs[[#This Row],[Major repairs expenditure]]+Entity_Unit_Costs[[#This Row],[Capitalised major repairs expenditure for period]])/Entity_Unit_Costs[[#This Row],[Closing social housing units managed]],"")</f>
        <v>0.685195689166194</v>
      </c>
      <c r="O75" s="193">
        <v>0</v>
      </c>
      <c r="P75" s="193">
        <v>1208</v>
      </c>
      <c r="Q7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0.45547362450368689</v>
      </c>
      <c r="R75" s="193">
        <v>803</v>
      </c>
      <c r="S75" s="193">
        <v>0</v>
      </c>
      <c r="T75" s="193">
        <v>0</v>
      </c>
      <c r="U75" s="193">
        <v>0</v>
      </c>
      <c r="V75" s="195">
        <v>0</v>
      </c>
      <c r="W75" s="183">
        <v>0</v>
      </c>
      <c r="X75" s="183">
        <v>4.8511576626240352E-2</v>
      </c>
      <c r="Y75" s="184" t="s">
        <v>1256</v>
      </c>
      <c r="Z75" s="185"/>
      <c r="AA75" s="186" t="s">
        <v>1279</v>
      </c>
      <c r="AB75" s="187" t="s">
        <v>1266</v>
      </c>
      <c r="AC75" s="188">
        <v>0.9026647648742484</v>
      </c>
      <c r="AD75" s="186" t="s">
        <v>64</v>
      </c>
      <c r="AE75" s="187" t="s">
        <v>63</v>
      </c>
    </row>
    <row r="76" spans="1:31" x14ac:dyDescent="0.2">
      <c r="A76" s="197">
        <v>4806</v>
      </c>
      <c r="B76" s="190" t="s">
        <v>335</v>
      </c>
      <c r="C76" s="196" t="s">
        <v>200</v>
      </c>
      <c r="D76" s="192">
        <v>5811</v>
      </c>
      <c r="E7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19294</v>
      </c>
      <c r="F76" s="194">
        <f>IF(Entity_Unit_Costs[[#This Row],[Closing social housing units managed]]&gt;0,Entity_Unit_Costs[[#This Row],[Headline Social Housing Cost]]/Entity_Unit_Costs[[#This Row],[Closing social housing units managed]],"")</f>
        <v>3.3202546893822062</v>
      </c>
      <c r="G76" s="194">
        <f>IF(Entity_Unit_Costs[[#This Row],[Closing social housing units managed]]&gt;0,Entity_Unit_Costs[[#This Row],[Management]]/Entity_Unit_Costs[[#This Row],[Closing social housing units managed]],"")</f>
        <v>1.154190328686973</v>
      </c>
      <c r="H76" s="193">
        <v>6707</v>
      </c>
      <c r="I76" s="194">
        <f>IF(Entity_Unit_Costs[[#This Row],[Closing social housing units managed]]&gt;0,Entity_Unit_Costs[[#This Row],[Service charge costs]]/Entity_Unit_Costs[[#This Row],[Closing social housing units managed]],"")</f>
        <v>7.1760454310789881E-2</v>
      </c>
      <c r="J76" s="193">
        <v>417</v>
      </c>
      <c r="K76" s="194">
        <f>IF(Entity_Unit_Costs[[#This Row],[Closing social housing units managed]]&gt;0,(Entity_Unit_Costs[[#This Row],[Routine maintenance]]+Entity_Unit_Costs[[#This Row],[Planned maintenance]])/Entity_Unit_Costs[[#This Row],[Closing social housing units managed]],"")</f>
        <v>0.94269488900361387</v>
      </c>
      <c r="L76" s="193">
        <v>4953</v>
      </c>
      <c r="M76" s="193">
        <v>525</v>
      </c>
      <c r="N76" s="194">
        <f>IF(Entity_Unit_Costs[[#This Row],[Closing social housing units managed]]&gt;0,(Entity_Unit_Costs[[#This Row],[Major repairs expenditure]]+Entity_Unit_Costs[[#This Row],[Capitalised major repairs expenditure for period]])/Entity_Unit_Costs[[#This Row],[Closing social housing units managed]],"")</f>
        <v>1.1516090173808295</v>
      </c>
      <c r="O76" s="193">
        <v>200</v>
      </c>
      <c r="P76" s="193">
        <v>6492</v>
      </c>
      <c r="Q7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v>
      </c>
      <c r="R76" s="193">
        <v>0</v>
      </c>
      <c r="S76" s="193">
        <v>0</v>
      </c>
      <c r="T76" s="193">
        <v>0</v>
      </c>
      <c r="U76" s="193">
        <v>0</v>
      </c>
      <c r="V76" s="195">
        <v>0</v>
      </c>
      <c r="W76" s="183">
        <v>0</v>
      </c>
      <c r="X76" s="183">
        <v>0</v>
      </c>
      <c r="Y76" s="184" t="s">
        <v>1257</v>
      </c>
      <c r="Z76" s="185">
        <v>42107</v>
      </c>
      <c r="AA76" s="186" t="s">
        <v>1269</v>
      </c>
      <c r="AB76" s="187" t="s">
        <v>1266</v>
      </c>
      <c r="AC76" s="188">
        <v>0.9026647648742484</v>
      </c>
      <c r="AD76" s="186">
        <v>4805</v>
      </c>
      <c r="AE76" s="187" t="s">
        <v>317</v>
      </c>
    </row>
    <row r="77" spans="1:31" x14ac:dyDescent="0.2">
      <c r="A77" s="197">
        <v>4578</v>
      </c>
      <c r="B77" s="190" t="s">
        <v>337</v>
      </c>
      <c r="C77" s="196" t="s">
        <v>200</v>
      </c>
      <c r="D77" s="192">
        <v>8183</v>
      </c>
      <c r="E7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27585</v>
      </c>
      <c r="F77" s="194">
        <f>IF(Entity_Unit_Costs[[#This Row],[Closing social housing units managed]]&gt;0,Entity_Unit_Costs[[#This Row],[Headline Social Housing Cost]]/Entity_Unit_Costs[[#This Row],[Closing social housing units managed]],"")</f>
        <v>3.3710130758890382</v>
      </c>
      <c r="G77" s="194">
        <f>IF(Entity_Unit_Costs[[#This Row],[Closing social housing units managed]]&gt;0,Entity_Unit_Costs[[#This Row],[Management]]/Entity_Unit_Costs[[#This Row],[Closing social housing units managed]],"")</f>
        <v>1.302211902725162</v>
      </c>
      <c r="H77" s="193">
        <v>10656</v>
      </c>
      <c r="I77" s="194">
        <f>IF(Entity_Unit_Costs[[#This Row],[Closing social housing units managed]]&gt;0,Entity_Unit_Costs[[#This Row],[Service charge costs]]/Entity_Unit_Costs[[#This Row],[Closing social housing units managed]],"")</f>
        <v>4.4360259073689359E-2</v>
      </c>
      <c r="J77" s="193">
        <v>363</v>
      </c>
      <c r="K77" s="194">
        <f>IF(Entity_Unit_Costs[[#This Row],[Closing social housing units managed]]&gt;0,(Entity_Unit_Costs[[#This Row],[Routine maintenance]]+Entity_Unit_Costs[[#This Row],[Planned maintenance]])/Entity_Unit_Costs[[#This Row],[Closing social housing units managed]],"")</f>
        <v>1.1831846511059514</v>
      </c>
      <c r="L77" s="193">
        <v>8234</v>
      </c>
      <c r="M77" s="193">
        <v>1448</v>
      </c>
      <c r="N77" s="194">
        <f>IF(Entity_Unit_Costs[[#This Row],[Closing social housing units managed]]&gt;0,(Entity_Unit_Costs[[#This Row],[Major repairs expenditure]]+Entity_Unit_Costs[[#This Row],[Capitalised major repairs expenditure for period]])/Entity_Unit_Costs[[#This Row],[Closing social housing units managed]],"")</f>
        <v>0.84125626298423561</v>
      </c>
      <c r="O77" s="193">
        <v>20</v>
      </c>
      <c r="P77" s="193">
        <v>6864</v>
      </c>
      <c r="Q7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v>
      </c>
      <c r="R77" s="193">
        <v>0</v>
      </c>
      <c r="S77" s="193">
        <v>0</v>
      </c>
      <c r="T77" s="193">
        <v>0</v>
      </c>
      <c r="U77" s="193">
        <v>0</v>
      </c>
      <c r="V77" s="195">
        <v>0</v>
      </c>
      <c r="W77" s="183">
        <v>0</v>
      </c>
      <c r="X77" s="183">
        <v>0</v>
      </c>
      <c r="Y77" s="184" t="s">
        <v>1257</v>
      </c>
      <c r="Z77" s="185">
        <v>42107</v>
      </c>
      <c r="AA77" s="186" t="s">
        <v>1269</v>
      </c>
      <c r="AB77" s="187" t="s">
        <v>1266</v>
      </c>
      <c r="AC77" s="188">
        <v>0.9026647648742484</v>
      </c>
      <c r="AD77" s="186">
        <v>4805</v>
      </c>
      <c r="AE77" s="187" t="s">
        <v>317</v>
      </c>
    </row>
    <row r="78" spans="1:31" x14ac:dyDescent="0.2">
      <c r="A78" s="189" t="s">
        <v>338</v>
      </c>
      <c r="B78" s="190" t="s">
        <v>339</v>
      </c>
      <c r="C78" s="196" t="s">
        <v>200</v>
      </c>
      <c r="D78" s="192">
        <v>3731</v>
      </c>
      <c r="E7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17492</v>
      </c>
      <c r="F78" s="194">
        <f>IF(Entity_Unit_Costs[[#This Row],[Closing social housing units managed]]&gt;0,Entity_Unit_Costs[[#This Row],[Headline Social Housing Cost]]/Entity_Unit_Costs[[#This Row],[Closing social housing units managed]],"")</f>
        <v>4.6882873224336636</v>
      </c>
      <c r="G78" s="194">
        <f>IF(Entity_Unit_Costs[[#This Row],[Closing social housing units managed]]&gt;0,Entity_Unit_Costs[[#This Row],[Management]]/Entity_Unit_Costs[[#This Row],[Closing social housing units managed]],"")</f>
        <v>0.93728222996515675</v>
      </c>
      <c r="H78" s="193">
        <v>3497</v>
      </c>
      <c r="I78" s="194">
        <f>IF(Entity_Unit_Costs[[#This Row],[Closing social housing units managed]]&gt;0,Entity_Unit_Costs[[#This Row],[Service charge costs]]/Entity_Unit_Costs[[#This Row],[Closing social housing units managed]],"")</f>
        <v>1.0986330742428303</v>
      </c>
      <c r="J78" s="193">
        <v>4099</v>
      </c>
      <c r="K78" s="194">
        <f>IF(Entity_Unit_Costs[[#This Row],[Closing social housing units managed]]&gt;0,(Entity_Unit_Costs[[#This Row],[Routine maintenance]]+Entity_Unit_Costs[[#This Row],[Planned maintenance]])/Entity_Unit_Costs[[#This Row],[Closing social housing units managed]],"")</f>
        <v>0.87724470651299924</v>
      </c>
      <c r="L78" s="193">
        <v>2888</v>
      </c>
      <c r="M78" s="193">
        <v>385</v>
      </c>
      <c r="N78" s="194">
        <f>IF(Entity_Unit_Costs[[#This Row],[Closing social housing units managed]]&gt;0,(Entity_Unit_Costs[[#This Row],[Major repairs expenditure]]+Entity_Unit_Costs[[#This Row],[Capitalised major repairs expenditure for period]])/Entity_Unit_Costs[[#This Row],[Closing social housing units managed]],"")</f>
        <v>1.7751273117126776</v>
      </c>
      <c r="O78" s="193">
        <v>302</v>
      </c>
      <c r="P78" s="193">
        <v>6321</v>
      </c>
      <c r="Q7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v>
      </c>
      <c r="R78" s="193">
        <v>0</v>
      </c>
      <c r="S78" s="193">
        <v>0</v>
      </c>
      <c r="T78" s="193">
        <v>0</v>
      </c>
      <c r="U78" s="193">
        <v>0</v>
      </c>
      <c r="V78" s="195">
        <v>0</v>
      </c>
      <c r="W78" s="183">
        <v>0</v>
      </c>
      <c r="X78" s="183">
        <v>0</v>
      </c>
      <c r="Y78" s="184" t="s">
        <v>1257</v>
      </c>
      <c r="Z78" s="185">
        <v>38453</v>
      </c>
      <c r="AA78" s="186" t="s">
        <v>1280</v>
      </c>
      <c r="AB78" s="187" t="s">
        <v>1267</v>
      </c>
      <c r="AC78" s="188">
        <v>1.2488627787394371</v>
      </c>
      <c r="AD78" s="186" t="s">
        <v>338</v>
      </c>
      <c r="AE78" s="187" t="s">
        <v>339</v>
      </c>
    </row>
    <row r="79" spans="1:31" x14ac:dyDescent="0.2">
      <c r="A79" s="197">
        <v>4835</v>
      </c>
      <c r="B79" s="190" t="s">
        <v>344</v>
      </c>
      <c r="C79" s="196" t="s">
        <v>200</v>
      </c>
      <c r="D79" s="192">
        <v>13549</v>
      </c>
      <c r="E7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44631</v>
      </c>
      <c r="F79" s="194">
        <f>IF(Entity_Unit_Costs[[#This Row],[Closing social housing units managed]]&gt;0,Entity_Unit_Costs[[#This Row],[Headline Social Housing Cost]]/Entity_Unit_Costs[[#This Row],[Closing social housing units managed]],"")</f>
        <v>3.294043840873865</v>
      </c>
      <c r="G79" s="194">
        <f>IF(Entity_Unit_Costs[[#This Row],[Closing social housing units managed]]&gt;0,Entity_Unit_Costs[[#This Row],[Management]]/Entity_Unit_Costs[[#This Row],[Closing social housing units managed]],"")</f>
        <v>1.2451103402465127</v>
      </c>
      <c r="H79" s="193">
        <v>16870</v>
      </c>
      <c r="I79" s="194">
        <f>IF(Entity_Unit_Costs[[#This Row],[Closing social housing units managed]]&gt;0,Entity_Unit_Costs[[#This Row],[Service charge costs]]/Entity_Unit_Costs[[#This Row],[Closing social housing units managed]],"")</f>
        <v>0.65407041110045017</v>
      </c>
      <c r="J79" s="193">
        <v>8862</v>
      </c>
      <c r="K79" s="194">
        <f>IF(Entity_Unit_Costs[[#This Row],[Closing social housing units managed]]&gt;0,(Entity_Unit_Costs[[#This Row],[Routine maintenance]]+Entity_Unit_Costs[[#This Row],[Planned maintenance]])/Entity_Unit_Costs[[#This Row],[Closing social housing units managed]],"")</f>
        <v>0.88161487932688765</v>
      </c>
      <c r="L79" s="193">
        <v>7273</v>
      </c>
      <c r="M79" s="193">
        <v>4672</v>
      </c>
      <c r="N79" s="194">
        <f>IF(Entity_Unit_Costs[[#This Row],[Closing social housing units managed]]&gt;0,(Entity_Unit_Costs[[#This Row],[Major repairs expenditure]]+Entity_Unit_Costs[[#This Row],[Capitalised major repairs expenditure for period]])/Entity_Unit_Costs[[#This Row],[Closing social housing units managed]],"")</f>
        <v>0.42187615322163996</v>
      </c>
      <c r="O79" s="193">
        <v>7</v>
      </c>
      <c r="P79" s="193">
        <v>5709</v>
      </c>
      <c r="Q7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9.1372056978374791E-2</v>
      </c>
      <c r="R79" s="193">
        <v>1</v>
      </c>
      <c r="S79" s="193">
        <v>0</v>
      </c>
      <c r="T79" s="193">
        <v>1047</v>
      </c>
      <c r="U79" s="193">
        <v>0</v>
      </c>
      <c r="V79" s="195">
        <v>190</v>
      </c>
      <c r="W79" s="183">
        <v>5.6594053576685309E-2</v>
      </c>
      <c r="X79" s="183">
        <v>4.1433617898145425E-2</v>
      </c>
      <c r="Y79" s="184" t="s">
        <v>1256</v>
      </c>
      <c r="Z79" s="185"/>
      <c r="AA79" s="186" t="s">
        <v>1279</v>
      </c>
      <c r="AB79" s="187" t="s">
        <v>1267</v>
      </c>
      <c r="AC79" s="188">
        <v>1.2355468298491399</v>
      </c>
      <c r="AD79" s="186" t="s">
        <v>490</v>
      </c>
      <c r="AE79" s="187" t="s">
        <v>491</v>
      </c>
    </row>
    <row r="80" spans="1:31" x14ac:dyDescent="0.2">
      <c r="A80" s="189" t="s">
        <v>345</v>
      </c>
      <c r="B80" s="190" t="s">
        <v>346</v>
      </c>
      <c r="C80" s="196" t="s">
        <v>200</v>
      </c>
      <c r="D80" s="192">
        <v>7726</v>
      </c>
      <c r="E8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19849</v>
      </c>
      <c r="F80" s="194">
        <f>IF(Entity_Unit_Costs[[#This Row],[Closing social housing units managed]]&gt;0,Entity_Unit_Costs[[#This Row],[Headline Social Housing Cost]]/Entity_Unit_Costs[[#This Row],[Closing social housing units managed]],"")</f>
        <v>2.5691172663732851</v>
      </c>
      <c r="G80" s="194">
        <f>IF(Entity_Unit_Costs[[#This Row],[Closing social housing units managed]]&gt;0,Entity_Unit_Costs[[#This Row],[Management]]/Entity_Unit_Costs[[#This Row],[Closing social housing units managed]],"")</f>
        <v>1.039088791095004</v>
      </c>
      <c r="H80" s="193">
        <v>8028</v>
      </c>
      <c r="I80" s="194">
        <f>IF(Entity_Unit_Costs[[#This Row],[Closing social housing units managed]]&gt;0,Entity_Unit_Costs[[#This Row],[Service charge costs]]/Entity_Unit_Costs[[#This Row],[Closing social housing units managed]],"")</f>
        <v>0.17072223660367589</v>
      </c>
      <c r="J80" s="193">
        <v>1319</v>
      </c>
      <c r="K80" s="194">
        <f>IF(Entity_Unit_Costs[[#This Row],[Closing social housing units managed]]&gt;0,(Entity_Unit_Costs[[#This Row],[Routine maintenance]]+Entity_Unit_Costs[[#This Row],[Planned maintenance]])/Entity_Unit_Costs[[#This Row],[Closing social housing units managed]],"")</f>
        <v>0.68327724566399173</v>
      </c>
      <c r="L80" s="193">
        <v>4491</v>
      </c>
      <c r="M80" s="193">
        <v>788</v>
      </c>
      <c r="N80" s="194">
        <f>IF(Entity_Unit_Costs[[#This Row],[Closing social housing units managed]]&gt;0,(Entity_Unit_Costs[[#This Row],[Major repairs expenditure]]+Entity_Unit_Costs[[#This Row],[Capitalised major repairs expenditure for period]])/Entity_Unit_Costs[[#This Row],[Closing social housing units managed]],"")</f>
        <v>0.34532746570023298</v>
      </c>
      <c r="O80" s="193">
        <v>1345</v>
      </c>
      <c r="P80" s="193">
        <v>1323</v>
      </c>
      <c r="Q8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0.33070152731038055</v>
      </c>
      <c r="R80" s="193">
        <v>2353</v>
      </c>
      <c r="S80" s="193">
        <v>77</v>
      </c>
      <c r="T80" s="193">
        <v>0</v>
      </c>
      <c r="U80" s="193">
        <v>125</v>
      </c>
      <c r="V80" s="195">
        <v>0</v>
      </c>
      <c r="W80" s="183">
        <v>9.0603158167227541E-4</v>
      </c>
      <c r="X80" s="183">
        <v>2.8734144447320736E-2</v>
      </c>
      <c r="Y80" s="184" t="s">
        <v>1257</v>
      </c>
      <c r="Z80" s="185">
        <v>39902</v>
      </c>
      <c r="AA80" s="186" t="s">
        <v>1280</v>
      </c>
      <c r="AB80" s="187" t="s">
        <v>1262</v>
      </c>
      <c r="AC80" s="188">
        <v>0.9156653862445665</v>
      </c>
      <c r="AD80" s="186">
        <v>4808</v>
      </c>
      <c r="AE80" s="187" t="s">
        <v>570</v>
      </c>
    </row>
    <row r="81" spans="1:31" x14ac:dyDescent="0.2">
      <c r="A81" s="189" t="s">
        <v>349</v>
      </c>
      <c r="B81" s="190" t="s">
        <v>348</v>
      </c>
      <c r="C81" s="196" t="s">
        <v>200</v>
      </c>
      <c r="D81" s="192">
        <v>1812</v>
      </c>
      <c r="E8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6317</v>
      </c>
      <c r="F81" s="194">
        <f>IF(Entity_Unit_Costs[[#This Row],[Closing social housing units managed]]&gt;0,Entity_Unit_Costs[[#This Row],[Headline Social Housing Cost]]/Entity_Unit_Costs[[#This Row],[Closing social housing units managed]],"")</f>
        <v>3.4862030905077264</v>
      </c>
      <c r="G81" s="194">
        <f>IF(Entity_Unit_Costs[[#This Row],[Closing social housing units managed]]&gt;0,Entity_Unit_Costs[[#This Row],[Management]]/Entity_Unit_Costs[[#This Row],[Closing social housing units managed]],"")</f>
        <v>1.3664459161147904</v>
      </c>
      <c r="H81" s="193">
        <v>2476</v>
      </c>
      <c r="I81" s="194">
        <f>IF(Entity_Unit_Costs[[#This Row],[Closing social housing units managed]]&gt;0,Entity_Unit_Costs[[#This Row],[Service charge costs]]/Entity_Unit_Costs[[#This Row],[Closing social housing units managed]],"")</f>
        <v>5.0772626931567331E-2</v>
      </c>
      <c r="J81" s="193">
        <v>92</v>
      </c>
      <c r="K81" s="194">
        <f>IF(Entity_Unit_Costs[[#This Row],[Closing social housing units managed]]&gt;0,(Entity_Unit_Costs[[#This Row],[Routine maintenance]]+Entity_Unit_Costs[[#This Row],[Planned maintenance]])/Entity_Unit_Costs[[#This Row],[Closing social housing units managed]],"")</f>
        <v>1.0033112582781456</v>
      </c>
      <c r="L81" s="193">
        <v>1600</v>
      </c>
      <c r="M81" s="193">
        <v>218</v>
      </c>
      <c r="N81" s="194">
        <f>IF(Entity_Unit_Costs[[#This Row],[Closing social housing units managed]]&gt;0,(Entity_Unit_Costs[[#This Row],[Major repairs expenditure]]+Entity_Unit_Costs[[#This Row],[Capitalised major repairs expenditure for period]])/Entity_Unit_Costs[[#This Row],[Closing social housing units managed]],"")</f>
        <v>0.59768211920529801</v>
      </c>
      <c r="O81" s="193">
        <v>0</v>
      </c>
      <c r="P81" s="193">
        <v>1083</v>
      </c>
      <c r="Q8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0.46799116997792495</v>
      </c>
      <c r="R81" s="193">
        <v>269</v>
      </c>
      <c r="S81" s="193">
        <v>130</v>
      </c>
      <c r="T81" s="193">
        <v>449</v>
      </c>
      <c r="U81" s="193">
        <v>0</v>
      </c>
      <c r="V81" s="195">
        <v>0</v>
      </c>
      <c r="W81" s="183">
        <v>4.5269582909460836E-2</v>
      </c>
      <c r="X81" s="183">
        <v>3.4587995930824011E-2</v>
      </c>
      <c r="Y81" s="184" t="s">
        <v>1257</v>
      </c>
      <c r="Z81" s="185">
        <v>35695</v>
      </c>
      <c r="AA81" s="186" t="s">
        <v>1268</v>
      </c>
      <c r="AB81" s="187" t="s">
        <v>1262</v>
      </c>
      <c r="AC81" s="188">
        <v>0.9156653862445665</v>
      </c>
      <c r="AD81" s="186" t="s">
        <v>349</v>
      </c>
      <c r="AE81" s="187" t="s">
        <v>348</v>
      </c>
    </row>
    <row r="82" spans="1:31" x14ac:dyDescent="0.2">
      <c r="A82" s="197">
        <v>4775</v>
      </c>
      <c r="B82" s="190" t="s">
        <v>351</v>
      </c>
      <c r="C82" s="196" t="s">
        <v>200</v>
      </c>
      <c r="D82" s="192">
        <v>16761</v>
      </c>
      <c r="E8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46186</v>
      </c>
      <c r="F82" s="194">
        <f>IF(Entity_Unit_Costs[[#This Row],[Closing social housing units managed]]&gt;0,Entity_Unit_Costs[[#This Row],[Headline Social Housing Cost]]/Entity_Unit_Costs[[#This Row],[Closing social housing units managed]],"")</f>
        <v>2.7555635105303979</v>
      </c>
      <c r="G82" s="194">
        <f>IF(Entity_Unit_Costs[[#This Row],[Closing social housing units managed]]&gt;0,Entity_Unit_Costs[[#This Row],[Management]]/Entity_Unit_Costs[[#This Row],[Closing social housing units managed]],"")</f>
        <v>1.0422409164131019</v>
      </c>
      <c r="H82" s="193">
        <v>17469</v>
      </c>
      <c r="I82" s="194">
        <f>IF(Entity_Unit_Costs[[#This Row],[Closing social housing units managed]]&gt;0,Entity_Unit_Costs[[#This Row],[Service charge costs]]/Entity_Unit_Costs[[#This Row],[Closing social housing units managed]],"")</f>
        <v>0.3646560467752521</v>
      </c>
      <c r="J82" s="193">
        <v>6112</v>
      </c>
      <c r="K82" s="194">
        <f>IF(Entity_Unit_Costs[[#This Row],[Closing social housing units managed]]&gt;0,(Entity_Unit_Costs[[#This Row],[Routine maintenance]]+Entity_Unit_Costs[[#This Row],[Planned maintenance]])/Entity_Unit_Costs[[#This Row],[Closing social housing units managed]],"")</f>
        <v>0.80484457967901679</v>
      </c>
      <c r="L82" s="193">
        <v>10379</v>
      </c>
      <c r="M82" s="193">
        <v>3111</v>
      </c>
      <c r="N82" s="194">
        <f>IF(Entity_Unit_Costs[[#This Row],[Closing social housing units managed]]&gt;0,(Entity_Unit_Costs[[#This Row],[Major repairs expenditure]]+Entity_Unit_Costs[[#This Row],[Capitalised major repairs expenditure for period]])/Entity_Unit_Costs[[#This Row],[Closing social housing units managed]],"")</f>
        <v>0.49865759799534631</v>
      </c>
      <c r="O82" s="193">
        <v>152</v>
      </c>
      <c r="P82" s="193">
        <v>8206</v>
      </c>
      <c r="Q8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4.5164369667680927E-2</v>
      </c>
      <c r="R82" s="193">
        <v>29</v>
      </c>
      <c r="S82" s="193">
        <v>728</v>
      </c>
      <c r="T82" s="193">
        <v>0</v>
      </c>
      <c r="U82" s="193">
        <v>0</v>
      </c>
      <c r="V82" s="195">
        <v>0</v>
      </c>
      <c r="W82" s="183">
        <v>2.9229460379192999E-2</v>
      </c>
      <c r="X82" s="183">
        <v>0.22964268351968886</v>
      </c>
      <c r="Y82" s="184" t="s">
        <v>1256</v>
      </c>
      <c r="Z82" s="185"/>
      <c r="AA82" s="186" t="s">
        <v>1279</v>
      </c>
      <c r="AB82" s="187" t="s">
        <v>1261</v>
      </c>
      <c r="AC82" s="188">
        <v>0.92043250468809645</v>
      </c>
      <c r="AD82" s="186" t="s">
        <v>1231</v>
      </c>
      <c r="AE82" s="187" t="s">
        <v>342</v>
      </c>
    </row>
    <row r="83" spans="1:31" x14ac:dyDescent="0.2">
      <c r="A83" s="189" t="s">
        <v>352</v>
      </c>
      <c r="B83" s="190" t="s">
        <v>353</v>
      </c>
      <c r="C83" s="196" t="s">
        <v>200</v>
      </c>
      <c r="D83" s="192">
        <v>1096</v>
      </c>
      <c r="E8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2043</v>
      </c>
      <c r="F83" s="194">
        <f>IF(Entity_Unit_Costs[[#This Row],[Closing social housing units managed]]&gt;0,Entity_Unit_Costs[[#This Row],[Headline Social Housing Cost]]/Entity_Unit_Costs[[#This Row],[Closing social housing units managed]],"")</f>
        <v>1.8640510948905109</v>
      </c>
      <c r="G83" s="194">
        <f>IF(Entity_Unit_Costs[[#This Row],[Closing social housing units managed]]&gt;0,Entity_Unit_Costs[[#This Row],[Management]]/Entity_Unit_Costs[[#This Row],[Closing social housing units managed]],"")</f>
        <v>0.96350364963503654</v>
      </c>
      <c r="H83" s="193">
        <v>1056</v>
      </c>
      <c r="I83" s="194">
        <f>IF(Entity_Unit_Costs[[#This Row],[Closing social housing units managed]]&gt;0,Entity_Unit_Costs[[#This Row],[Service charge costs]]/Entity_Unit_Costs[[#This Row],[Closing social housing units managed]],"")</f>
        <v>0.1031021897810219</v>
      </c>
      <c r="J83" s="193">
        <v>113</v>
      </c>
      <c r="K83" s="194">
        <f>IF(Entity_Unit_Costs[[#This Row],[Closing social housing units managed]]&gt;0,(Entity_Unit_Costs[[#This Row],[Routine maintenance]]+Entity_Unit_Costs[[#This Row],[Planned maintenance]])/Entity_Unit_Costs[[#This Row],[Closing social housing units managed]],"")</f>
        <v>0.34671532846715331</v>
      </c>
      <c r="L83" s="193">
        <v>380</v>
      </c>
      <c r="M83" s="193">
        <v>0</v>
      </c>
      <c r="N83" s="194">
        <f>IF(Entity_Unit_Costs[[#This Row],[Closing social housing units managed]]&gt;0,(Entity_Unit_Costs[[#This Row],[Major repairs expenditure]]+Entity_Unit_Costs[[#This Row],[Capitalised major repairs expenditure for period]])/Entity_Unit_Costs[[#This Row],[Closing social housing units managed]],"")</f>
        <v>0.45072992700729925</v>
      </c>
      <c r="O83" s="193">
        <v>149</v>
      </c>
      <c r="P83" s="193">
        <v>345</v>
      </c>
      <c r="Q8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v>
      </c>
      <c r="R83" s="193">
        <v>0</v>
      </c>
      <c r="S83" s="193">
        <v>0</v>
      </c>
      <c r="T83" s="193">
        <v>0</v>
      </c>
      <c r="U83" s="193">
        <v>0</v>
      </c>
      <c r="V83" s="195">
        <v>0</v>
      </c>
      <c r="W83" s="183">
        <v>7.4487895716945996E-3</v>
      </c>
      <c r="X83" s="183">
        <v>0</v>
      </c>
      <c r="Y83" s="184" t="s">
        <v>1257</v>
      </c>
      <c r="Z83" s="185">
        <v>35885</v>
      </c>
      <c r="AA83" s="186" t="s">
        <v>1268</v>
      </c>
      <c r="AB83" s="187" t="s">
        <v>1260</v>
      </c>
      <c r="AC83" s="188">
        <v>0.91571558169387279</v>
      </c>
      <c r="AD83" s="186" t="s">
        <v>352</v>
      </c>
      <c r="AE83" s="187" t="s">
        <v>353</v>
      </c>
    </row>
    <row r="84" spans="1:31" x14ac:dyDescent="0.2">
      <c r="A84" s="189" t="s">
        <v>354</v>
      </c>
      <c r="B84" s="190" t="s">
        <v>355</v>
      </c>
      <c r="C84" s="191" t="s">
        <v>200</v>
      </c>
      <c r="D84" s="192">
        <v>2153</v>
      </c>
      <c r="E8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9191</v>
      </c>
      <c r="F84" s="194">
        <f>IF(Entity_Unit_Costs[[#This Row],[Closing social housing units managed]]&gt;0,Entity_Unit_Costs[[#This Row],[Headline Social Housing Cost]]/Entity_Unit_Costs[[#This Row],[Closing social housing units managed]],"")</f>
        <v>4.268927078495123</v>
      </c>
      <c r="G84" s="194">
        <f>IF(Entity_Unit_Costs[[#This Row],[Closing social housing units managed]]&gt;0,Entity_Unit_Costs[[#This Row],[Management]]/Entity_Unit_Costs[[#This Row],[Closing social housing units managed]],"")</f>
        <v>1.1811425917324663</v>
      </c>
      <c r="H84" s="193">
        <v>2543</v>
      </c>
      <c r="I84" s="194">
        <f>IF(Entity_Unit_Costs[[#This Row],[Closing social housing units managed]]&gt;0,Entity_Unit_Costs[[#This Row],[Service charge costs]]/Entity_Unit_Costs[[#This Row],[Closing social housing units managed]],"")</f>
        <v>0.74825824431026478</v>
      </c>
      <c r="J84" s="193">
        <v>1611</v>
      </c>
      <c r="K84" s="194">
        <f>IF(Entity_Unit_Costs[[#This Row],[Closing social housing units managed]]&gt;0,(Entity_Unit_Costs[[#This Row],[Routine maintenance]]+Entity_Unit_Costs[[#This Row],[Planned maintenance]])/Entity_Unit_Costs[[#This Row],[Closing social housing units managed]],"")</f>
        <v>1.4774732930794241</v>
      </c>
      <c r="L84" s="193">
        <v>1851</v>
      </c>
      <c r="M84" s="193">
        <v>1330</v>
      </c>
      <c r="N84" s="194">
        <f>IF(Entity_Unit_Costs[[#This Row],[Closing social housing units managed]]&gt;0,(Entity_Unit_Costs[[#This Row],[Major repairs expenditure]]+Entity_Unit_Costs[[#This Row],[Capitalised major repairs expenditure for period]])/Entity_Unit_Costs[[#This Row],[Closing social housing units managed]],"")</f>
        <v>0.64375290292614951</v>
      </c>
      <c r="O84" s="193">
        <v>321</v>
      </c>
      <c r="P84" s="193">
        <v>1065</v>
      </c>
      <c r="Q8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0.21830004644681839</v>
      </c>
      <c r="R84" s="193">
        <v>352</v>
      </c>
      <c r="S84" s="193">
        <v>0</v>
      </c>
      <c r="T84" s="193">
        <v>118</v>
      </c>
      <c r="U84" s="193">
        <v>0</v>
      </c>
      <c r="V84" s="195">
        <v>0</v>
      </c>
      <c r="W84" s="183">
        <v>0.15935152234084618</v>
      </c>
      <c r="X84" s="183">
        <v>6.5243179122182679E-2</v>
      </c>
      <c r="Y84" s="184" t="s">
        <v>1256</v>
      </c>
      <c r="Z84" s="185"/>
      <c r="AA84" s="186" t="s">
        <v>1279</v>
      </c>
      <c r="AB84" s="187" t="s">
        <v>1266</v>
      </c>
      <c r="AC84" s="188">
        <v>0.90442344819209552</v>
      </c>
      <c r="AD84" s="186" t="s">
        <v>1240</v>
      </c>
      <c r="AE84" s="187" t="s">
        <v>551</v>
      </c>
    </row>
    <row r="85" spans="1:31" x14ac:dyDescent="0.2">
      <c r="A85" s="189" t="s">
        <v>356</v>
      </c>
      <c r="B85" s="190" t="s">
        <v>357</v>
      </c>
      <c r="C85" s="196" t="s">
        <v>200</v>
      </c>
      <c r="D85" s="192">
        <v>1187</v>
      </c>
      <c r="E8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2905</v>
      </c>
      <c r="F85" s="194">
        <f>IF(Entity_Unit_Costs[[#This Row],[Closing social housing units managed]]&gt;0,Entity_Unit_Costs[[#This Row],[Headline Social Housing Cost]]/Entity_Unit_Costs[[#This Row],[Closing social housing units managed]],"")</f>
        <v>2.4473462510530748</v>
      </c>
      <c r="G85" s="194">
        <f>IF(Entity_Unit_Costs[[#This Row],[Closing social housing units managed]]&gt;0,Entity_Unit_Costs[[#This Row],[Management]]/Entity_Unit_Costs[[#This Row],[Closing social housing units managed]],"")</f>
        <v>0.75905644481887113</v>
      </c>
      <c r="H85" s="193">
        <v>901</v>
      </c>
      <c r="I85" s="194">
        <f>IF(Entity_Unit_Costs[[#This Row],[Closing social housing units managed]]&gt;0,Entity_Unit_Costs[[#This Row],[Service charge costs]]/Entity_Unit_Costs[[#This Row],[Closing social housing units managed]],"")</f>
        <v>0.41196293176074139</v>
      </c>
      <c r="J85" s="193">
        <v>489</v>
      </c>
      <c r="K85" s="194">
        <f>IF(Entity_Unit_Costs[[#This Row],[Closing social housing units managed]]&gt;0,(Entity_Unit_Costs[[#This Row],[Routine maintenance]]+Entity_Unit_Costs[[#This Row],[Planned maintenance]])/Entity_Unit_Costs[[#This Row],[Closing social housing units managed]],"")</f>
        <v>0.64448188711036225</v>
      </c>
      <c r="L85" s="193">
        <v>451</v>
      </c>
      <c r="M85" s="193">
        <v>314</v>
      </c>
      <c r="N85" s="194">
        <f>IF(Entity_Unit_Costs[[#This Row],[Closing social housing units managed]]&gt;0,(Entity_Unit_Costs[[#This Row],[Major repairs expenditure]]+Entity_Unit_Costs[[#This Row],[Capitalised major repairs expenditure for period]])/Entity_Unit_Costs[[#This Row],[Closing social housing units managed]],"")</f>
        <v>0.36478517270429656</v>
      </c>
      <c r="O85" s="193">
        <v>223</v>
      </c>
      <c r="P85" s="193">
        <v>210</v>
      </c>
      <c r="Q8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0.26705981465880368</v>
      </c>
      <c r="R85" s="193">
        <v>0</v>
      </c>
      <c r="S85" s="193">
        <v>0</v>
      </c>
      <c r="T85" s="193">
        <v>317</v>
      </c>
      <c r="U85" s="193">
        <v>0</v>
      </c>
      <c r="V85" s="195">
        <v>0</v>
      </c>
      <c r="W85" s="183">
        <v>0</v>
      </c>
      <c r="X85" s="183">
        <v>0</v>
      </c>
      <c r="Y85" s="184" t="s">
        <v>1256</v>
      </c>
      <c r="Z85" s="185"/>
      <c r="AA85" s="186" t="s">
        <v>1279</v>
      </c>
      <c r="AB85" s="187" t="s">
        <v>1259</v>
      </c>
      <c r="AC85" s="188">
        <v>1.0036662164529855</v>
      </c>
      <c r="AD85" s="186" t="s">
        <v>356</v>
      </c>
      <c r="AE85" s="187" t="s">
        <v>357</v>
      </c>
    </row>
    <row r="86" spans="1:31" x14ac:dyDescent="0.2">
      <c r="A86" s="189" t="s">
        <v>360</v>
      </c>
      <c r="B86" s="190" t="s">
        <v>359</v>
      </c>
      <c r="C86" s="196" t="s">
        <v>200</v>
      </c>
      <c r="D86" s="192">
        <v>4456</v>
      </c>
      <c r="E8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14495</v>
      </c>
      <c r="F86" s="194">
        <f>IF(Entity_Unit_Costs[[#This Row],[Closing social housing units managed]]&gt;0,Entity_Unit_Costs[[#This Row],[Headline Social Housing Cost]]/Entity_Unit_Costs[[#This Row],[Closing social housing units managed]],"")</f>
        <v>3.2529174147217237</v>
      </c>
      <c r="G86" s="194">
        <f>IF(Entity_Unit_Costs[[#This Row],[Closing social housing units managed]]&gt;0,Entity_Unit_Costs[[#This Row],[Management]]/Entity_Unit_Costs[[#This Row],[Closing social housing units managed]],"")</f>
        <v>1.0848294434470378</v>
      </c>
      <c r="H86" s="193">
        <v>4834</v>
      </c>
      <c r="I86" s="194">
        <f>IF(Entity_Unit_Costs[[#This Row],[Closing social housing units managed]]&gt;0,Entity_Unit_Costs[[#This Row],[Service charge costs]]/Entity_Unit_Costs[[#This Row],[Closing social housing units managed]],"")</f>
        <v>0.65035906642728902</v>
      </c>
      <c r="J86" s="193">
        <v>2898</v>
      </c>
      <c r="K86" s="194">
        <f>IF(Entity_Unit_Costs[[#This Row],[Closing social housing units managed]]&gt;0,(Entity_Unit_Costs[[#This Row],[Routine maintenance]]+Entity_Unit_Costs[[#This Row],[Planned maintenance]])/Entity_Unit_Costs[[#This Row],[Closing social housing units managed]],"")</f>
        <v>0.53298922800718129</v>
      </c>
      <c r="L86" s="193">
        <v>1751</v>
      </c>
      <c r="M86" s="193">
        <v>624</v>
      </c>
      <c r="N86" s="194">
        <f>IF(Entity_Unit_Costs[[#This Row],[Closing social housing units managed]]&gt;0,(Entity_Unit_Costs[[#This Row],[Major repairs expenditure]]+Entity_Unit_Costs[[#This Row],[Capitalised major repairs expenditure for period]])/Entity_Unit_Costs[[#This Row],[Closing social housing units managed]],"")</f>
        <v>0.85188509874326745</v>
      </c>
      <c r="O86" s="193">
        <v>1605</v>
      </c>
      <c r="P86" s="193">
        <v>2191</v>
      </c>
      <c r="Q8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0.13285457809694792</v>
      </c>
      <c r="R86" s="193">
        <v>472</v>
      </c>
      <c r="S86" s="193">
        <v>0</v>
      </c>
      <c r="T86" s="193">
        <v>120</v>
      </c>
      <c r="U86" s="193">
        <v>0</v>
      </c>
      <c r="V86" s="195">
        <v>0</v>
      </c>
      <c r="W86" s="183">
        <v>2.3541453428863868E-2</v>
      </c>
      <c r="X86" s="183">
        <v>7.1392016376663259E-2</v>
      </c>
      <c r="Y86" s="184" t="s">
        <v>1256</v>
      </c>
      <c r="Z86" s="185"/>
      <c r="AA86" s="186" t="s">
        <v>1279</v>
      </c>
      <c r="AB86" s="187" t="s">
        <v>1262</v>
      </c>
      <c r="AC86" s="188">
        <v>0.92218389471466145</v>
      </c>
      <c r="AD86" s="186" t="s">
        <v>360</v>
      </c>
      <c r="AE86" s="187" t="s">
        <v>359</v>
      </c>
    </row>
    <row r="87" spans="1:31" x14ac:dyDescent="0.2">
      <c r="A87" s="189" t="s">
        <v>361</v>
      </c>
      <c r="B87" s="190" t="s">
        <v>362</v>
      </c>
      <c r="C87" s="196" t="s">
        <v>200</v>
      </c>
      <c r="D87" s="192">
        <v>11357</v>
      </c>
      <c r="E8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33829</v>
      </c>
      <c r="F87" s="194">
        <f>IF(Entity_Unit_Costs[[#This Row],[Closing social housing units managed]]&gt;0,Entity_Unit_Costs[[#This Row],[Headline Social Housing Cost]]/Entity_Unit_Costs[[#This Row],[Closing social housing units managed]],"")</f>
        <v>2.9786915558686271</v>
      </c>
      <c r="G87" s="194">
        <f>IF(Entity_Unit_Costs[[#This Row],[Closing social housing units managed]]&gt;0,Entity_Unit_Costs[[#This Row],[Management]]/Entity_Unit_Costs[[#This Row],[Closing social housing units managed]],"")</f>
        <v>0.48877344369111564</v>
      </c>
      <c r="H87" s="193">
        <v>5551</v>
      </c>
      <c r="I87" s="194">
        <f>IF(Entity_Unit_Costs[[#This Row],[Closing social housing units managed]]&gt;0,Entity_Unit_Costs[[#This Row],[Service charge costs]]/Entity_Unit_Costs[[#This Row],[Closing social housing units managed]],"")</f>
        <v>0.22505943470987055</v>
      </c>
      <c r="J87" s="193">
        <v>2556</v>
      </c>
      <c r="K87" s="194">
        <f>IF(Entity_Unit_Costs[[#This Row],[Closing social housing units managed]]&gt;0,(Entity_Unit_Costs[[#This Row],[Routine maintenance]]+Entity_Unit_Costs[[#This Row],[Planned maintenance]])/Entity_Unit_Costs[[#This Row],[Closing social housing units managed]],"")</f>
        <v>0.84925596548384252</v>
      </c>
      <c r="L87" s="193">
        <v>8018</v>
      </c>
      <c r="M87" s="193">
        <v>1627</v>
      </c>
      <c r="N87" s="194">
        <f>IF(Entity_Unit_Costs[[#This Row],[Closing social housing units managed]]&gt;0,(Entity_Unit_Costs[[#This Row],[Major repairs expenditure]]+Entity_Unit_Costs[[#This Row],[Capitalised major repairs expenditure for period]])/Entity_Unit_Costs[[#This Row],[Closing social housing units managed]],"")</f>
        <v>1.2246191775997182</v>
      </c>
      <c r="O87" s="193">
        <v>6856</v>
      </c>
      <c r="P87" s="193">
        <v>7052</v>
      </c>
      <c r="Q8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0.19098353438408031</v>
      </c>
      <c r="R87" s="193">
        <v>0</v>
      </c>
      <c r="S87" s="193">
        <v>501</v>
      </c>
      <c r="T87" s="193">
        <v>1550</v>
      </c>
      <c r="U87" s="193">
        <v>0</v>
      </c>
      <c r="V87" s="195">
        <v>118</v>
      </c>
      <c r="W87" s="183">
        <v>2.5295871352425691E-3</v>
      </c>
      <c r="X87" s="183">
        <v>6.8660222242298313E-2</v>
      </c>
      <c r="Y87" s="184" t="s">
        <v>1257</v>
      </c>
      <c r="Z87" s="185">
        <v>38306</v>
      </c>
      <c r="AA87" s="186" t="s">
        <v>1268</v>
      </c>
      <c r="AB87" s="187" t="s">
        <v>1266</v>
      </c>
      <c r="AC87" s="188">
        <v>0.9026647648742484</v>
      </c>
      <c r="AD87" s="186" t="s">
        <v>1251</v>
      </c>
      <c r="AE87" s="187" t="s">
        <v>768</v>
      </c>
    </row>
    <row r="88" spans="1:31" x14ac:dyDescent="0.2">
      <c r="A88" s="189" t="s">
        <v>365</v>
      </c>
      <c r="B88" s="190" t="s">
        <v>364</v>
      </c>
      <c r="C88" s="196" t="s">
        <v>200</v>
      </c>
      <c r="D88" s="192">
        <v>4041</v>
      </c>
      <c r="E8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20086</v>
      </c>
      <c r="F88" s="194">
        <f>IF(Entity_Unit_Costs[[#This Row],[Closing social housing units managed]]&gt;0,Entity_Unit_Costs[[#This Row],[Headline Social Housing Cost]]/Entity_Unit_Costs[[#This Row],[Closing social housing units managed]],"")</f>
        <v>4.9705518436030687</v>
      </c>
      <c r="G88" s="194">
        <f>IF(Entity_Unit_Costs[[#This Row],[Closing social housing units managed]]&gt;0,Entity_Unit_Costs[[#This Row],[Management]]/Entity_Unit_Costs[[#This Row],[Closing social housing units managed]],"")</f>
        <v>0.91338777530314275</v>
      </c>
      <c r="H88" s="193">
        <v>3691</v>
      </c>
      <c r="I88" s="194">
        <f>IF(Entity_Unit_Costs[[#This Row],[Closing social housing units managed]]&gt;0,Entity_Unit_Costs[[#This Row],[Service charge costs]]/Entity_Unit_Costs[[#This Row],[Closing social housing units managed]],"")</f>
        <v>0.55159613956941356</v>
      </c>
      <c r="J88" s="193">
        <v>2229</v>
      </c>
      <c r="K88" s="194">
        <f>IF(Entity_Unit_Costs[[#This Row],[Closing social housing units managed]]&gt;0,(Entity_Unit_Costs[[#This Row],[Routine maintenance]]+Entity_Unit_Costs[[#This Row],[Planned maintenance]])/Entity_Unit_Costs[[#This Row],[Closing social housing units managed]],"")</f>
        <v>1.4258846820094035</v>
      </c>
      <c r="L88" s="193">
        <v>4636</v>
      </c>
      <c r="M88" s="193">
        <v>1126</v>
      </c>
      <c r="N88" s="194">
        <f>IF(Entity_Unit_Costs[[#This Row],[Closing social housing units managed]]&gt;0,(Entity_Unit_Costs[[#This Row],[Major repairs expenditure]]+Entity_Unit_Costs[[#This Row],[Capitalised major repairs expenditure for period]])/Entity_Unit_Costs[[#This Row],[Closing social housing units managed]],"")</f>
        <v>0.82999257609502597</v>
      </c>
      <c r="O88" s="193">
        <v>288</v>
      </c>
      <c r="P88" s="193">
        <v>3066</v>
      </c>
      <c r="Q8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1.2496906706260826</v>
      </c>
      <c r="R88" s="193">
        <v>3456</v>
      </c>
      <c r="S88" s="193">
        <v>602</v>
      </c>
      <c r="T88" s="193">
        <v>66</v>
      </c>
      <c r="U88" s="193">
        <v>375</v>
      </c>
      <c r="V88" s="195">
        <v>551</v>
      </c>
      <c r="W88" s="183">
        <v>2.5125628140703519E-2</v>
      </c>
      <c r="X88" s="183">
        <v>2.5628140703517589E-2</v>
      </c>
      <c r="Y88" s="184" t="s">
        <v>1256</v>
      </c>
      <c r="Z88" s="185"/>
      <c r="AA88" s="186" t="s">
        <v>1279</v>
      </c>
      <c r="AB88" s="187" t="s">
        <v>1263</v>
      </c>
      <c r="AC88" s="188">
        <v>1.0456001796834866</v>
      </c>
      <c r="AD88" s="186" t="s">
        <v>365</v>
      </c>
      <c r="AE88" s="187" t="s">
        <v>364</v>
      </c>
    </row>
    <row r="89" spans="1:31" x14ac:dyDescent="0.2">
      <c r="A89" s="189" t="s">
        <v>66</v>
      </c>
      <c r="B89" s="190" t="s">
        <v>65</v>
      </c>
      <c r="C89" s="191" t="s">
        <v>200</v>
      </c>
      <c r="D89" s="192">
        <v>2314</v>
      </c>
      <c r="E8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7564</v>
      </c>
      <c r="F89" s="194">
        <f>IF(Entity_Unit_Costs[[#This Row],[Closing social housing units managed]]&gt;0,Entity_Unit_Costs[[#This Row],[Headline Social Housing Cost]]/Entity_Unit_Costs[[#This Row],[Closing social housing units managed]],"")</f>
        <v>3.2687986171132239</v>
      </c>
      <c r="G89" s="194">
        <f>IF(Entity_Unit_Costs[[#This Row],[Closing social housing units managed]]&gt;0,Entity_Unit_Costs[[#This Row],[Management]]/Entity_Unit_Costs[[#This Row],[Closing social housing units managed]],"")</f>
        <v>0.80164217804667248</v>
      </c>
      <c r="H89" s="193">
        <v>1855</v>
      </c>
      <c r="I89" s="194">
        <f>IF(Entity_Unit_Costs[[#This Row],[Closing social housing units managed]]&gt;0,Entity_Unit_Costs[[#This Row],[Service charge costs]]/Entity_Unit_Costs[[#This Row],[Closing social housing units managed]],"")</f>
        <v>0.30682800345721695</v>
      </c>
      <c r="J89" s="193">
        <v>710</v>
      </c>
      <c r="K89" s="194">
        <f>IF(Entity_Unit_Costs[[#This Row],[Closing social housing units managed]]&gt;0,(Entity_Unit_Costs[[#This Row],[Routine maintenance]]+Entity_Unit_Costs[[#This Row],[Planned maintenance]])/Entity_Unit_Costs[[#This Row],[Closing social housing units managed]],"")</f>
        <v>1.0410544511668107</v>
      </c>
      <c r="L89" s="193">
        <v>2168</v>
      </c>
      <c r="M89" s="193">
        <v>241</v>
      </c>
      <c r="N89" s="194">
        <f>IF(Entity_Unit_Costs[[#This Row],[Closing social housing units managed]]&gt;0,(Entity_Unit_Costs[[#This Row],[Major repairs expenditure]]+Entity_Unit_Costs[[#This Row],[Capitalised major repairs expenditure for period]])/Entity_Unit_Costs[[#This Row],[Closing social housing units managed]],"")</f>
        <v>1.0086430423509076</v>
      </c>
      <c r="O89" s="193">
        <v>1151</v>
      </c>
      <c r="P89" s="193">
        <v>1183</v>
      </c>
      <c r="Q8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0.11063094209161625</v>
      </c>
      <c r="R89" s="193">
        <v>0</v>
      </c>
      <c r="S89" s="193">
        <v>0</v>
      </c>
      <c r="T89" s="193">
        <v>256</v>
      </c>
      <c r="U89" s="193">
        <v>0</v>
      </c>
      <c r="V89" s="195">
        <v>0</v>
      </c>
      <c r="W89" s="183">
        <v>4.5128637705609445E-2</v>
      </c>
      <c r="X89" s="183">
        <v>4.5128637705609445E-2</v>
      </c>
      <c r="Y89" s="184" t="s">
        <v>1256</v>
      </c>
      <c r="Z89" s="185"/>
      <c r="AA89" s="186" t="s">
        <v>1279</v>
      </c>
      <c r="AB89" s="187" t="s">
        <v>1260</v>
      </c>
      <c r="AC89" s="188">
        <v>0.91571558169387279</v>
      </c>
      <c r="AD89" s="186" t="s">
        <v>1254</v>
      </c>
      <c r="AE89" s="187" t="s">
        <v>194</v>
      </c>
    </row>
    <row r="90" spans="1:31" x14ac:dyDescent="0.2">
      <c r="A90" s="189" t="s">
        <v>368</v>
      </c>
      <c r="B90" s="190" t="s">
        <v>367</v>
      </c>
      <c r="C90" s="196" t="s">
        <v>200</v>
      </c>
      <c r="D90" s="192">
        <v>23864</v>
      </c>
      <c r="E9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128841</v>
      </c>
      <c r="F90" s="194">
        <f>IF(Entity_Unit_Costs[[#This Row],[Closing social housing units managed]]&gt;0,Entity_Unit_Costs[[#This Row],[Headline Social Housing Cost]]/Entity_Unit_Costs[[#This Row],[Closing social housing units managed]],"")</f>
        <v>5.3989691585652029</v>
      </c>
      <c r="G90" s="194">
        <f>IF(Entity_Unit_Costs[[#This Row],[Closing social housing units managed]]&gt;0,Entity_Unit_Costs[[#This Row],[Management]]/Entity_Unit_Costs[[#This Row],[Closing social housing units managed]],"")</f>
        <v>1.256578947368421</v>
      </c>
      <c r="H90" s="193">
        <v>29987</v>
      </c>
      <c r="I90" s="194">
        <f>IF(Entity_Unit_Costs[[#This Row],[Closing social housing units managed]]&gt;0,Entity_Unit_Costs[[#This Row],[Service charge costs]]/Entity_Unit_Costs[[#This Row],[Closing social housing units managed]],"")</f>
        <v>0.42461448206503521</v>
      </c>
      <c r="J90" s="193">
        <v>10133</v>
      </c>
      <c r="K90" s="194">
        <f>IF(Entity_Unit_Costs[[#This Row],[Closing social housing units managed]]&gt;0,(Entity_Unit_Costs[[#This Row],[Routine maintenance]]+Entity_Unit_Costs[[#This Row],[Planned maintenance]])/Entity_Unit_Costs[[#This Row],[Closing social housing units managed]],"")</f>
        <v>1.4343781428092524</v>
      </c>
      <c r="L90" s="193">
        <v>19128</v>
      </c>
      <c r="M90" s="193">
        <v>15102</v>
      </c>
      <c r="N90" s="194">
        <f>IF(Entity_Unit_Costs[[#This Row],[Closing social housing units managed]]&gt;0,(Entity_Unit_Costs[[#This Row],[Major repairs expenditure]]+Entity_Unit_Costs[[#This Row],[Capitalised major repairs expenditure for period]])/Entity_Unit_Costs[[#This Row],[Closing social housing units managed]],"")</f>
        <v>0.82077606436473349</v>
      </c>
      <c r="O90" s="193">
        <v>0</v>
      </c>
      <c r="P90" s="193">
        <v>19587</v>
      </c>
      <c r="Q9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1.4626215219577607</v>
      </c>
      <c r="R90" s="193">
        <v>31891</v>
      </c>
      <c r="S90" s="193">
        <v>0</v>
      </c>
      <c r="T90" s="193">
        <v>3013</v>
      </c>
      <c r="U90" s="193">
        <v>0</v>
      </c>
      <c r="V90" s="195">
        <v>0</v>
      </c>
      <c r="W90" s="183">
        <v>0.1067766287035825</v>
      </c>
      <c r="X90" s="183">
        <v>2.5745080071562596E-2</v>
      </c>
      <c r="Y90" s="184" t="s">
        <v>1256</v>
      </c>
      <c r="Z90" s="185"/>
      <c r="AA90" s="186" t="s">
        <v>1279</v>
      </c>
      <c r="AB90" s="187" t="s">
        <v>1267</v>
      </c>
      <c r="AC90" s="188">
        <v>1.2282639898336758</v>
      </c>
      <c r="AD90" s="186" t="s">
        <v>368</v>
      </c>
      <c r="AE90" s="187" t="s">
        <v>367</v>
      </c>
    </row>
    <row r="91" spans="1:31" x14ac:dyDescent="0.2">
      <c r="A91" s="197">
        <v>4582</v>
      </c>
      <c r="B91" s="190" t="s">
        <v>370</v>
      </c>
      <c r="C91" s="196" t="s">
        <v>200</v>
      </c>
      <c r="D91" s="192">
        <v>11571</v>
      </c>
      <c r="E9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40792</v>
      </c>
      <c r="F91" s="194">
        <f>IF(Entity_Unit_Costs[[#This Row],[Closing social housing units managed]]&gt;0,Entity_Unit_Costs[[#This Row],[Headline Social Housing Cost]]/Entity_Unit_Costs[[#This Row],[Closing social housing units managed]],"")</f>
        <v>3.525365136980382</v>
      </c>
      <c r="G91" s="194">
        <f>IF(Entity_Unit_Costs[[#This Row],[Closing social housing units managed]]&gt;0,Entity_Unit_Costs[[#This Row],[Management]]/Entity_Unit_Costs[[#This Row],[Closing social housing units managed]],"")</f>
        <v>0.89551464869069219</v>
      </c>
      <c r="H91" s="193">
        <v>10362</v>
      </c>
      <c r="I91" s="194">
        <f>IF(Entity_Unit_Costs[[#This Row],[Closing social housing units managed]]&gt;0,Entity_Unit_Costs[[#This Row],[Service charge costs]]/Entity_Unit_Costs[[#This Row],[Closing social housing units managed]],"")</f>
        <v>0.23904589058854031</v>
      </c>
      <c r="J91" s="193">
        <v>2766</v>
      </c>
      <c r="K91" s="194">
        <f>IF(Entity_Unit_Costs[[#This Row],[Closing social housing units managed]]&gt;0,(Entity_Unit_Costs[[#This Row],[Routine maintenance]]+Entity_Unit_Costs[[#This Row],[Planned maintenance]])/Entity_Unit_Costs[[#This Row],[Closing social housing units managed]],"")</f>
        <v>0.7981159796041829</v>
      </c>
      <c r="L91" s="193">
        <v>6526</v>
      </c>
      <c r="M91" s="193">
        <v>2709</v>
      </c>
      <c r="N91" s="194">
        <f>IF(Entity_Unit_Costs[[#This Row],[Closing social housing units managed]]&gt;0,(Entity_Unit_Costs[[#This Row],[Major repairs expenditure]]+Entity_Unit_Costs[[#This Row],[Capitalised major repairs expenditure for period]])/Entity_Unit_Costs[[#This Row],[Closing social housing units managed]],"")</f>
        <v>1.4580416558637974</v>
      </c>
      <c r="O91" s="193">
        <v>3540</v>
      </c>
      <c r="P91" s="193">
        <v>13331</v>
      </c>
      <c r="Q9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0.13464696223316913</v>
      </c>
      <c r="R91" s="193">
        <v>0</v>
      </c>
      <c r="S91" s="193">
        <v>0</v>
      </c>
      <c r="T91" s="193">
        <v>1558</v>
      </c>
      <c r="U91" s="193">
        <v>0</v>
      </c>
      <c r="V91" s="195">
        <v>0</v>
      </c>
      <c r="W91" s="183">
        <v>0</v>
      </c>
      <c r="X91" s="183">
        <v>0</v>
      </c>
      <c r="Y91" s="184" t="s">
        <v>1257</v>
      </c>
      <c r="Z91" s="185">
        <v>40581</v>
      </c>
      <c r="AA91" s="186" t="s">
        <v>1269</v>
      </c>
      <c r="AB91" s="187" t="s">
        <v>1262</v>
      </c>
      <c r="AC91" s="188">
        <v>0.9156653862445665</v>
      </c>
      <c r="AD91" s="186">
        <v>4582</v>
      </c>
      <c r="AE91" s="187" t="s">
        <v>370</v>
      </c>
    </row>
    <row r="92" spans="1:31" x14ac:dyDescent="0.2">
      <c r="A92" s="189" t="s">
        <v>68</v>
      </c>
      <c r="B92" s="190" t="s">
        <v>67</v>
      </c>
      <c r="C92" s="196" t="s">
        <v>200</v>
      </c>
      <c r="D92" s="192">
        <v>18373</v>
      </c>
      <c r="E9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51767</v>
      </c>
      <c r="F92" s="194">
        <f>IF(Entity_Unit_Costs[[#This Row],[Closing social housing units managed]]&gt;0,Entity_Unit_Costs[[#This Row],[Headline Social Housing Cost]]/Entity_Unit_Costs[[#This Row],[Closing social housing units managed]],"")</f>
        <v>2.817558373700539</v>
      </c>
      <c r="G92" s="194">
        <f>IF(Entity_Unit_Costs[[#This Row],[Closing social housing units managed]]&gt;0,Entity_Unit_Costs[[#This Row],[Management]]/Entity_Unit_Costs[[#This Row],[Closing social housing units managed]],"")</f>
        <v>0.74467969302781256</v>
      </c>
      <c r="H92" s="193">
        <v>13682</v>
      </c>
      <c r="I92" s="194">
        <f>IF(Entity_Unit_Costs[[#This Row],[Closing social housing units managed]]&gt;0,Entity_Unit_Costs[[#This Row],[Service charge costs]]/Entity_Unit_Costs[[#This Row],[Closing social housing units managed]],"")</f>
        <v>0.3391933815925543</v>
      </c>
      <c r="J92" s="193">
        <v>6232</v>
      </c>
      <c r="K92" s="194">
        <f>IF(Entity_Unit_Costs[[#This Row],[Closing social housing units managed]]&gt;0,(Entity_Unit_Costs[[#This Row],[Routine maintenance]]+Entity_Unit_Costs[[#This Row],[Planned maintenance]])/Entity_Unit_Costs[[#This Row],[Closing social housing units managed]],"")</f>
        <v>0.81565340445218526</v>
      </c>
      <c r="L92" s="193">
        <v>11278</v>
      </c>
      <c r="M92" s="193">
        <v>3708</v>
      </c>
      <c r="N92" s="194">
        <f>IF(Entity_Unit_Costs[[#This Row],[Closing social housing units managed]]&gt;0,(Entity_Unit_Costs[[#This Row],[Major repairs expenditure]]+Entity_Unit_Costs[[#This Row],[Capitalised major repairs expenditure for period]])/Entity_Unit_Costs[[#This Row],[Closing social housing units managed]],"")</f>
        <v>0.8923964513144288</v>
      </c>
      <c r="O92" s="193">
        <v>8486</v>
      </c>
      <c r="P92" s="193">
        <v>7910</v>
      </c>
      <c r="Q9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2.5635443313557937E-2</v>
      </c>
      <c r="R92" s="193">
        <v>83</v>
      </c>
      <c r="S92" s="193">
        <v>0</v>
      </c>
      <c r="T92" s="193">
        <v>388</v>
      </c>
      <c r="U92" s="193">
        <v>0</v>
      </c>
      <c r="V92" s="195">
        <v>0</v>
      </c>
      <c r="W92" s="183">
        <v>2.0210139518860883E-2</v>
      </c>
      <c r="X92" s="183">
        <v>6.7290578170752707E-2</v>
      </c>
      <c r="Y92" s="184" t="s">
        <v>1257</v>
      </c>
      <c r="Z92" s="185">
        <v>35016</v>
      </c>
      <c r="AA92" s="186" t="s">
        <v>1268</v>
      </c>
      <c r="AB92" s="187" t="s">
        <v>1259</v>
      </c>
      <c r="AC92" s="188">
        <v>1.0118524159776632</v>
      </c>
      <c r="AD92" s="186" t="s">
        <v>68</v>
      </c>
      <c r="AE92" s="187" t="s">
        <v>67</v>
      </c>
    </row>
    <row r="93" spans="1:31" x14ac:dyDescent="0.2">
      <c r="A93" s="197">
        <v>4651</v>
      </c>
      <c r="B93" s="190" t="s">
        <v>70</v>
      </c>
      <c r="C93" s="196" t="s">
        <v>200</v>
      </c>
      <c r="D93" s="192">
        <v>21623</v>
      </c>
      <c r="E9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57673</v>
      </c>
      <c r="F93" s="194">
        <f>IF(Entity_Unit_Costs[[#This Row],[Closing social housing units managed]]&gt;0,Entity_Unit_Costs[[#This Row],[Headline Social Housing Cost]]/Entity_Unit_Costs[[#This Row],[Closing social housing units managed]],"")</f>
        <v>2.6672062156037555</v>
      </c>
      <c r="G93" s="194">
        <f>IF(Entity_Unit_Costs[[#This Row],[Closing social housing units managed]]&gt;0,Entity_Unit_Costs[[#This Row],[Management]]/Entity_Unit_Costs[[#This Row],[Closing social housing units managed]],"")</f>
        <v>0.7884197382416871</v>
      </c>
      <c r="H93" s="193">
        <v>17048</v>
      </c>
      <c r="I93" s="194">
        <f>IF(Entity_Unit_Costs[[#This Row],[Closing social housing units managed]]&gt;0,Entity_Unit_Costs[[#This Row],[Service charge costs]]/Entity_Unit_Costs[[#This Row],[Closing social housing units managed]],"")</f>
        <v>0.22170836609166167</v>
      </c>
      <c r="J93" s="193">
        <v>4794</v>
      </c>
      <c r="K93" s="194">
        <f>IF(Entity_Unit_Costs[[#This Row],[Closing social housing units managed]]&gt;0,(Entity_Unit_Costs[[#This Row],[Routine maintenance]]+Entity_Unit_Costs[[#This Row],[Planned maintenance]])/Entity_Unit_Costs[[#This Row],[Closing social housing units managed]],"")</f>
        <v>0.8640336678536743</v>
      </c>
      <c r="L93" s="193">
        <v>16389</v>
      </c>
      <c r="M93" s="193">
        <v>2294</v>
      </c>
      <c r="N93" s="194">
        <f>IF(Entity_Unit_Costs[[#This Row],[Closing social housing units managed]]&gt;0,(Entity_Unit_Costs[[#This Row],[Major repairs expenditure]]+Entity_Unit_Costs[[#This Row],[Capitalised major repairs expenditure for period]])/Entity_Unit_Costs[[#This Row],[Closing social housing units managed]],"")</f>
        <v>0.78518244461915554</v>
      </c>
      <c r="O93" s="193">
        <v>0</v>
      </c>
      <c r="P93" s="193">
        <v>16978</v>
      </c>
      <c r="Q9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7.8619987975766543E-3</v>
      </c>
      <c r="R93" s="193">
        <v>0</v>
      </c>
      <c r="S93" s="193">
        <v>133</v>
      </c>
      <c r="T93" s="193">
        <v>37</v>
      </c>
      <c r="U93" s="193">
        <v>0</v>
      </c>
      <c r="V93" s="195">
        <v>0</v>
      </c>
      <c r="W93" s="183">
        <v>1.4548309624976908E-2</v>
      </c>
      <c r="X93" s="183">
        <v>6.9416220210604104E-2</v>
      </c>
      <c r="Y93" s="184" t="s">
        <v>1257</v>
      </c>
      <c r="Z93" s="185">
        <v>34058</v>
      </c>
      <c r="AA93" s="186" t="s">
        <v>1268</v>
      </c>
      <c r="AB93" s="187" t="s">
        <v>1263</v>
      </c>
      <c r="AC93" s="188">
        <v>1.0022399874355168</v>
      </c>
      <c r="AD93" s="186">
        <v>4651</v>
      </c>
      <c r="AE93" s="187" t="s">
        <v>70</v>
      </c>
    </row>
    <row r="94" spans="1:31" x14ac:dyDescent="0.2">
      <c r="A94" s="197">
        <v>4845</v>
      </c>
      <c r="B94" s="190" t="s">
        <v>197</v>
      </c>
      <c r="C94" s="196" t="s">
        <v>200</v>
      </c>
      <c r="D94" s="192">
        <v>15825</v>
      </c>
      <c r="E9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39039</v>
      </c>
      <c r="F94" s="194">
        <f>IF(Entity_Unit_Costs[[#This Row],[Closing social housing units managed]]&gt;0,Entity_Unit_Costs[[#This Row],[Headline Social Housing Cost]]/Entity_Unit_Costs[[#This Row],[Closing social housing units managed]],"")</f>
        <v>2.4669194312796208</v>
      </c>
      <c r="G94" s="194">
        <f>IF(Entity_Unit_Costs[[#This Row],[Closing social housing units managed]]&gt;0,Entity_Unit_Costs[[#This Row],[Management]]/Entity_Unit_Costs[[#This Row],[Closing social housing units managed]],"")</f>
        <v>0.46616113744075827</v>
      </c>
      <c r="H94" s="193">
        <v>7377</v>
      </c>
      <c r="I94" s="194">
        <f>IF(Entity_Unit_Costs[[#This Row],[Closing social housing units managed]]&gt;0,Entity_Unit_Costs[[#This Row],[Service charge costs]]/Entity_Unit_Costs[[#This Row],[Closing social housing units managed]],"")</f>
        <v>0.42148499210110585</v>
      </c>
      <c r="J94" s="193">
        <v>6670</v>
      </c>
      <c r="K94" s="194">
        <f>IF(Entity_Unit_Costs[[#This Row],[Closing social housing units managed]]&gt;0,(Entity_Unit_Costs[[#This Row],[Routine maintenance]]+Entity_Unit_Costs[[#This Row],[Planned maintenance]])/Entity_Unit_Costs[[#This Row],[Closing social housing units managed]],"")</f>
        <v>0.7351658767772512</v>
      </c>
      <c r="L94" s="193">
        <v>8662</v>
      </c>
      <c r="M94" s="193">
        <v>2972</v>
      </c>
      <c r="N94" s="194">
        <f>IF(Entity_Unit_Costs[[#This Row],[Closing social housing units managed]]&gt;0,(Entity_Unit_Costs[[#This Row],[Major repairs expenditure]]+Entity_Unit_Costs[[#This Row],[Capitalised major repairs expenditure for period]])/Entity_Unit_Costs[[#This Row],[Closing social housing units managed]],"")</f>
        <v>0.78167456556082149</v>
      </c>
      <c r="O94" s="193">
        <v>3957</v>
      </c>
      <c r="P94" s="193">
        <v>8413</v>
      </c>
      <c r="Q9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6.2432859399684043E-2</v>
      </c>
      <c r="R94" s="193">
        <v>22</v>
      </c>
      <c r="S94" s="193">
        <v>426</v>
      </c>
      <c r="T94" s="193">
        <v>540</v>
      </c>
      <c r="U94" s="193">
        <v>0</v>
      </c>
      <c r="V94" s="195">
        <v>0</v>
      </c>
      <c r="W94" s="183">
        <v>1.1300168853097805E-2</v>
      </c>
      <c r="X94" s="183">
        <v>0.11624886348876477</v>
      </c>
      <c r="Y94" s="184" t="s">
        <v>1256</v>
      </c>
      <c r="Z94" s="185"/>
      <c r="AA94" s="186" t="s">
        <v>1279</v>
      </c>
      <c r="AB94" s="187" t="s">
        <v>1260</v>
      </c>
      <c r="AC94" s="188">
        <v>0.91601866860890735</v>
      </c>
      <c r="AD94" s="186">
        <v>4789</v>
      </c>
      <c r="AE94" s="187" t="s">
        <v>72</v>
      </c>
    </row>
    <row r="95" spans="1:31" x14ac:dyDescent="0.2">
      <c r="A95" s="189" t="s">
        <v>374</v>
      </c>
      <c r="B95" s="190" t="s">
        <v>375</v>
      </c>
      <c r="C95" s="196" t="s">
        <v>200</v>
      </c>
      <c r="D95" s="192">
        <v>6826</v>
      </c>
      <c r="E9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22244</v>
      </c>
      <c r="F95" s="194">
        <f>IF(Entity_Unit_Costs[[#This Row],[Closing social housing units managed]]&gt;0,Entity_Unit_Costs[[#This Row],[Headline Social Housing Cost]]/Entity_Unit_Costs[[#This Row],[Closing social housing units managed]],"")</f>
        <v>3.2587166715499563</v>
      </c>
      <c r="G95" s="194">
        <f>IF(Entity_Unit_Costs[[#This Row],[Closing social housing units managed]]&gt;0,Entity_Unit_Costs[[#This Row],[Management]]/Entity_Unit_Costs[[#This Row],[Closing social housing units managed]],"")</f>
        <v>0.57237034866686198</v>
      </c>
      <c r="H95" s="193">
        <v>3907</v>
      </c>
      <c r="I95" s="194">
        <f>IF(Entity_Unit_Costs[[#This Row],[Closing social housing units managed]]&gt;0,Entity_Unit_Costs[[#This Row],[Service charge costs]]/Entity_Unit_Costs[[#This Row],[Closing social housing units managed]],"")</f>
        <v>0.35716378552593026</v>
      </c>
      <c r="J95" s="193">
        <v>2438</v>
      </c>
      <c r="K95" s="194">
        <f>IF(Entity_Unit_Costs[[#This Row],[Closing social housing units managed]]&gt;0,(Entity_Unit_Costs[[#This Row],[Routine maintenance]]+Entity_Unit_Costs[[#This Row],[Planned maintenance]])/Entity_Unit_Costs[[#This Row],[Closing social housing units managed]],"")</f>
        <v>0.66451801933782595</v>
      </c>
      <c r="L95" s="193">
        <v>3243</v>
      </c>
      <c r="M95" s="193">
        <v>1293</v>
      </c>
      <c r="N95" s="194">
        <f>IF(Entity_Unit_Costs[[#This Row],[Closing social housing units managed]]&gt;0,(Entity_Unit_Costs[[#This Row],[Major repairs expenditure]]+Entity_Unit_Costs[[#This Row],[Capitalised major repairs expenditure for period]])/Entity_Unit_Costs[[#This Row],[Closing social housing units managed]],"")</f>
        <v>1.6341927922648696</v>
      </c>
      <c r="O95" s="193">
        <v>3133</v>
      </c>
      <c r="P95" s="193">
        <v>8022</v>
      </c>
      <c r="Q9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3.0471725754468208E-2</v>
      </c>
      <c r="R95" s="193">
        <v>208</v>
      </c>
      <c r="S95" s="193">
        <v>0</v>
      </c>
      <c r="T95" s="193">
        <v>0</v>
      </c>
      <c r="U95" s="193">
        <v>0</v>
      </c>
      <c r="V95" s="195">
        <v>0</v>
      </c>
      <c r="W95" s="183">
        <v>4.5209275193233188E-3</v>
      </c>
      <c r="X95" s="183">
        <v>8.9106023042146709E-2</v>
      </c>
      <c r="Y95" s="184" t="s">
        <v>1257</v>
      </c>
      <c r="Z95" s="185">
        <v>38810</v>
      </c>
      <c r="AA95" s="186" t="s">
        <v>1280</v>
      </c>
      <c r="AB95" s="187" t="s">
        <v>1263</v>
      </c>
      <c r="AC95" s="188">
        <v>1.0022399874355168</v>
      </c>
      <c r="AD95" s="186" t="s">
        <v>374</v>
      </c>
      <c r="AE95" s="187" t="s">
        <v>375</v>
      </c>
    </row>
    <row r="96" spans="1:31" x14ac:dyDescent="0.2">
      <c r="A96" s="197">
        <v>4654</v>
      </c>
      <c r="B96" s="190" t="s">
        <v>74</v>
      </c>
      <c r="C96" s="196" t="s">
        <v>200</v>
      </c>
      <c r="D96" s="192">
        <v>4517</v>
      </c>
      <c r="E9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19027</v>
      </c>
      <c r="F96" s="194">
        <f>IF(Entity_Unit_Costs[[#This Row],[Closing social housing units managed]]&gt;0,Entity_Unit_Costs[[#This Row],[Headline Social Housing Cost]]/Entity_Unit_Costs[[#This Row],[Closing social housing units managed]],"")</f>
        <v>4.2123090546823114</v>
      </c>
      <c r="G96" s="194">
        <f>IF(Entity_Unit_Costs[[#This Row],[Closing social housing units managed]]&gt;0,Entity_Unit_Costs[[#This Row],[Management]]/Entity_Unit_Costs[[#This Row],[Closing social housing units managed]],"")</f>
        <v>1.0394066858534425</v>
      </c>
      <c r="H96" s="193">
        <v>4695</v>
      </c>
      <c r="I96" s="194">
        <f>IF(Entity_Unit_Costs[[#This Row],[Closing social housing units managed]]&gt;0,Entity_Unit_Costs[[#This Row],[Service charge costs]]/Entity_Unit_Costs[[#This Row],[Closing social housing units managed]],"")</f>
        <v>1.0356431259685632</v>
      </c>
      <c r="J96" s="193">
        <v>4678</v>
      </c>
      <c r="K96" s="194">
        <f>IF(Entity_Unit_Costs[[#This Row],[Closing social housing units managed]]&gt;0,(Entity_Unit_Costs[[#This Row],[Routine maintenance]]+Entity_Unit_Costs[[#This Row],[Planned maintenance]])/Entity_Unit_Costs[[#This Row],[Closing social housing units managed]],"")</f>
        <v>0.98140358645118442</v>
      </c>
      <c r="L96" s="193">
        <v>3030</v>
      </c>
      <c r="M96" s="193">
        <v>1403</v>
      </c>
      <c r="N96" s="194">
        <f>IF(Entity_Unit_Costs[[#This Row],[Closing social housing units managed]]&gt;0,(Entity_Unit_Costs[[#This Row],[Major repairs expenditure]]+Entity_Unit_Costs[[#This Row],[Capitalised major repairs expenditure for period]])/Entity_Unit_Costs[[#This Row],[Closing social housing units managed]],"")</f>
        <v>0.74739871596192164</v>
      </c>
      <c r="O96" s="193">
        <v>462</v>
      </c>
      <c r="P96" s="193">
        <v>2914</v>
      </c>
      <c r="Q9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0.40845694044719949</v>
      </c>
      <c r="R96" s="193">
        <v>56</v>
      </c>
      <c r="S96" s="193">
        <v>1580</v>
      </c>
      <c r="T96" s="193">
        <v>209</v>
      </c>
      <c r="U96" s="193">
        <v>0</v>
      </c>
      <c r="V96" s="195">
        <v>0</v>
      </c>
      <c r="W96" s="183">
        <v>3.2235939643347047E-2</v>
      </c>
      <c r="X96" s="183">
        <v>4.3438500228623689E-3</v>
      </c>
      <c r="Y96" s="184" t="s">
        <v>1256</v>
      </c>
      <c r="Z96" s="185"/>
      <c r="AA96" s="186" t="s">
        <v>1279</v>
      </c>
      <c r="AB96" s="187" t="s">
        <v>1260</v>
      </c>
      <c r="AC96" s="188">
        <v>0.91727738121329472</v>
      </c>
      <c r="AD96" s="186" t="s">
        <v>1237</v>
      </c>
      <c r="AE96" s="187" t="s">
        <v>494</v>
      </c>
    </row>
    <row r="97" spans="1:31" x14ac:dyDescent="0.2">
      <c r="A97" s="189" t="s">
        <v>376</v>
      </c>
      <c r="B97" s="190" t="s">
        <v>377</v>
      </c>
      <c r="C97" s="196" t="s">
        <v>200</v>
      </c>
      <c r="D97" s="192">
        <v>2095</v>
      </c>
      <c r="E9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6628</v>
      </c>
      <c r="F97" s="194">
        <f>IF(Entity_Unit_Costs[[#This Row],[Closing social housing units managed]]&gt;0,Entity_Unit_Costs[[#This Row],[Headline Social Housing Cost]]/Entity_Unit_Costs[[#This Row],[Closing social housing units managed]],"")</f>
        <v>3.163723150357995</v>
      </c>
      <c r="G97" s="194">
        <f>IF(Entity_Unit_Costs[[#This Row],[Closing social housing units managed]]&gt;0,Entity_Unit_Costs[[#This Row],[Management]]/Entity_Unit_Costs[[#This Row],[Closing social housing units managed]],"")</f>
        <v>1.511217183770883</v>
      </c>
      <c r="H97" s="193">
        <v>3166</v>
      </c>
      <c r="I97" s="194">
        <f>IF(Entity_Unit_Costs[[#This Row],[Closing social housing units managed]]&gt;0,Entity_Unit_Costs[[#This Row],[Service charge costs]]/Entity_Unit_Costs[[#This Row],[Closing social housing units managed]],"")</f>
        <v>0.50119331742243434</v>
      </c>
      <c r="J97" s="193">
        <v>1050</v>
      </c>
      <c r="K97" s="194">
        <f>IF(Entity_Unit_Costs[[#This Row],[Closing social housing units managed]]&gt;0,(Entity_Unit_Costs[[#This Row],[Routine maintenance]]+Entity_Unit_Costs[[#This Row],[Planned maintenance]])/Entity_Unit_Costs[[#This Row],[Closing social housing units managed]],"")</f>
        <v>0.5484486873508353</v>
      </c>
      <c r="L97" s="193">
        <v>880</v>
      </c>
      <c r="M97" s="193">
        <v>269</v>
      </c>
      <c r="N97" s="194">
        <f>IF(Entity_Unit_Costs[[#This Row],[Closing social housing units managed]]&gt;0,(Entity_Unit_Costs[[#This Row],[Major repairs expenditure]]+Entity_Unit_Costs[[#This Row],[Capitalised major repairs expenditure for period]])/Entity_Unit_Costs[[#This Row],[Closing social housing units managed]],"")</f>
        <v>0.56801909307875897</v>
      </c>
      <c r="O97" s="193">
        <v>154</v>
      </c>
      <c r="P97" s="193">
        <v>1036</v>
      </c>
      <c r="Q9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3.484486873508353E-2</v>
      </c>
      <c r="R97" s="193">
        <v>22</v>
      </c>
      <c r="S97" s="193">
        <v>0</v>
      </c>
      <c r="T97" s="193">
        <v>51</v>
      </c>
      <c r="U97" s="193">
        <v>0</v>
      </c>
      <c r="V97" s="195">
        <v>0</v>
      </c>
      <c r="W97" s="183">
        <v>1.0743061772605193E-2</v>
      </c>
      <c r="X97" s="183">
        <v>5.461056401074306E-2</v>
      </c>
      <c r="Y97" s="184" t="s">
        <v>1256</v>
      </c>
      <c r="Z97" s="185"/>
      <c r="AA97" s="186" t="s">
        <v>1279</v>
      </c>
      <c r="AB97" s="187" t="s">
        <v>1262</v>
      </c>
      <c r="AC97" s="188">
        <v>0.92009947067075648</v>
      </c>
      <c r="AD97" s="186" t="s">
        <v>1255</v>
      </c>
      <c r="AE97" s="187" t="s">
        <v>861</v>
      </c>
    </row>
    <row r="98" spans="1:31" x14ac:dyDescent="0.2">
      <c r="A98" s="189" t="s">
        <v>378</v>
      </c>
      <c r="B98" s="190" t="s">
        <v>379</v>
      </c>
      <c r="C98" s="196" t="s">
        <v>200</v>
      </c>
      <c r="D98" s="192">
        <v>5756</v>
      </c>
      <c r="E9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17675</v>
      </c>
      <c r="F98" s="194">
        <f>IF(Entity_Unit_Costs[[#This Row],[Closing social housing units managed]]&gt;0,Entity_Unit_Costs[[#This Row],[Headline Social Housing Cost]]/Entity_Unit_Costs[[#This Row],[Closing social housing units managed]],"")</f>
        <v>3.0707088255733148</v>
      </c>
      <c r="G98" s="194">
        <f>IF(Entity_Unit_Costs[[#This Row],[Closing social housing units managed]]&gt;0,Entity_Unit_Costs[[#This Row],[Management]]/Entity_Unit_Costs[[#This Row],[Closing social housing units managed]],"")</f>
        <v>1.2649409312022237</v>
      </c>
      <c r="H98" s="193">
        <v>7281</v>
      </c>
      <c r="I98" s="194">
        <f>IF(Entity_Unit_Costs[[#This Row],[Closing social housing units managed]]&gt;0,Entity_Unit_Costs[[#This Row],[Service charge costs]]/Entity_Unit_Costs[[#This Row],[Closing social housing units managed]],"")</f>
        <v>8.6692147324530927E-2</v>
      </c>
      <c r="J98" s="193">
        <v>499</v>
      </c>
      <c r="K98" s="194">
        <f>IF(Entity_Unit_Costs[[#This Row],[Closing social housing units managed]]&gt;0,(Entity_Unit_Costs[[#This Row],[Routine maintenance]]+Entity_Unit_Costs[[#This Row],[Planned maintenance]])/Entity_Unit_Costs[[#This Row],[Closing social housing units managed]],"")</f>
        <v>0.91817234190410002</v>
      </c>
      <c r="L98" s="193">
        <v>2659</v>
      </c>
      <c r="M98" s="193">
        <v>2626</v>
      </c>
      <c r="N98" s="194">
        <f>IF(Entity_Unit_Costs[[#This Row],[Closing social housing units managed]]&gt;0,(Entity_Unit_Costs[[#This Row],[Major repairs expenditure]]+Entity_Unit_Costs[[#This Row],[Capitalised major repairs expenditure for period]])/Entity_Unit_Costs[[#This Row],[Closing social housing units managed]],"")</f>
        <v>0.39906184850590687</v>
      </c>
      <c r="O98" s="193">
        <v>1023</v>
      </c>
      <c r="P98" s="193">
        <v>1274</v>
      </c>
      <c r="Q9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0.40184155663655319</v>
      </c>
      <c r="R98" s="193">
        <v>1528</v>
      </c>
      <c r="S98" s="193">
        <v>0</v>
      </c>
      <c r="T98" s="193">
        <v>785</v>
      </c>
      <c r="U98" s="193">
        <v>0</v>
      </c>
      <c r="V98" s="195">
        <v>0</v>
      </c>
      <c r="W98" s="183">
        <v>3.8532417490366897E-3</v>
      </c>
      <c r="X98" s="183">
        <v>0.37175406265706146</v>
      </c>
      <c r="Y98" s="184" t="s">
        <v>1257</v>
      </c>
      <c r="Z98" s="185">
        <v>37676</v>
      </c>
      <c r="AA98" s="186" t="s">
        <v>1268</v>
      </c>
      <c r="AB98" s="187" t="s">
        <v>1261</v>
      </c>
      <c r="AC98" s="188">
        <v>0.92038375847935394</v>
      </c>
      <c r="AD98" s="186" t="s">
        <v>1232</v>
      </c>
      <c r="AE98" s="187" t="s">
        <v>383</v>
      </c>
    </row>
    <row r="99" spans="1:31" x14ac:dyDescent="0.2">
      <c r="A99" s="189" t="s">
        <v>380</v>
      </c>
      <c r="B99" s="190" t="s">
        <v>381</v>
      </c>
      <c r="C99" s="196" t="s">
        <v>200</v>
      </c>
      <c r="D99" s="192">
        <v>3084</v>
      </c>
      <c r="E9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9954</v>
      </c>
      <c r="F99" s="194">
        <f>IF(Entity_Unit_Costs[[#This Row],[Closing social housing units managed]]&gt;0,Entity_Unit_Costs[[#This Row],[Headline Social Housing Cost]]/Entity_Unit_Costs[[#This Row],[Closing social housing units managed]],"")</f>
        <v>3.227626459143969</v>
      </c>
      <c r="G99" s="194">
        <f>IF(Entity_Unit_Costs[[#This Row],[Closing social housing units managed]]&gt;0,Entity_Unit_Costs[[#This Row],[Management]]/Entity_Unit_Costs[[#This Row],[Closing social housing units managed]],"")</f>
        <v>1.3167963683527886</v>
      </c>
      <c r="H99" s="193">
        <v>4061</v>
      </c>
      <c r="I99" s="194">
        <f>IF(Entity_Unit_Costs[[#This Row],[Closing social housing units managed]]&gt;0,Entity_Unit_Costs[[#This Row],[Service charge costs]]/Entity_Unit_Costs[[#This Row],[Closing social housing units managed]],"")</f>
        <v>0.16439688715953307</v>
      </c>
      <c r="J99" s="193">
        <v>507</v>
      </c>
      <c r="K99" s="194">
        <f>IF(Entity_Unit_Costs[[#This Row],[Closing social housing units managed]]&gt;0,(Entity_Unit_Costs[[#This Row],[Routine maintenance]]+Entity_Unit_Costs[[#This Row],[Planned maintenance]])/Entity_Unit_Costs[[#This Row],[Closing social housing units managed]],"")</f>
        <v>0.88715953307392992</v>
      </c>
      <c r="L99" s="193">
        <v>1766</v>
      </c>
      <c r="M99" s="193">
        <v>970</v>
      </c>
      <c r="N99" s="194">
        <f>IF(Entity_Unit_Costs[[#This Row],[Closing social housing units managed]]&gt;0,(Entity_Unit_Costs[[#This Row],[Major repairs expenditure]]+Entity_Unit_Costs[[#This Row],[Capitalised major repairs expenditure for period]])/Entity_Unit_Costs[[#This Row],[Closing social housing units managed]],"")</f>
        <v>0.63845654993514911</v>
      </c>
      <c r="O99" s="193">
        <v>1020</v>
      </c>
      <c r="P99" s="193">
        <v>949</v>
      </c>
      <c r="Q9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0.22081712062256809</v>
      </c>
      <c r="R99" s="193">
        <v>658</v>
      </c>
      <c r="S99" s="193">
        <v>0</v>
      </c>
      <c r="T99" s="193">
        <v>23</v>
      </c>
      <c r="U99" s="193">
        <v>0</v>
      </c>
      <c r="V99" s="195">
        <v>0</v>
      </c>
      <c r="W99" s="183">
        <v>0</v>
      </c>
      <c r="X99" s="183">
        <v>0.2857142857142857</v>
      </c>
      <c r="Y99" s="184" t="s">
        <v>1257</v>
      </c>
      <c r="Z99" s="185">
        <v>39391</v>
      </c>
      <c r="AA99" s="186" t="s">
        <v>1280</v>
      </c>
      <c r="AB99" s="187" t="s">
        <v>1261</v>
      </c>
      <c r="AC99" s="188">
        <v>0.92038375847935383</v>
      </c>
      <c r="AD99" s="186" t="s">
        <v>1232</v>
      </c>
      <c r="AE99" s="187" t="s">
        <v>383</v>
      </c>
    </row>
    <row r="100" spans="1:31" x14ac:dyDescent="0.2">
      <c r="A100" s="189" t="s">
        <v>384</v>
      </c>
      <c r="B100" s="190" t="s">
        <v>385</v>
      </c>
      <c r="C100" s="196" t="s">
        <v>200</v>
      </c>
      <c r="D100" s="192">
        <v>6123</v>
      </c>
      <c r="E10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39569</v>
      </c>
      <c r="F100" s="194">
        <f>IF(Entity_Unit_Costs[[#This Row],[Closing social housing units managed]]&gt;0,Entity_Unit_Costs[[#This Row],[Headline Social Housing Cost]]/Entity_Unit_Costs[[#This Row],[Closing social housing units managed]],"")</f>
        <v>6.4623550547117423</v>
      </c>
      <c r="G100" s="194">
        <f>IF(Entity_Unit_Costs[[#This Row],[Closing social housing units managed]]&gt;0,Entity_Unit_Costs[[#This Row],[Management]]/Entity_Unit_Costs[[#This Row],[Closing social housing units managed]],"")</f>
        <v>1.1476400457292177</v>
      </c>
      <c r="H100" s="193">
        <v>7027</v>
      </c>
      <c r="I100" s="194">
        <f>IF(Entity_Unit_Costs[[#This Row],[Closing social housing units managed]]&gt;0,Entity_Unit_Costs[[#This Row],[Service charge costs]]/Entity_Unit_Costs[[#This Row],[Closing social housing units managed]],"")</f>
        <v>0.58533398660787195</v>
      </c>
      <c r="J100" s="193">
        <v>3584</v>
      </c>
      <c r="K100" s="194">
        <f>IF(Entity_Unit_Costs[[#This Row],[Closing social housing units managed]]&gt;0,(Entity_Unit_Costs[[#This Row],[Routine maintenance]]+Entity_Unit_Costs[[#This Row],[Planned maintenance]])/Entity_Unit_Costs[[#This Row],[Closing social housing units managed]],"")</f>
        <v>1.5097174587620448</v>
      </c>
      <c r="L100" s="193">
        <v>5554</v>
      </c>
      <c r="M100" s="193">
        <v>3690</v>
      </c>
      <c r="N100" s="194">
        <f>IF(Entity_Unit_Costs[[#This Row],[Closing social housing units managed]]&gt;0,(Entity_Unit_Costs[[#This Row],[Major repairs expenditure]]+Entity_Unit_Costs[[#This Row],[Capitalised major repairs expenditure for period]])/Entity_Unit_Costs[[#This Row],[Closing social housing units managed]],"")</f>
        <v>3.1164461865098807</v>
      </c>
      <c r="O100" s="193">
        <v>2612</v>
      </c>
      <c r="P100" s="193">
        <v>16470</v>
      </c>
      <c r="Q10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0.10321737710272742</v>
      </c>
      <c r="R100" s="193">
        <v>0</v>
      </c>
      <c r="S100" s="193">
        <v>0</v>
      </c>
      <c r="T100" s="193">
        <v>0</v>
      </c>
      <c r="U100" s="193">
        <v>632</v>
      </c>
      <c r="V100" s="195">
        <v>0</v>
      </c>
      <c r="W100" s="183">
        <v>0</v>
      </c>
      <c r="X100" s="183">
        <v>9.4724808100604286E-3</v>
      </c>
      <c r="Y100" s="184" t="s">
        <v>1256</v>
      </c>
      <c r="Z100" s="185"/>
      <c r="AA100" s="186" t="s">
        <v>1279</v>
      </c>
      <c r="AB100" s="187" t="s">
        <v>1267</v>
      </c>
      <c r="AC100" s="188">
        <v>1.2488627787394371</v>
      </c>
      <c r="AD100" s="186">
        <v>4834</v>
      </c>
      <c r="AE100" s="187" t="s">
        <v>590</v>
      </c>
    </row>
    <row r="101" spans="1:31" x14ac:dyDescent="0.2">
      <c r="A101" s="189" t="s">
        <v>77</v>
      </c>
      <c r="B101" s="190" t="s">
        <v>76</v>
      </c>
      <c r="C101" s="196" t="s">
        <v>200</v>
      </c>
      <c r="D101" s="192">
        <v>2868</v>
      </c>
      <c r="E10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15930</v>
      </c>
      <c r="F101" s="194">
        <f>IF(Entity_Unit_Costs[[#This Row],[Closing social housing units managed]]&gt;0,Entity_Unit_Costs[[#This Row],[Headline Social Housing Cost]]/Entity_Unit_Costs[[#This Row],[Closing social housing units managed]],"")</f>
        <v>5.5543933054393309</v>
      </c>
      <c r="G101" s="194">
        <f>IF(Entity_Unit_Costs[[#This Row],[Closing social housing units managed]]&gt;0,Entity_Unit_Costs[[#This Row],[Management]]/Entity_Unit_Costs[[#This Row],[Closing social housing units managed]],"")</f>
        <v>1.1335425383542539</v>
      </c>
      <c r="H101" s="193">
        <v>3251</v>
      </c>
      <c r="I101" s="194">
        <f>IF(Entity_Unit_Costs[[#This Row],[Closing social housing units managed]]&gt;0,Entity_Unit_Costs[[#This Row],[Service charge costs]]/Entity_Unit_Costs[[#This Row],[Closing social housing units managed]],"")</f>
        <v>0.81799163179916323</v>
      </c>
      <c r="J101" s="193">
        <v>2346</v>
      </c>
      <c r="K101" s="194">
        <f>IF(Entity_Unit_Costs[[#This Row],[Closing social housing units managed]]&gt;0,(Entity_Unit_Costs[[#This Row],[Routine maintenance]]+Entity_Unit_Costs[[#This Row],[Planned maintenance]])/Entity_Unit_Costs[[#This Row],[Closing social housing units managed]],"")</f>
        <v>1.3622733612273361</v>
      </c>
      <c r="L101" s="193">
        <v>3215</v>
      </c>
      <c r="M101" s="193">
        <v>692</v>
      </c>
      <c r="N101" s="194">
        <f>IF(Entity_Unit_Costs[[#This Row],[Closing social housing units managed]]&gt;0,(Entity_Unit_Costs[[#This Row],[Major repairs expenditure]]+Entity_Unit_Costs[[#This Row],[Capitalised major repairs expenditure for period]])/Entity_Unit_Costs[[#This Row],[Closing social housing units managed]],"")</f>
        <v>1.0404463040446303</v>
      </c>
      <c r="O101" s="193">
        <v>161</v>
      </c>
      <c r="P101" s="193">
        <v>2823</v>
      </c>
      <c r="Q10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1.2001394700139469</v>
      </c>
      <c r="R101" s="193">
        <v>0</v>
      </c>
      <c r="S101" s="193">
        <v>2902</v>
      </c>
      <c r="T101" s="193">
        <v>0</v>
      </c>
      <c r="U101" s="193">
        <v>540</v>
      </c>
      <c r="V101" s="195">
        <v>0</v>
      </c>
      <c r="W101" s="183">
        <v>3.802416488983653E-2</v>
      </c>
      <c r="X101" s="183">
        <v>0.17057569296375266</v>
      </c>
      <c r="Y101" s="184" t="s">
        <v>1256</v>
      </c>
      <c r="Z101" s="185"/>
      <c r="AA101" s="186" t="s">
        <v>1279</v>
      </c>
      <c r="AB101" s="187" t="s">
        <v>1267</v>
      </c>
      <c r="AC101" s="188">
        <v>1.2487725728903867</v>
      </c>
      <c r="AD101" s="186" t="s">
        <v>77</v>
      </c>
      <c r="AE101" s="187" t="s">
        <v>76</v>
      </c>
    </row>
    <row r="102" spans="1:31" x14ac:dyDescent="0.2">
      <c r="A102" s="189" t="s">
        <v>387</v>
      </c>
      <c r="B102" s="190" t="s">
        <v>388</v>
      </c>
      <c r="C102" s="196" t="s">
        <v>200</v>
      </c>
      <c r="D102" s="192">
        <v>3484</v>
      </c>
      <c r="E10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10867</v>
      </c>
      <c r="F102" s="194">
        <f>IF(Entity_Unit_Costs[[#This Row],[Closing social housing units managed]]&gt;0,Entity_Unit_Costs[[#This Row],[Headline Social Housing Cost]]/Entity_Unit_Costs[[#This Row],[Closing social housing units managed]],"")</f>
        <v>3.1191159586681976</v>
      </c>
      <c r="G102" s="194">
        <f>IF(Entity_Unit_Costs[[#This Row],[Closing social housing units managed]]&gt;0,Entity_Unit_Costs[[#This Row],[Management]]/Entity_Unit_Costs[[#This Row],[Closing social housing units managed]],"")</f>
        <v>0.72904707233065447</v>
      </c>
      <c r="H102" s="193">
        <v>2540</v>
      </c>
      <c r="I102" s="194">
        <f>IF(Entity_Unit_Costs[[#This Row],[Closing social housing units managed]]&gt;0,Entity_Unit_Costs[[#This Row],[Service charge costs]]/Entity_Unit_Costs[[#This Row],[Closing social housing units managed]],"")</f>
        <v>0.39638346727898965</v>
      </c>
      <c r="J102" s="193">
        <v>1381</v>
      </c>
      <c r="K102" s="194">
        <f>IF(Entity_Unit_Costs[[#This Row],[Closing social housing units managed]]&gt;0,(Entity_Unit_Costs[[#This Row],[Routine maintenance]]+Entity_Unit_Costs[[#This Row],[Planned maintenance]])/Entity_Unit_Costs[[#This Row],[Closing social housing units managed]],"")</f>
        <v>0.75947187141216987</v>
      </c>
      <c r="L102" s="193">
        <v>1939</v>
      </c>
      <c r="M102" s="193">
        <v>707</v>
      </c>
      <c r="N102" s="194">
        <f>IF(Entity_Unit_Costs[[#This Row],[Closing social housing units managed]]&gt;0,(Entity_Unit_Costs[[#This Row],[Major repairs expenditure]]+Entity_Unit_Costs[[#This Row],[Capitalised major repairs expenditure for period]])/Entity_Unit_Costs[[#This Row],[Closing social housing units managed]],"")</f>
        <v>1.1687715269804821</v>
      </c>
      <c r="O102" s="193">
        <v>3279</v>
      </c>
      <c r="P102" s="193">
        <v>793</v>
      </c>
      <c r="Q10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6.5442020665901268E-2</v>
      </c>
      <c r="R102" s="193">
        <v>31</v>
      </c>
      <c r="S102" s="193">
        <v>0</v>
      </c>
      <c r="T102" s="193">
        <v>197</v>
      </c>
      <c r="U102" s="193">
        <v>0</v>
      </c>
      <c r="V102" s="195">
        <v>0</v>
      </c>
      <c r="W102" s="183">
        <v>0</v>
      </c>
      <c r="X102" s="183">
        <v>0.26356830941983783</v>
      </c>
      <c r="Y102" s="184" t="s">
        <v>1257</v>
      </c>
      <c r="Z102" s="185">
        <v>39755</v>
      </c>
      <c r="AA102" s="186" t="s">
        <v>1280</v>
      </c>
      <c r="AB102" s="187" t="s">
        <v>1261</v>
      </c>
      <c r="AC102" s="188">
        <v>0.92038375847935383</v>
      </c>
      <c r="AD102" s="186" t="s">
        <v>1239</v>
      </c>
      <c r="AE102" s="187" t="s">
        <v>538</v>
      </c>
    </row>
    <row r="103" spans="1:31" x14ac:dyDescent="0.2">
      <c r="A103" s="197">
        <v>4655</v>
      </c>
      <c r="B103" s="190" t="s">
        <v>390</v>
      </c>
      <c r="C103" s="196" t="s">
        <v>200</v>
      </c>
      <c r="D103" s="192">
        <v>29623</v>
      </c>
      <c r="E10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196100</v>
      </c>
      <c r="F103" s="194">
        <f>IF(Entity_Unit_Costs[[#This Row],[Closing social housing units managed]]&gt;0,Entity_Unit_Costs[[#This Row],[Headline Social Housing Cost]]/Entity_Unit_Costs[[#This Row],[Closing social housing units managed]],"")</f>
        <v>6.6198561928231445</v>
      </c>
      <c r="G103" s="194">
        <f>IF(Entity_Unit_Costs[[#This Row],[Closing social housing units managed]]&gt;0,Entity_Unit_Costs[[#This Row],[Management]]/Entity_Unit_Costs[[#This Row],[Closing social housing units managed]],"")</f>
        <v>2.5824528238193296</v>
      </c>
      <c r="H103" s="193">
        <v>76500</v>
      </c>
      <c r="I103" s="194">
        <f>IF(Entity_Unit_Costs[[#This Row],[Closing social housing units managed]]&gt;0,Entity_Unit_Costs[[#This Row],[Service charge costs]]/Entity_Unit_Costs[[#This Row],[Closing social housing units managed]],"")</f>
        <v>0.92158120379434894</v>
      </c>
      <c r="J103" s="193">
        <v>27300</v>
      </c>
      <c r="K103" s="194">
        <f>IF(Entity_Unit_Costs[[#This Row],[Closing social housing units managed]]&gt;0,(Entity_Unit_Costs[[#This Row],[Routine maintenance]]+Entity_Unit_Costs[[#This Row],[Planned maintenance]])/Entity_Unit_Costs[[#This Row],[Closing social housing units managed]],"")</f>
        <v>0.8506903419640145</v>
      </c>
      <c r="L103" s="193">
        <v>16600</v>
      </c>
      <c r="M103" s="193">
        <v>8600</v>
      </c>
      <c r="N103" s="194">
        <f>IF(Entity_Unit_Costs[[#This Row],[Closing social housing units managed]]&gt;0,(Entity_Unit_Costs[[#This Row],[Major repairs expenditure]]+Entity_Unit_Costs[[#This Row],[Capitalised major repairs expenditure for period]])/Entity_Unit_Costs[[#This Row],[Closing social housing units managed]],"")</f>
        <v>0.84393883131350644</v>
      </c>
      <c r="O103" s="193">
        <v>0</v>
      </c>
      <c r="P103" s="193">
        <v>25000</v>
      </c>
      <c r="Q10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1.4211929919319448</v>
      </c>
      <c r="R103" s="193">
        <v>42100</v>
      </c>
      <c r="S103" s="193">
        <v>0</v>
      </c>
      <c r="T103" s="193">
        <v>0</v>
      </c>
      <c r="U103" s="193">
        <v>0</v>
      </c>
      <c r="V103" s="195">
        <v>0</v>
      </c>
      <c r="W103" s="183">
        <v>8.7703435804701621E-2</v>
      </c>
      <c r="X103" s="183">
        <v>4.7811934900542495E-2</v>
      </c>
      <c r="Y103" s="184" t="s">
        <v>1256</v>
      </c>
      <c r="Z103" s="185"/>
      <c r="AA103" s="186" t="s">
        <v>1279</v>
      </c>
      <c r="AB103" s="187" t="s">
        <v>1267</v>
      </c>
      <c r="AC103" s="188">
        <v>1.1842078517965553</v>
      </c>
      <c r="AD103" s="186">
        <v>4655</v>
      </c>
      <c r="AE103" s="187" t="s">
        <v>390</v>
      </c>
    </row>
    <row r="104" spans="1:31" x14ac:dyDescent="0.2">
      <c r="A104" s="189" t="s">
        <v>392</v>
      </c>
      <c r="B104" s="190" t="s">
        <v>78</v>
      </c>
      <c r="C104" s="196" t="s">
        <v>200</v>
      </c>
      <c r="D104" s="192">
        <v>29719</v>
      </c>
      <c r="E10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219</v>
      </c>
      <c r="F104" s="194">
        <f>IF(Entity_Unit_Costs[[#This Row],[Closing social housing units managed]]&gt;0,Entity_Unit_Costs[[#This Row],[Headline Social Housing Cost]]/Entity_Unit_Costs[[#This Row],[Closing social housing units managed]],"")</f>
        <v>7.3690231838217978E-3</v>
      </c>
      <c r="G104" s="194">
        <f>IF(Entity_Unit_Costs[[#This Row],[Closing social housing units managed]]&gt;0,Entity_Unit_Costs[[#This Row],[Management]]/Entity_Unit_Costs[[#This Row],[Closing social housing units managed]],"")</f>
        <v>1.6487768767455163E-3</v>
      </c>
      <c r="H104" s="193">
        <v>49</v>
      </c>
      <c r="I104" s="194">
        <f>IF(Entity_Unit_Costs[[#This Row],[Closing social housing units managed]]&gt;0,Entity_Unit_Costs[[#This Row],[Service charge costs]]/Entity_Unit_Costs[[#This Row],[Closing social housing units managed]],"")</f>
        <v>0</v>
      </c>
      <c r="J104" s="193">
        <v>0</v>
      </c>
      <c r="K104" s="194">
        <f>IF(Entity_Unit_Costs[[#This Row],[Closing social housing units managed]]&gt;0,(Entity_Unit_Costs[[#This Row],[Routine maintenance]]+Entity_Unit_Costs[[#This Row],[Planned maintenance]])/Entity_Unit_Costs[[#This Row],[Closing social housing units managed]],"")</f>
        <v>0</v>
      </c>
      <c r="L104" s="193">
        <v>0</v>
      </c>
      <c r="M104" s="193">
        <v>0</v>
      </c>
      <c r="N104" s="194">
        <f>IF(Entity_Unit_Costs[[#This Row],[Closing social housing units managed]]&gt;0,(Entity_Unit_Costs[[#This Row],[Major repairs expenditure]]+Entity_Unit_Costs[[#This Row],[Capitalised major repairs expenditure for period]])/Entity_Unit_Costs[[#This Row],[Closing social housing units managed]],"")</f>
        <v>1.2449947844813082E-3</v>
      </c>
      <c r="O104" s="193">
        <v>0</v>
      </c>
      <c r="P104" s="193">
        <v>37</v>
      </c>
      <c r="Q10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4.4752515225949729E-3</v>
      </c>
      <c r="R104" s="193">
        <v>0</v>
      </c>
      <c r="S104" s="193">
        <v>0</v>
      </c>
      <c r="T104" s="193">
        <v>133</v>
      </c>
      <c r="U104" s="193">
        <v>0</v>
      </c>
      <c r="V104" s="195">
        <v>0</v>
      </c>
      <c r="W104" s="183">
        <v>5.0529355149181903E-3</v>
      </c>
      <c r="X104" s="183">
        <v>6.5653787982950639E-3</v>
      </c>
      <c r="Y104" s="184" t="s">
        <v>1257</v>
      </c>
      <c r="Z104" s="185">
        <v>36976</v>
      </c>
      <c r="AA104" s="186" t="s">
        <v>1268</v>
      </c>
      <c r="AB104" s="187" t="s">
        <v>1266</v>
      </c>
      <c r="AC104" s="188">
        <v>0.90266851909138157</v>
      </c>
      <c r="AD104" s="186" t="s">
        <v>392</v>
      </c>
      <c r="AE104" s="187" t="s">
        <v>78</v>
      </c>
    </row>
    <row r="105" spans="1:31" x14ac:dyDescent="0.2">
      <c r="A105" s="189" t="s">
        <v>393</v>
      </c>
      <c r="B105" s="190" t="s">
        <v>394</v>
      </c>
      <c r="C105" s="196" t="s">
        <v>200</v>
      </c>
      <c r="D105" s="192">
        <v>160</v>
      </c>
      <c r="E10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66186</v>
      </c>
      <c r="F105" s="194">
        <f>IF(Entity_Unit_Costs[[#This Row],[Closing social housing units managed]]&gt;0,Entity_Unit_Costs[[#This Row],[Headline Social Housing Cost]]/Entity_Unit_Costs[[#This Row],[Closing social housing units managed]],"")</f>
        <v>413.66250000000002</v>
      </c>
      <c r="G105" s="194">
        <f>IF(Entity_Unit_Costs[[#This Row],[Closing social housing units managed]]&gt;0,Entity_Unit_Costs[[#This Row],[Management]]/Entity_Unit_Costs[[#This Row],[Closing social housing units managed]],"")</f>
        <v>105.03749999999999</v>
      </c>
      <c r="H105" s="193">
        <v>16806</v>
      </c>
      <c r="I105" s="194">
        <f>IF(Entity_Unit_Costs[[#This Row],[Closing social housing units managed]]&gt;0,Entity_Unit_Costs[[#This Row],[Service charge costs]]/Entity_Unit_Costs[[#This Row],[Closing social housing units managed]],"")</f>
        <v>43.512500000000003</v>
      </c>
      <c r="J105" s="193">
        <v>6962</v>
      </c>
      <c r="K105" s="194">
        <f>IF(Entity_Unit_Costs[[#This Row],[Closing social housing units managed]]&gt;0,(Entity_Unit_Costs[[#This Row],[Routine maintenance]]+Entity_Unit_Costs[[#This Row],[Planned maintenance]])/Entity_Unit_Costs[[#This Row],[Closing social housing units managed]],"")</f>
        <v>115.14375</v>
      </c>
      <c r="L105" s="193">
        <v>10718</v>
      </c>
      <c r="M105" s="193">
        <v>7705</v>
      </c>
      <c r="N105" s="194">
        <f>IF(Entity_Unit_Costs[[#This Row],[Closing social housing units managed]]&gt;0,(Entity_Unit_Costs[[#This Row],[Major repairs expenditure]]+Entity_Unit_Costs[[#This Row],[Capitalised major repairs expenditure for period]])/Entity_Unit_Costs[[#This Row],[Closing social housing units managed]],"")</f>
        <v>133.41874999999999</v>
      </c>
      <c r="O105" s="193">
        <v>0</v>
      </c>
      <c r="P105" s="193">
        <v>21347</v>
      </c>
      <c r="Q10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16.55</v>
      </c>
      <c r="R105" s="193">
        <v>0</v>
      </c>
      <c r="S105" s="193">
        <v>0</v>
      </c>
      <c r="T105" s="193">
        <v>2648</v>
      </c>
      <c r="U105" s="193">
        <v>0</v>
      </c>
      <c r="V105" s="195">
        <v>0</v>
      </c>
      <c r="W105" s="183">
        <v>0.17499999999999999</v>
      </c>
      <c r="X105" s="183">
        <v>0</v>
      </c>
      <c r="Y105" s="184" t="s">
        <v>1257</v>
      </c>
      <c r="Z105" s="185">
        <v>36591</v>
      </c>
      <c r="AA105" s="186" t="s">
        <v>1268</v>
      </c>
      <c r="AB105" s="187" t="s">
        <v>1267</v>
      </c>
      <c r="AC105" s="188">
        <v>1.2488627787394371</v>
      </c>
      <c r="AD105" s="186">
        <v>4834</v>
      </c>
      <c r="AE105" s="187" t="s">
        <v>590</v>
      </c>
    </row>
    <row r="106" spans="1:31" x14ac:dyDescent="0.2">
      <c r="A106" s="197">
        <v>4584</v>
      </c>
      <c r="B106" s="190" t="s">
        <v>396</v>
      </c>
      <c r="C106" s="196" t="s">
        <v>200</v>
      </c>
      <c r="D106" s="192">
        <v>4791</v>
      </c>
      <c r="E10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18989</v>
      </c>
      <c r="F106" s="194">
        <f>IF(Entity_Unit_Costs[[#This Row],[Closing social housing units managed]]&gt;0,Entity_Unit_Costs[[#This Row],[Headline Social Housing Cost]]/Entity_Unit_Costs[[#This Row],[Closing social housing units managed]],"")</f>
        <v>3.9634731788770612</v>
      </c>
      <c r="G106" s="194">
        <f>IF(Entity_Unit_Costs[[#This Row],[Closing social housing units managed]]&gt;0,Entity_Unit_Costs[[#This Row],[Management]]/Entity_Unit_Costs[[#This Row],[Closing social housing units managed]],"")</f>
        <v>1.5495721143811312</v>
      </c>
      <c r="H106" s="193">
        <v>7424</v>
      </c>
      <c r="I106" s="194">
        <f>IF(Entity_Unit_Costs[[#This Row],[Closing social housing units managed]]&gt;0,Entity_Unit_Costs[[#This Row],[Service charge costs]]/Entity_Unit_Costs[[#This Row],[Closing social housing units managed]],"")</f>
        <v>0.27134209977040286</v>
      </c>
      <c r="J106" s="193">
        <v>1300</v>
      </c>
      <c r="K106" s="194">
        <f>IF(Entity_Unit_Costs[[#This Row],[Closing social housing units managed]]&gt;0,(Entity_Unit_Costs[[#This Row],[Routine maintenance]]+Entity_Unit_Costs[[#This Row],[Planned maintenance]])/Entity_Unit_Costs[[#This Row],[Closing social housing units managed]],"")</f>
        <v>0.88895846378626586</v>
      </c>
      <c r="L106" s="193">
        <v>3793</v>
      </c>
      <c r="M106" s="193">
        <v>466</v>
      </c>
      <c r="N106" s="194">
        <f>IF(Entity_Unit_Costs[[#This Row],[Closing social housing units managed]]&gt;0,(Entity_Unit_Costs[[#This Row],[Major repairs expenditure]]+Entity_Unit_Costs[[#This Row],[Capitalised major repairs expenditure for period]])/Entity_Unit_Costs[[#This Row],[Closing social housing units managed]],"")</f>
        <v>1.1352536005009393</v>
      </c>
      <c r="O106" s="193">
        <v>84</v>
      </c>
      <c r="P106" s="193">
        <v>5355</v>
      </c>
      <c r="Q10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0.11834690043832186</v>
      </c>
      <c r="R106" s="193">
        <v>372</v>
      </c>
      <c r="S106" s="193">
        <v>0</v>
      </c>
      <c r="T106" s="193">
        <v>195</v>
      </c>
      <c r="U106" s="193">
        <v>0</v>
      </c>
      <c r="V106" s="195">
        <v>0</v>
      </c>
      <c r="W106" s="183">
        <v>6.2472110664881751E-3</v>
      </c>
      <c r="X106" s="183">
        <v>0.10553324408746095</v>
      </c>
      <c r="Y106" s="184" t="s">
        <v>1257</v>
      </c>
      <c r="Z106" s="185">
        <v>42079</v>
      </c>
      <c r="AA106" s="186" t="s">
        <v>1269</v>
      </c>
      <c r="AB106" s="187" t="s">
        <v>1265</v>
      </c>
      <c r="AC106" s="188">
        <v>0.96617455710897804</v>
      </c>
      <c r="AD106" s="186">
        <v>4584</v>
      </c>
      <c r="AE106" s="187" t="s">
        <v>396</v>
      </c>
    </row>
    <row r="107" spans="1:31" x14ac:dyDescent="0.2">
      <c r="A107" s="197">
        <v>4631</v>
      </c>
      <c r="B107" s="190" t="s">
        <v>398</v>
      </c>
      <c r="C107" s="196" t="s">
        <v>200</v>
      </c>
      <c r="D107" s="192">
        <v>8430</v>
      </c>
      <c r="E10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24526</v>
      </c>
      <c r="F107" s="194">
        <f>IF(Entity_Unit_Costs[[#This Row],[Closing social housing units managed]]&gt;0,Entity_Unit_Costs[[#This Row],[Headline Social Housing Cost]]/Entity_Unit_Costs[[#This Row],[Closing social housing units managed]],"")</f>
        <v>2.9093712930011861</v>
      </c>
      <c r="G107" s="194">
        <f>IF(Entity_Unit_Costs[[#This Row],[Closing social housing units managed]]&gt;0,Entity_Unit_Costs[[#This Row],[Management]]/Entity_Unit_Costs[[#This Row],[Closing social housing units managed]],"")</f>
        <v>0.96310794780545672</v>
      </c>
      <c r="H107" s="193">
        <v>8119</v>
      </c>
      <c r="I107" s="194">
        <f>IF(Entity_Unit_Costs[[#This Row],[Closing social housing units managed]]&gt;0,Entity_Unit_Costs[[#This Row],[Service charge costs]]/Entity_Unit_Costs[[#This Row],[Closing social housing units managed]],"")</f>
        <v>0.11921708185053381</v>
      </c>
      <c r="J107" s="193">
        <v>1005</v>
      </c>
      <c r="K107" s="194">
        <f>IF(Entity_Unit_Costs[[#This Row],[Closing social housing units managed]]&gt;0,(Entity_Unit_Costs[[#This Row],[Routine maintenance]]+Entity_Unit_Costs[[#This Row],[Planned maintenance]])/Entity_Unit_Costs[[#This Row],[Closing social housing units managed]],"")</f>
        <v>1.1357058125741399</v>
      </c>
      <c r="L107" s="193">
        <v>5986</v>
      </c>
      <c r="M107" s="193">
        <v>3588</v>
      </c>
      <c r="N107" s="194">
        <f>IF(Entity_Unit_Costs[[#This Row],[Closing social housing units managed]]&gt;0,(Entity_Unit_Costs[[#This Row],[Major repairs expenditure]]+Entity_Unit_Costs[[#This Row],[Capitalised major repairs expenditure for period]])/Entity_Unit_Costs[[#This Row],[Closing social housing units managed]],"")</f>
        <v>0.49572953736654807</v>
      </c>
      <c r="O107" s="193">
        <v>1090</v>
      </c>
      <c r="P107" s="193">
        <v>3089</v>
      </c>
      <c r="Q10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0.1956109134045077</v>
      </c>
      <c r="R107" s="193">
        <v>306</v>
      </c>
      <c r="S107" s="193">
        <v>261</v>
      </c>
      <c r="T107" s="193">
        <v>0</v>
      </c>
      <c r="U107" s="193">
        <v>0</v>
      </c>
      <c r="V107" s="195">
        <v>1082</v>
      </c>
      <c r="W107" s="183">
        <v>0</v>
      </c>
      <c r="X107" s="183">
        <v>0.16812072624381041</v>
      </c>
      <c r="Y107" s="184" t="s">
        <v>1257</v>
      </c>
      <c r="Z107" s="185">
        <v>40511</v>
      </c>
      <c r="AA107" s="186" t="s">
        <v>1269</v>
      </c>
      <c r="AB107" s="187" t="s">
        <v>1262</v>
      </c>
      <c r="AC107" s="188">
        <v>0.9156653862445665</v>
      </c>
      <c r="AD107" s="186">
        <v>4802</v>
      </c>
      <c r="AE107" s="187" t="s">
        <v>776</v>
      </c>
    </row>
    <row r="108" spans="1:31" x14ac:dyDescent="0.2">
      <c r="A108" s="197">
        <v>4803</v>
      </c>
      <c r="B108" s="190" t="s">
        <v>400</v>
      </c>
      <c r="C108" s="196" t="s">
        <v>200</v>
      </c>
      <c r="D108" s="192">
        <v>1775</v>
      </c>
      <c r="E10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9734</v>
      </c>
      <c r="F108" s="194">
        <f>IF(Entity_Unit_Costs[[#This Row],[Closing social housing units managed]]&gt;0,Entity_Unit_Costs[[#This Row],[Headline Social Housing Cost]]/Entity_Unit_Costs[[#This Row],[Closing social housing units managed]],"")</f>
        <v>5.4839436619718311</v>
      </c>
      <c r="G108" s="194">
        <f>IF(Entity_Unit_Costs[[#This Row],[Closing social housing units managed]]&gt;0,Entity_Unit_Costs[[#This Row],[Management]]/Entity_Unit_Costs[[#This Row],[Closing social housing units managed]],"")</f>
        <v>2.1030985915492959</v>
      </c>
      <c r="H108" s="193">
        <v>3733</v>
      </c>
      <c r="I108" s="194">
        <f>IF(Entity_Unit_Costs[[#This Row],[Closing social housing units managed]]&gt;0,Entity_Unit_Costs[[#This Row],[Service charge costs]]/Entity_Unit_Costs[[#This Row],[Closing social housing units managed]],"")</f>
        <v>0.26084507042253519</v>
      </c>
      <c r="J108" s="193">
        <v>463</v>
      </c>
      <c r="K108" s="194">
        <f>IF(Entity_Unit_Costs[[#This Row],[Closing social housing units managed]]&gt;0,(Entity_Unit_Costs[[#This Row],[Routine maintenance]]+Entity_Unit_Costs[[#This Row],[Planned maintenance]])/Entity_Unit_Costs[[#This Row],[Closing social housing units managed]],"")</f>
        <v>0.8546478873239437</v>
      </c>
      <c r="L108" s="193">
        <v>644</v>
      </c>
      <c r="M108" s="193">
        <v>873</v>
      </c>
      <c r="N108" s="194">
        <f>IF(Entity_Unit_Costs[[#This Row],[Closing social housing units managed]]&gt;0,(Entity_Unit_Costs[[#This Row],[Major repairs expenditure]]+Entity_Unit_Costs[[#This Row],[Capitalised major repairs expenditure for period]])/Entity_Unit_Costs[[#This Row],[Closing social housing units managed]],"")</f>
        <v>0.36394366197183098</v>
      </c>
      <c r="O108" s="193">
        <v>145</v>
      </c>
      <c r="P108" s="193">
        <v>501</v>
      </c>
      <c r="Q10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1.9014084507042253</v>
      </c>
      <c r="R108" s="193">
        <v>3375</v>
      </c>
      <c r="S108" s="193">
        <v>0</v>
      </c>
      <c r="T108" s="193">
        <v>0</v>
      </c>
      <c r="U108" s="193">
        <v>0</v>
      </c>
      <c r="V108" s="195">
        <v>0</v>
      </c>
      <c r="W108" s="183">
        <v>0.96106914584543868</v>
      </c>
      <c r="X108" s="183">
        <v>3.7768739105171409E-2</v>
      </c>
      <c r="Y108" s="184" t="s">
        <v>1256</v>
      </c>
      <c r="Z108" s="185"/>
      <c r="AA108" s="186" t="s">
        <v>1279</v>
      </c>
      <c r="AB108" s="187" t="s">
        <v>1258</v>
      </c>
      <c r="AC108" s="188">
        <v>0.98977341922715956</v>
      </c>
      <c r="AD108" s="186">
        <v>4803</v>
      </c>
      <c r="AE108" s="187" t="s">
        <v>400</v>
      </c>
    </row>
    <row r="109" spans="1:31" x14ac:dyDescent="0.2">
      <c r="A109" s="189" t="s">
        <v>81</v>
      </c>
      <c r="B109" s="190" t="s">
        <v>80</v>
      </c>
      <c r="C109" s="191" t="s">
        <v>200</v>
      </c>
      <c r="D109" s="192">
        <v>6764</v>
      </c>
      <c r="E10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22594</v>
      </c>
      <c r="F109" s="194">
        <f>IF(Entity_Unit_Costs[[#This Row],[Closing social housing units managed]]&gt;0,Entity_Unit_Costs[[#This Row],[Headline Social Housing Cost]]/Entity_Unit_Costs[[#This Row],[Closing social housing units managed]],"")</f>
        <v>3.3403311649911296</v>
      </c>
      <c r="G109" s="194">
        <f>IF(Entity_Unit_Costs[[#This Row],[Closing social housing units managed]]&gt;0,Entity_Unit_Costs[[#This Row],[Management]]/Entity_Unit_Costs[[#This Row],[Closing social housing units managed]],"")</f>
        <v>0.87950916617386166</v>
      </c>
      <c r="H109" s="193">
        <v>5949</v>
      </c>
      <c r="I109" s="194">
        <f>IF(Entity_Unit_Costs[[#This Row],[Closing social housing units managed]]&gt;0,Entity_Unit_Costs[[#This Row],[Service charge costs]]/Entity_Unit_Costs[[#This Row],[Closing social housing units managed]],"")</f>
        <v>0.26330573625073922</v>
      </c>
      <c r="J109" s="193">
        <v>1781</v>
      </c>
      <c r="K109" s="194">
        <f>IF(Entity_Unit_Costs[[#This Row],[Closing social housing units managed]]&gt;0,(Entity_Unit_Costs[[#This Row],[Routine maintenance]]+Entity_Unit_Costs[[#This Row],[Planned maintenance]])/Entity_Unit_Costs[[#This Row],[Closing social housing units managed]],"")</f>
        <v>1.0136014192785334</v>
      </c>
      <c r="L109" s="193">
        <v>4996</v>
      </c>
      <c r="M109" s="193">
        <v>1860</v>
      </c>
      <c r="N109" s="194">
        <f>IF(Entity_Unit_Costs[[#This Row],[Closing social housing units managed]]&gt;0,(Entity_Unit_Costs[[#This Row],[Major repairs expenditure]]+Entity_Unit_Costs[[#This Row],[Capitalised major repairs expenditure for period]])/Entity_Unit_Costs[[#This Row],[Closing social housing units managed]],"")</f>
        <v>1.023211117681845</v>
      </c>
      <c r="O109" s="193">
        <v>2679</v>
      </c>
      <c r="P109" s="193">
        <v>4242</v>
      </c>
      <c r="Q10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0.16070372560615021</v>
      </c>
      <c r="R109" s="193">
        <v>179</v>
      </c>
      <c r="S109" s="193">
        <v>735</v>
      </c>
      <c r="T109" s="193">
        <v>173</v>
      </c>
      <c r="U109" s="193">
        <v>0</v>
      </c>
      <c r="V109" s="195">
        <v>0</v>
      </c>
      <c r="W109" s="183">
        <v>0</v>
      </c>
      <c r="X109" s="183">
        <v>0.14429331756357186</v>
      </c>
      <c r="Y109" s="184" t="s">
        <v>1257</v>
      </c>
      <c r="Z109" s="185">
        <v>38019</v>
      </c>
      <c r="AA109" s="186" t="s">
        <v>1268</v>
      </c>
      <c r="AB109" s="187" t="s">
        <v>1259</v>
      </c>
      <c r="AC109" s="188">
        <v>1.0118524159776632</v>
      </c>
      <c r="AD109" s="186" t="s">
        <v>81</v>
      </c>
      <c r="AE109" s="187" t="s">
        <v>80</v>
      </c>
    </row>
    <row r="110" spans="1:31" x14ac:dyDescent="0.2">
      <c r="A110" s="189" t="s">
        <v>84</v>
      </c>
      <c r="B110" s="190" t="s">
        <v>83</v>
      </c>
      <c r="C110" s="196" t="s">
        <v>200</v>
      </c>
      <c r="D110" s="192">
        <v>15642</v>
      </c>
      <c r="E11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52403</v>
      </c>
      <c r="F110" s="194">
        <f>IF(Entity_Unit_Costs[[#This Row],[Closing social housing units managed]]&gt;0,Entity_Unit_Costs[[#This Row],[Headline Social Housing Cost]]/Entity_Unit_Costs[[#This Row],[Closing social housing units managed]],"")</f>
        <v>3.3501470400204578</v>
      </c>
      <c r="G110" s="194">
        <f>IF(Entity_Unit_Costs[[#This Row],[Closing social housing units managed]]&gt;0,Entity_Unit_Costs[[#This Row],[Management]]/Entity_Unit_Costs[[#This Row],[Closing social housing units managed]],"")</f>
        <v>1.1178877381409027</v>
      </c>
      <c r="H110" s="193">
        <v>17486</v>
      </c>
      <c r="I110" s="194">
        <f>IF(Entity_Unit_Costs[[#This Row],[Closing social housing units managed]]&gt;0,Entity_Unit_Costs[[#This Row],[Service charge costs]]/Entity_Unit_Costs[[#This Row],[Closing social housing units managed]],"")</f>
        <v>0.38045007032348804</v>
      </c>
      <c r="J110" s="193">
        <v>5951</v>
      </c>
      <c r="K110" s="194">
        <f>IF(Entity_Unit_Costs[[#This Row],[Closing social housing units managed]]&gt;0,(Entity_Unit_Costs[[#This Row],[Routine maintenance]]+Entity_Unit_Costs[[#This Row],[Planned maintenance]])/Entity_Unit_Costs[[#This Row],[Closing social housing units managed]],"")</f>
        <v>0.62325789540979415</v>
      </c>
      <c r="L110" s="193">
        <v>6917</v>
      </c>
      <c r="M110" s="193">
        <v>2832</v>
      </c>
      <c r="N110" s="194">
        <f>IF(Entity_Unit_Costs[[#This Row],[Closing social housing units managed]]&gt;0,(Entity_Unit_Costs[[#This Row],[Major repairs expenditure]]+Entity_Unit_Costs[[#This Row],[Capitalised major repairs expenditure for period]])/Entity_Unit_Costs[[#This Row],[Closing social housing units managed]],"")</f>
        <v>0.96004347270170054</v>
      </c>
      <c r="O110" s="193">
        <v>4758</v>
      </c>
      <c r="P110" s="193">
        <v>10259</v>
      </c>
      <c r="Q11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0.26850786344457228</v>
      </c>
      <c r="R110" s="193">
        <v>264</v>
      </c>
      <c r="S110" s="193">
        <v>3259</v>
      </c>
      <c r="T110" s="193">
        <v>677</v>
      </c>
      <c r="U110" s="193">
        <v>0</v>
      </c>
      <c r="V110" s="195">
        <v>0</v>
      </c>
      <c r="W110" s="183">
        <v>6.8093981964296668E-2</v>
      </c>
      <c r="X110" s="183">
        <v>1.895589227654745E-2</v>
      </c>
      <c r="Y110" s="184" t="s">
        <v>1256</v>
      </c>
      <c r="Z110" s="185"/>
      <c r="AA110" s="186" t="s">
        <v>1279</v>
      </c>
      <c r="AB110" s="187" t="s">
        <v>1262</v>
      </c>
      <c r="AC110" s="188">
        <v>0.91999722305934639</v>
      </c>
      <c r="AD110" s="186" t="s">
        <v>1234</v>
      </c>
      <c r="AE110" s="187" t="s">
        <v>85</v>
      </c>
    </row>
    <row r="111" spans="1:31" x14ac:dyDescent="0.2">
      <c r="A111" s="189" t="s">
        <v>403</v>
      </c>
      <c r="B111" s="190" t="s">
        <v>404</v>
      </c>
      <c r="C111" s="196" t="s">
        <v>200</v>
      </c>
      <c r="D111" s="192">
        <v>7924</v>
      </c>
      <c r="E11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23553</v>
      </c>
      <c r="F111" s="194">
        <f>IF(Entity_Unit_Costs[[#This Row],[Closing social housing units managed]]&gt;0,Entity_Unit_Costs[[#This Row],[Headline Social Housing Cost]]/Entity_Unit_Costs[[#This Row],[Closing social housing units managed]],"")</f>
        <v>2.9723624432104998</v>
      </c>
      <c r="G111" s="194">
        <f>IF(Entity_Unit_Costs[[#This Row],[Closing social housing units managed]]&gt;0,Entity_Unit_Costs[[#This Row],[Management]]/Entity_Unit_Costs[[#This Row],[Closing social housing units managed]],"")</f>
        <v>0.97677940434124177</v>
      </c>
      <c r="H111" s="193">
        <v>7740</v>
      </c>
      <c r="I111" s="194">
        <f>IF(Entity_Unit_Costs[[#This Row],[Closing social housing units managed]]&gt;0,Entity_Unit_Costs[[#This Row],[Service charge costs]]/Entity_Unit_Costs[[#This Row],[Closing social housing units managed]],"")</f>
        <v>0.11055022715800102</v>
      </c>
      <c r="J111" s="193">
        <v>876</v>
      </c>
      <c r="K111" s="194">
        <f>IF(Entity_Unit_Costs[[#This Row],[Closing social housing units managed]]&gt;0,(Entity_Unit_Costs[[#This Row],[Routine maintenance]]+Entity_Unit_Costs[[#This Row],[Planned maintenance]])/Entity_Unit_Costs[[#This Row],[Closing social housing units managed]],"")</f>
        <v>1.0248611812216053</v>
      </c>
      <c r="L111" s="193">
        <v>4465</v>
      </c>
      <c r="M111" s="193">
        <v>3656</v>
      </c>
      <c r="N111" s="194">
        <f>IF(Entity_Unit_Costs[[#This Row],[Closing social housing units managed]]&gt;0,(Entity_Unit_Costs[[#This Row],[Major repairs expenditure]]+Entity_Unit_Costs[[#This Row],[Capitalised major repairs expenditure for period]])/Entity_Unit_Costs[[#This Row],[Closing social housing units managed]],"")</f>
        <v>0.77751135790005044</v>
      </c>
      <c r="O111" s="193">
        <v>2834</v>
      </c>
      <c r="P111" s="193">
        <v>3327</v>
      </c>
      <c r="Q11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8.2660272589601208E-2</v>
      </c>
      <c r="R111" s="193">
        <v>0</v>
      </c>
      <c r="S111" s="193">
        <v>202</v>
      </c>
      <c r="T111" s="193">
        <v>178</v>
      </c>
      <c r="U111" s="193">
        <v>275</v>
      </c>
      <c r="V111" s="195">
        <v>0</v>
      </c>
      <c r="W111" s="183">
        <v>0</v>
      </c>
      <c r="X111" s="183">
        <v>5.1362948006057549E-2</v>
      </c>
      <c r="Y111" s="184" t="s">
        <v>1257</v>
      </c>
      <c r="Z111" s="185">
        <v>39398</v>
      </c>
      <c r="AA111" s="186" t="s">
        <v>1280</v>
      </c>
      <c r="AB111" s="187" t="s">
        <v>1263</v>
      </c>
      <c r="AC111" s="188">
        <v>1.0022399874355168</v>
      </c>
      <c r="AD111" s="186" t="s">
        <v>403</v>
      </c>
      <c r="AE111" s="187" t="s">
        <v>404</v>
      </c>
    </row>
    <row r="112" spans="1:31" x14ac:dyDescent="0.2">
      <c r="A112" s="197">
        <v>4833</v>
      </c>
      <c r="B112" s="190" t="s">
        <v>406</v>
      </c>
      <c r="C112" s="196" t="s">
        <v>865</v>
      </c>
      <c r="D112" s="192">
        <v>4104</v>
      </c>
      <c r="E11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11421</v>
      </c>
      <c r="F112" s="194">
        <f>IF(Entity_Unit_Costs[[#This Row],[Closing social housing units managed]]&gt;0,Entity_Unit_Costs[[#This Row],[Headline Social Housing Cost]]/Entity_Unit_Costs[[#This Row],[Closing social housing units managed]],"")</f>
        <v>2.7828947368421053</v>
      </c>
      <c r="G112" s="194">
        <f>IF(Entity_Unit_Costs[[#This Row],[Closing social housing units managed]]&gt;0,Entity_Unit_Costs[[#This Row],[Management]]/Entity_Unit_Costs[[#This Row],[Closing social housing units managed]],"")</f>
        <v>1.1016081871345029</v>
      </c>
      <c r="H112" s="193">
        <v>4521</v>
      </c>
      <c r="I112" s="194">
        <f>IF(Entity_Unit_Costs[[#This Row],[Closing social housing units managed]]&gt;0,Entity_Unit_Costs[[#This Row],[Service charge costs]]/Entity_Unit_Costs[[#This Row],[Closing social housing units managed]],"")</f>
        <v>0.35623781676413258</v>
      </c>
      <c r="J112" s="193">
        <v>1462</v>
      </c>
      <c r="K112" s="194">
        <f>IF(Entity_Unit_Costs[[#This Row],[Closing social housing units managed]]&gt;0,(Entity_Unit_Costs[[#This Row],[Routine maintenance]]+Entity_Unit_Costs[[#This Row],[Planned maintenance]])/Entity_Unit_Costs[[#This Row],[Closing social housing units managed]],"")</f>
        <v>0.95370370370370372</v>
      </c>
      <c r="L112" s="193">
        <v>2603</v>
      </c>
      <c r="M112" s="193">
        <v>1311</v>
      </c>
      <c r="N112" s="194">
        <f>IF(Entity_Unit_Costs[[#This Row],[Closing social housing units managed]]&gt;0,(Entity_Unit_Costs[[#This Row],[Major repairs expenditure]]+Entity_Unit_Costs[[#This Row],[Capitalised major repairs expenditure for period]])/Entity_Unit_Costs[[#This Row],[Closing social housing units managed]],"")</f>
        <v>0.31554580896686157</v>
      </c>
      <c r="O112" s="193">
        <v>0</v>
      </c>
      <c r="P112" s="193">
        <v>1295</v>
      </c>
      <c r="Q11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5.579922027290448E-2</v>
      </c>
      <c r="R112" s="193">
        <v>0</v>
      </c>
      <c r="S112" s="193">
        <v>27</v>
      </c>
      <c r="T112" s="193">
        <v>202</v>
      </c>
      <c r="U112" s="193">
        <v>0</v>
      </c>
      <c r="V112" s="195">
        <v>0</v>
      </c>
      <c r="W112" s="183">
        <v>5.1574510290106623E-2</v>
      </c>
      <c r="X112" s="183">
        <v>0.13339945450037194</v>
      </c>
      <c r="Y112" s="184" t="s">
        <v>1256</v>
      </c>
      <c r="Z112" s="185"/>
      <c r="AA112" s="186" t="s">
        <v>1279</v>
      </c>
      <c r="AB112" s="187" t="s">
        <v>1259</v>
      </c>
      <c r="AC112" s="188">
        <v>1.0036399231121584</v>
      </c>
      <c r="AD112" s="186">
        <v>4833</v>
      </c>
      <c r="AE112" s="187" t="s">
        <v>406</v>
      </c>
    </row>
    <row r="113" spans="1:31" x14ac:dyDescent="0.2">
      <c r="A113" s="189" t="s">
        <v>408</v>
      </c>
      <c r="B113" s="190" t="s">
        <v>409</v>
      </c>
      <c r="C113" s="196" t="s">
        <v>200</v>
      </c>
      <c r="D113" s="192">
        <v>179</v>
      </c>
      <c r="E11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8592</v>
      </c>
      <c r="F113" s="194">
        <f>IF(Entity_Unit_Costs[[#This Row],[Closing social housing units managed]]&gt;0,Entity_Unit_Costs[[#This Row],[Headline Social Housing Cost]]/Entity_Unit_Costs[[#This Row],[Closing social housing units managed]],"")</f>
        <v>48</v>
      </c>
      <c r="G113" s="194">
        <f>IF(Entity_Unit_Costs[[#This Row],[Closing social housing units managed]]&gt;0,Entity_Unit_Costs[[#This Row],[Management]]/Entity_Unit_Costs[[#This Row],[Closing social housing units managed]],"")</f>
        <v>0.20670391061452514</v>
      </c>
      <c r="H113" s="193">
        <v>37</v>
      </c>
      <c r="I113" s="194">
        <f>IF(Entity_Unit_Costs[[#This Row],[Closing social housing units managed]]&gt;0,Entity_Unit_Costs[[#This Row],[Service charge costs]]/Entity_Unit_Costs[[#This Row],[Closing social housing units managed]],"")</f>
        <v>37.195530726256983</v>
      </c>
      <c r="J113" s="193">
        <v>6658</v>
      </c>
      <c r="K113" s="194">
        <f>IF(Entity_Unit_Costs[[#This Row],[Closing social housing units managed]]&gt;0,(Entity_Unit_Costs[[#This Row],[Routine maintenance]]+Entity_Unit_Costs[[#This Row],[Planned maintenance]])/Entity_Unit_Costs[[#This Row],[Closing social housing units managed]],"")</f>
        <v>4.2960893854748603</v>
      </c>
      <c r="L113" s="193">
        <v>569</v>
      </c>
      <c r="M113" s="193">
        <v>200</v>
      </c>
      <c r="N113" s="194">
        <f>IF(Entity_Unit_Costs[[#This Row],[Closing social housing units managed]]&gt;0,(Entity_Unit_Costs[[#This Row],[Major repairs expenditure]]+Entity_Unit_Costs[[#This Row],[Capitalised major repairs expenditure for period]])/Entity_Unit_Costs[[#This Row],[Closing social housing units managed]],"")</f>
        <v>5.6759776536312847</v>
      </c>
      <c r="O113" s="193">
        <v>0</v>
      </c>
      <c r="P113" s="193">
        <v>1016</v>
      </c>
      <c r="Q11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0.62569832402234637</v>
      </c>
      <c r="R113" s="193">
        <v>112</v>
      </c>
      <c r="S113" s="193">
        <v>0</v>
      </c>
      <c r="T113" s="193">
        <v>0</v>
      </c>
      <c r="U113" s="193">
        <v>0</v>
      </c>
      <c r="V113" s="195">
        <v>0</v>
      </c>
      <c r="W113" s="183">
        <v>0.15686274509803921</v>
      </c>
      <c r="X113" s="183">
        <v>0.78213507625272327</v>
      </c>
      <c r="Y113" s="184" t="s">
        <v>1256</v>
      </c>
      <c r="Z113" s="185"/>
      <c r="AA113" s="186" t="s">
        <v>1279</v>
      </c>
      <c r="AB113" s="187" t="s">
        <v>1265</v>
      </c>
      <c r="AC113" s="188">
        <v>0.96617455710897793</v>
      </c>
      <c r="AD113" s="186">
        <v>4729</v>
      </c>
      <c r="AE113" s="187" t="s">
        <v>748</v>
      </c>
    </row>
    <row r="114" spans="1:31" x14ac:dyDescent="0.2">
      <c r="A114" s="189" t="s">
        <v>410</v>
      </c>
      <c r="B114" s="190" t="s">
        <v>411</v>
      </c>
      <c r="C114" s="196" t="s">
        <v>200</v>
      </c>
      <c r="D114" s="192">
        <v>0</v>
      </c>
      <c r="E11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2300</v>
      </c>
      <c r="F114" s="194" t="str">
        <f>IF(Entity_Unit_Costs[[#This Row],[Closing social housing units managed]]&gt;0,Entity_Unit_Costs[[#This Row],[Headline Social Housing Cost]]/Entity_Unit_Costs[[#This Row],[Closing social housing units managed]],"")</f>
        <v/>
      </c>
      <c r="G114" s="194" t="str">
        <f>IF(Entity_Unit_Costs[[#This Row],[Closing social housing units managed]]&gt;0,Entity_Unit_Costs[[#This Row],[Management]]/Entity_Unit_Costs[[#This Row],[Closing social housing units managed]],"")</f>
        <v/>
      </c>
      <c r="H114" s="193">
        <v>701</v>
      </c>
      <c r="I114" s="194" t="str">
        <f>IF(Entity_Unit_Costs[[#This Row],[Closing social housing units managed]]&gt;0,Entity_Unit_Costs[[#This Row],[Service charge costs]]/Entity_Unit_Costs[[#This Row],[Closing social housing units managed]],"")</f>
        <v/>
      </c>
      <c r="J114" s="193">
        <v>481</v>
      </c>
      <c r="K114" s="194" t="str">
        <f>IF(Entity_Unit_Costs[[#This Row],[Closing social housing units managed]]&gt;0,(Entity_Unit_Costs[[#This Row],[Routine maintenance]]+Entity_Unit_Costs[[#This Row],[Planned maintenance]])/Entity_Unit_Costs[[#This Row],[Closing social housing units managed]],"")</f>
        <v/>
      </c>
      <c r="L114" s="193">
        <v>382</v>
      </c>
      <c r="M114" s="193">
        <v>0</v>
      </c>
      <c r="N114" s="194" t="str">
        <f>IF(Entity_Unit_Costs[[#This Row],[Closing social housing units managed]]&gt;0,(Entity_Unit_Costs[[#This Row],[Major repairs expenditure]]+Entity_Unit_Costs[[#This Row],[Capitalised major repairs expenditure for period]])/Entity_Unit_Costs[[#This Row],[Closing social housing units managed]],"")</f>
        <v/>
      </c>
      <c r="O114" s="193">
        <v>162</v>
      </c>
      <c r="P114" s="193">
        <v>445</v>
      </c>
      <c r="Q114" s="194" t="str">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
      </c>
      <c r="R114" s="193">
        <v>0</v>
      </c>
      <c r="S114" s="193">
        <v>129</v>
      </c>
      <c r="T114" s="193">
        <v>0</v>
      </c>
      <c r="U114" s="193">
        <v>0</v>
      </c>
      <c r="V114" s="195">
        <v>0</v>
      </c>
      <c r="W114" s="183">
        <v>1.0169491525423728E-2</v>
      </c>
      <c r="X114" s="183">
        <v>0.55762711864406778</v>
      </c>
      <c r="Y114" s="184" t="s">
        <v>1256</v>
      </c>
      <c r="Z114" s="185"/>
      <c r="AA114" s="186" t="s">
        <v>1279</v>
      </c>
      <c r="AB114" s="187" t="s">
        <v>1265</v>
      </c>
      <c r="AC114" s="188">
        <v>0.96617455710897815</v>
      </c>
      <c r="AD114" s="186">
        <v>4729</v>
      </c>
      <c r="AE114" s="187" t="s">
        <v>748</v>
      </c>
    </row>
    <row r="115" spans="1:31" x14ac:dyDescent="0.2">
      <c r="A115" s="189" t="s">
        <v>412</v>
      </c>
      <c r="B115" s="190" t="s">
        <v>413</v>
      </c>
      <c r="C115" s="191" t="s">
        <v>200</v>
      </c>
      <c r="D115" s="192">
        <v>3292</v>
      </c>
      <c r="E11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15375</v>
      </c>
      <c r="F115" s="194">
        <f>IF(Entity_Unit_Costs[[#This Row],[Closing social housing units managed]]&gt;0,Entity_Unit_Costs[[#This Row],[Headline Social Housing Cost]]/Entity_Unit_Costs[[#This Row],[Closing social housing units managed]],"")</f>
        <v>4.67041312272175</v>
      </c>
      <c r="G115" s="194">
        <f>IF(Entity_Unit_Costs[[#This Row],[Closing social housing units managed]]&gt;0,Entity_Unit_Costs[[#This Row],[Management]]/Entity_Unit_Costs[[#This Row],[Closing social housing units managed]],"")</f>
        <v>1.1278857837181044</v>
      </c>
      <c r="H115" s="193">
        <v>3713</v>
      </c>
      <c r="I115" s="194">
        <f>IF(Entity_Unit_Costs[[#This Row],[Closing social housing units managed]]&gt;0,Entity_Unit_Costs[[#This Row],[Service charge costs]]/Entity_Unit_Costs[[#This Row],[Closing social housing units managed]],"")</f>
        <v>1.1239368165249088</v>
      </c>
      <c r="J115" s="193">
        <v>3700</v>
      </c>
      <c r="K115" s="194">
        <f>IF(Entity_Unit_Costs[[#This Row],[Closing social housing units managed]]&gt;0,(Entity_Unit_Costs[[#This Row],[Routine maintenance]]+Entity_Unit_Costs[[#This Row],[Planned maintenance]])/Entity_Unit_Costs[[#This Row],[Closing social housing units managed]],"")</f>
        <v>1.4310449574726609</v>
      </c>
      <c r="L115" s="193">
        <v>3056</v>
      </c>
      <c r="M115" s="193">
        <v>1655</v>
      </c>
      <c r="N115" s="194">
        <f>IF(Entity_Unit_Costs[[#This Row],[Closing social housing units managed]]&gt;0,(Entity_Unit_Costs[[#This Row],[Major repairs expenditure]]+Entity_Unit_Costs[[#This Row],[Capitalised major repairs expenditure for period]])/Entity_Unit_Costs[[#This Row],[Closing social housing units managed]],"")</f>
        <v>0.92952612393681655</v>
      </c>
      <c r="O115" s="193">
        <v>589</v>
      </c>
      <c r="P115" s="193">
        <v>2471</v>
      </c>
      <c r="Q11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5.8019441069258812E-2</v>
      </c>
      <c r="R115" s="193">
        <v>191</v>
      </c>
      <c r="S115" s="193">
        <v>0</v>
      </c>
      <c r="T115" s="193">
        <v>0</v>
      </c>
      <c r="U115" s="193">
        <v>0</v>
      </c>
      <c r="V115" s="195">
        <v>0</v>
      </c>
      <c r="W115" s="183">
        <v>0.39034952056913086</v>
      </c>
      <c r="X115" s="183">
        <v>7.6708939065883081E-2</v>
      </c>
      <c r="Y115" s="184" t="s">
        <v>1256</v>
      </c>
      <c r="Z115" s="185"/>
      <c r="AA115" s="186" t="s">
        <v>1279</v>
      </c>
      <c r="AB115" s="187" t="s">
        <v>1258</v>
      </c>
      <c r="AC115" s="188">
        <v>1.0426297712842691</v>
      </c>
      <c r="AD115" s="186" t="s">
        <v>412</v>
      </c>
      <c r="AE115" s="187" t="s">
        <v>413</v>
      </c>
    </row>
    <row r="116" spans="1:31" x14ac:dyDescent="0.2">
      <c r="A116" s="189" t="s">
        <v>416</v>
      </c>
      <c r="B116" s="190" t="s">
        <v>415</v>
      </c>
      <c r="C116" s="196" t="s">
        <v>200</v>
      </c>
      <c r="D116" s="192">
        <v>6893</v>
      </c>
      <c r="E11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22760</v>
      </c>
      <c r="F116" s="194">
        <f>IF(Entity_Unit_Costs[[#This Row],[Closing social housing units managed]]&gt;0,Entity_Unit_Costs[[#This Row],[Headline Social Housing Cost]]/Entity_Unit_Costs[[#This Row],[Closing social housing units managed]],"")</f>
        <v>3.3019004787465547</v>
      </c>
      <c r="G116" s="194">
        <f>IF(Entity_Unit_Costs[[#This Row],[Closing social housing units managed]]&gt;0,Entity_Unit_Costs[[#This Row],[Management]]/Entity_Unit_Costs[[#This Row],[Closing social housing units managed]],"")</f>
        <v>1.0665892934861454</v>
      </c>
      <c r="H116" s="193">
        <v>7352</v>
      </c>
      <c r="I116" s="194">
        <f>IF(Entity_Unit_Costs[[#This Row],[Closing social housing units managed]]&gt;0,Entity_Unit_Costs[[#This Row],[Service charge costs]]/Entity_Unit_Costs[[#This Row],[Closing social housing units managed]],"")</f>
        <v>0.21703177136225155</v>
      </c>
      <c r="J116" s="193">
        <v>1496</v>
      </c>
      <c r="K116" s="194">
        <f>IF(Entity_Unit_Costs[[#This Row],[Closing social housing units managed]]&gt;0,(Entity_Unit_Costs[[#This Row],[Routine maintenance]]+Entity_Unit_Costs[[#This Row],[Planned maintenance]])/Entity_Unit_Costs[[#This Row],[Closing social housing units managed]],"")</f>
        <v>0.83693602205135642</v>
      </c>
      <c r="L116" s="193">
        <v>4489</v>
      </c>
      <c r="M116" s="193">
        <v>1280</v>
      </c>
      <c r="N116" s="194">
        <f>IF(Entity_Unit_Costs[[#This Row],[Closing social housing units managed]]&gt;0,(Entity_Unit_Costs[[#This Row],[Major repairs expenditure]]+Entity_Unit_Costs[[#This Row],[Capitalised major repairs expenditure for period]])/Entity_Unit_Costs[[#This Row],[Closing social housing units managed]],"")</f>
        <v>1.1077905121137386</v>
      </c>
      <c r="O116" s="193">
        <v>3064</v>
      </c>
      <c r="P116" s="193">
        <v>4572</v>
      </c>
      <c r="Q11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7.3552879733062529E-2</v>
      </c>
      <c r="R116" s="193">
        <v>507</v>
      </c>
      <c r="S116" s="193">
        <v>0</v>
      </c>
      <c r="T116" s="193">
        <v>0</v>
      </c>
      <c r="U116" s="193">
        <v>0</v>
      </c>
      <c r="V116" s="195">
        <v>0</v>
      </c>
      <c r="W116" s="183">
        <v>1.8610061064262867E-2</v>
      </c>
      <c r="X116" s="183">
        <v>0</v>
      </c>
      <c r="Y116" s="184" t="s">
        <v>1257</v>
      </c>
      <c r="Z116" s="185">
        <v>38691</v>
      </c>
      <c r="AA116" s="186" t="s">
        <v>1280</v>
      </c>
      <c r="AB116" s="187" t="s">
        <v>1262</v>
      </c>
      <c r="AC116" s="188">
        <v>0.9156653862445665</v>
      </c>
      <c r="AD116" s="186" t="s">
        <v>416</v>
      </c>
      <c r="AE116" s="187" t="s">
        <v>415</v>
      </c>
    </row>
    <row r="117" spans="1:31" x14ac:dyDescent="0.2">
      <c r="A117" s="189" t="s">
        <v>419</v>
      </c>
      <c r="B117" s="190" t="s">
        <v>418</v>
      </c>
      <c r="C117" s="196" t="s">
        <v>200</v>
      </c>
      <c r="D117" s="192">
        <v>13813</v>
      </c>
      <c r="E11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77452</v>
      </c>
      <c r="F117" s="194">
        <f>IF(Entity_Unit_Costs[[#This Row],[Closing social housing units managed]]&gt;0,Entity_Unit_Costs[[#This Row],[Headline Social Housing Cost]]/Entity_Unit_Costs[[#This Row],[Closing social housing units managed]],"")</f>
        <v>5.6071816404836028</v>
      </c>
      <c r="G117" s="194">
        <f>IF(Entity_Unit_Costs[[#This Row],[Closing social housing units managed]]&gt;0,Entity_Unit_Costs[[#This Row],[Management]]/Entity_Unit_Costs[[#This Row],[Closing social housing units managed]],"")</f>
        <v>1.5302975457901977</v>
      </c>
      <c r="H117" s="193">
        <v>21138</v>
      </c>
      <c r="I117" s="194">
        <f>IF(Entity_Unit_Costs[[#This Row],[Closing social housing units managed]]&gt;0,Entity_Unit_Costs[[#This Row],[Service charge costs]]/Entity_Unit_Costs[[#This Row],[Closing social housing units managed]],"")</f>
        <v>1.8129298486932599</v>
      </c>
      <c r="J117" s="193">
        <v>25042</v>
      </c>
      <c r="K117" s="194">
        <f>IF(Entity_Unit_Costs[[#This Row],[Closing social housing units managed]]&gt;0,(Entity_Unit_Costs[[#This Row],[Routine maintenance]]+Entity_Unit_Costs[[#This Row],[Planned maintenance]])/Entity_Unit_Costs[[#This Row],[Closing social housing units managed]],"")</f>
        <v>0.97531311083761674</v>
      </c>
      <c r="L117" s="193">
        <v>7884</v>
      </c>
      <c r="M117" s="193">
        <v>5588</v>
      </c>
      <c r="N117" s="194">
        <f>IF(Entity_Unit_Costs[[#This Row],[Closing social housing units managed]]&gt;0,(Entity_Unit_Costs[[#This Row],[Major repairs expenditure]]+Entity_Unit_Costs[[#This Row],[Capitalised major repairs expenditure for period]])/Entity_Unit_Costs[[#This Row],[Closing social housing units managed]],"")</f>
        <v>0.79693042785781509</v>
      </c>
      <c r="O117" s="193">
        <v>0</v>
      </c>
      <c r="P117" s="193">
        <v>11008</v>
      </c>
      <c r="Q11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0.49171070730471295</v>
      </c>
      <c r="R117" s="193">
        <v>4432</v>
      </c>
      <c r="S117" s="193">
        <v>965</v>
      </c>
      <c r="T117" s="193">
        <v>1395</v>
      </c>
      <c r="U117" s="193">
        <v>0</v>
      </c>
      <c r="V117" s="195">
        <v>0</v>
      </c>
      <c r="W117" s="183">
        <v>0</v>
      </c>
      <c r="X117" s="183">
        <v>0.95706979759417998</v>
      </c>
      <c r="Y117" s="184" t="s">
        <v>1256</v>
      </c>
      <c r="Z117" s="185"/>
      <c r="AA117" s="186" t="s">
        <v>1279</v>
      </c>
      <c r="AB117" s="187" t="s">
        <v>1258</v>
      </c>
      <c r="AC117" s="188">
        <v>1.0114601243884827</v>
      </c>
      <c r="AD117" s="186" t="s">
        <v>419</v>
      </c>
      <c r="AE117" s="187" t="s">
        <v>418</v>
      </c>
    </row>
    <row r="118" spans="1:31" x14ac:dyDescent="0.2">
      <c r="A118" s="189" t="s">
        <v>422</v>
      </c>
      <c r="B118" s="190" t="s">
        <v>421</v>
      </c>
      <c r="C118" s="196" t="s">
        <v>200</v>
      </c>
      <c r="D118" s="192">
        <v>5174</v>
      </c>
      <c r="E11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12769</v>
      </c>
      <c r="F118" s="194">
        <f>IF(Entity_Unit_Costs[[#This Row],[Closing social housing units managed]]&gt;0,Entity_Unit_Costs[[#This Row],[Headline Social Housing Cost]]/Entity_Unit_Costs[[#This Row],[Closing social housing units managed]],"")</f>
        <v>2.4679165056049479</v>
      </c>
      <c r="G118" s="194">
        <f>IF(Entity_Unit_Costs[[#This Row],[Closing social housing units managed]]&gt;0,Entity_Unit_Costs[[#This Row],[Management]]/Entity_Unit_Costs[[#This Row],[Closing social housing units managed]],"")</f>
        <v>0.50811751063007349</v>
      </c>
      <c r="H118" s="193">
        <v>2629</v>
      </c>
      <c r="I118" s="194">
        <f>IF(Entity_Unit_Costs[[#This Row],[Closing social housing units managed]]&gt;0,Entity_Unit_Costs[[#This Row],[Service charge costs]]/Entity_Unit_Costs[[#This Row],[Closing social housing units managed]],"")</f>
        <v>0.16930807885581756</v>
      </c>
      <c r="J118" s="193">
        <v>876</v>
      </c>
      <c r="K118" s="194">
        <f>IF(Entity_Unit_Costs[[#This Row],[Closing social housing units managed]]&gt;0,(Entity_Unit_Costs[[#This Row],[Routine maintenance]]+Entity_Unit_Costs[[#This Row],[Planned maintenance]])/Entity_Unit_Costs[[#This Row],[Closing social housing units managed]],"")</f>
        <v>0.73018940858136838</v>
      </c>
      <c r="L118" s="193">
        <v>3108</v>
      </c>
      <c r="M118" s="193">
        <v>670</v>
      </c>
      <c r="N118" s="194">
        <f>IF(Entity_Unit_Costs[[#This Row],[Closing social housing units managed]]&gt;0,(Entity_Unit_Costs[[#This Row],[Major repairs expenditure]]+Entity_Unit_Costs[[#This Row],[Capitalised major repairs expenditure for period]])/Entity_Unit_Costs[[#This Row],[Closing social housing units managed]],"")</f>
        <v>0.68303053730189411</v>
      </c>
      <c r="O118" s="193">
        <v>1005</v>
      </c>
      <c r="P118" s="193">
        <v>2529</v>
      </c>
      <c r="Q11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0.37727097023579437</v>
      </c>
      <c r="R118" s="193">
        <v>139</v>
      </c>
      <c r="S118" s="193">
        <v>1622</v>
      </c>
      <c r="T118" s="193">
        <v>0</v>
      </c>
      <c r="U118" s="193">
        <v>191</v>
      </c>
      <c r="V118" s="195">
        <v>0</v>
      </c>
      <c r="W118" s="183">
        <v>0</v>
      </c>
      <c r="X118" s="183">
        <v>0</v>
      </c>
      <c r="Y118" s="184" t="s">
        <v>1256</v>
      </c>
      <c r="Z118" s="185"/>
      <c r="AA118" s="186" t="s">
        <v>1279</v>
      </c>
      <c r="AB118" s="187" t="s">
        <v>1258</v>
      </c>
      <c r="AC118" s="188">
        <v>1.0086906739652581</v>
      </c>
      <c r="AD118" s="186" t="s">
        <v>422</v>
      </c>
      <c r="AE118" s="187" t="s">
        <v>421</v>
      </c>
    </row>
    <row r="119" spans="1:31" x14ac:dyDescent="0.2">
      <c r="A119" s="189" t="s">
        <v>423</v>
      </c>
      <c r="B119" s="190" t="s">
        <v>424</v>
      </c>
      <c r="C119" s="191" t="s">
        <v>200</v>
      </c>
      <c r="D119" s="192">
        <v>1284</v>
      </c>
      <c r="E11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3617</v>
      </c>
      <c r="F119" s="194">
        <f>IF(Entity_Unit_Costs[[#This Row],[Closing social housing units managed]]&gt;0,Entity_Unit_Costs[[#This Row],[Headline Social Housing Cost]]/Entity_Unit_Costs[[#This Row],[Closing social housing units managed]],"")</f>
        <v>2.8169781931464173</v>
      </c>
      <c r="G119" s="194">
        <f>IF(Entity_Unit_Costs[[#This Row],[Closing social housing units managed]]&gt;0,Entity_Unit_Costs[[#This Row],[Management]]/Entity_Unit_Costs[[#This Row],[Closing social housing units managed]],"")</f>
        <v>1.5218068535825544</v>
      </c>
      <c r="H119" s="193">
        <v>1954</v>
      </c>
      <c r="I119" s="194">
        <f>IF(Entity_Unit_Costs[[#This Row],[Closing social housing units managed]]&gt;0,Entity_Unit_Costs[[#This Row],[Service charge costs]]/Entity_Unit_Costs[[#This Row],[Closing social housing units managed]],"")</f>
        <v>0.47819314641744548</v>
      </c>
      <c r="J119" s="193">
        <v>614</v>
      </c>
      <c r="K119" s="194">
        <f>IF(Entity_Unit_Costs[[#This Row],[Closing social housing units managed]]&gt;0,(Entity_Unit_Costs[[#This Row],[Routine maintenance]]+Entity_Unit_Costs[[#This Row],[Planned maintenance]])/Entity_Unit_Costs[[#This Row],[Closing social housing units managed]],"")</f>
        <v>0.5490654205607477</v>
      </c>
      <c r="L119" s="193">
        <v>456</v>
      </c>
      <c r="M119" s="193">
        <v>249</v>
      </c>
      <c r="N119" s="194">
        <f>IF(Entity_Unit_Costs[[#This Row],[Closing social housing units managed]]&gt;0,(Entity_Unit_Costs[[#This Row],[Major repairs expenditure]]+Entity_Unit_Costs[[#This Row],[Capitalised major repairs expenditure for period]])/Entity_Unit_Costs[[#This Row],[Closing social housing units managed]],"")</f>
        <v>0.45015576323987538</v>
      </c>
      <c r="O119" s="193">
        <v>99</v>
      </c>
      <c r="P119" s="193">
        <v>479</v>
      </c>
      <c r="Q11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-0.1822429906542056</v>
      </c>
      <c r="R119" s="193">
        <v>-88</v>
      </c>
      <c r="S119" s="193">
        <v>0</v>
      </c>
      <c r="T119" s="193">
        <v>-146</v>
      </c>
      <c r="U119" s="193">
        <v>0</v>
      </c>
      <c r="V119" s="195">
        <v>0</v>
      </c>
      <c r="W119" s="183">
        <v>0</v>
      </c>
      <c r="X119" s="183">
        <v>0.30143180105501133</v>
      </c>
      <c r="Y119" s="184" t="s">
        <v>1256</v>
      </c>
      <c r="Z119" s="185"/>
      <c r="AA119" s="186" t="s">
        <v>1279</v>
      </c>
      <c r="AB119" s="187" t="s">
        <v>1264</v>
      </c>
      <c r="AC119" s="188">
        <v>0.94807909763407583</v>
      </c>
      <c r="AD119" s="186" t="s">
        <v>1255</v>
      </c>
      <c r="AE119" s="187" t="s">
        <v>861</v>
      </c>
    </row>
    <row r="120" spans="1:31" x14ac:dyDescent="0.2">
      <c r="A120" s="189" t="s">
        <v>425</v>
      </c>
      <c r="B120" s="190" t="s">
        <v>426</v>
      </c>
      <c r="C120" s="196" t="s">
        <v>200</v>
      </c>
      <c r="D120" s="192">
        <v>16999</v>
      </c>
      <c r="E12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58109</v>
      </c>
      <c r="F120" s="194">
        <f>IF(Entity_Unit_Costs[[#This Row],[Closing social housing units managed]]&gt;0,Entity_Unit_Costs[[#This Row],[Headline Social Housing Cost]]/Entity_Unit_Costs[[#This Row],[Closing social housing units managed]],"")</f>
        <v>3.4183775516206834</v>
      </c>
      <c r="G120" s="194">
        <f>IF(Entity_Unit_Costs[[#This Row],[Closing social housing units managed]]&gt;0,Entity_Unit_Costs[[#This Row],[Management]]/Entity_Unit_Costs[[#This Row],[Closing social housing units managed]],"")</f>
        <v>0.59991764221424793</v>
      </c>
      <c r="H120" s="193">
        <v>10198</v>
      </c>
      <c r="I120" s="194">
        <f>IF(Entity_Unit_Costs[[#This Row],[Closing social housing units managed]]&gt;0,Entity_Unit_Costs[[#This Row],[Service charge costs]]/Entity_Unit_Costs[[#This Row],[Closing social housing units managed]],"")</f>
        <v>0.32807812224248484</v>
      </c>
      <c r="J120" s="193">
        <v>5577</v>
      </c>
      <c r="K120" s="194">
        <f>IF(Entity_Unit_Costs[[#This Row],[Closing social housing units managed]]&gt;0,(Entity_Unit_Costs[[#This Row],[Routine maintenance]]+Entity_Unit_Costs[[#This Row],[Planned maintenance]])/Entity_Unit_Costs[[#This Row],[Closing social housing units managed]],"")</f>
        <v>1.5557973998470498</v>
      </c>
      <c r="L120" s="193">
        <v>14777</v>
      </c>
      <c r="M120" s="193">
        <v>11670</v>
      </c>
      <c r="N120" s="194">
        <f>IF(Entity_Unit_Costs[[#This Row],[Closing social housing units managed]]&gt;0,(Entity_Unit_Costs[[#This Row],[Major repairs expenditure]]+Entity_Unit_Costs[[#This Row],[Capitalised major repairs expenditure for period]])/Entity_Unit_Costs[[#This Row],[Closing social housing units managed]],"")</f>
        <v>0.50002941349491148</v>
      </c>
      <c r="O120" s="193">
        <v>0</v>
      </c>
      <c r="P120" s="193">
        <v>8500</v>
      </c>
      <c r="Q12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0.43455497382198954</v>
      </c>
      <c r="R120" s="193">
        <v>451</v>
      </c>
      <c r="S120" s="193">
        <v>1540</v>
      </c>
      <c r="T120" s="193">
        <v>5396</v>
      </c>
      <c r="U120" s="193">
        <v>0</v>
      </c>
      <c r="V120" s="195">
        <v>0</v>
      </c>
      <c r="W120" s="183">
        <v>2.0444191343963553E-2</v>
      </c>
      <c r="X120" s="183">
        <v>8.2517084282460143E-2</v>
      </c>
      <c r="Y120" s="184" t="s">
        <v>1256</v>
      </c>
      <c r="Z120" s="185"/>
      <c r="AA120" s="186" t="s">
        <v>1279</v>
      </c>
      <c r="AB120" s="187" t="s">
        <v>1260</v>
      </c>
      <c r="AC120" s="188">
        <v>0.91953587982702356</v>
      </c>
      <c r="AD120" s="186" t="s">
        <v>576</v>
      </c>
      <c r="AE120" s="187" t="s">
        <v>575</v>
      </c>
    </row>
    <row r="121" spans="1:31" x14ac:dyDescent="0.2">
      <c r="A121" s="189" t="s">
        <v>427</v>
      </c>
      <c r="B121" s="190" t="s">
        <v>428</v>
      </c>
      <c r="C121" s="196" t="s">
        <v>200</v>
      </c>
      <c r="D121" s="192">
        <v>13158</v>
      </c>
      <c r="E12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33340</v>
      </c>
      <c r="F121" s="194">
        <f>IF(Entity_Unit_Costs[[#This Row],[Closing social housing units managed]]&gt;0,Entity_Unit_Costs[[#This Row],[Headline Social Housing Cost]]/Entity_Unit_Costs[[#This Row],[Closing social housing units managed]],"")</f>
        <v>2.5338197294421643</v>
      </c>
      <c r="G121" s="194">
        <f>IF(Entity_Unit_Costs[[#This Row],[Closing social housing units managed]]&gt;0,Entity_Unit_Costs[[#This Row],[Management]]/Entity_Unit_Costs[[#This Row],[Closing social housing units managed]],"")</f>
        <v>0.97028423772609818</v>
      </c>
      <c r="H121" s="193">
        <v>12767</v>
      </c>
      <c r="I121" s="194">
        <f>IF(Entity_Unit_Costs[[#This Row],[Closing social housing units managed]]&gt;0,Entity_Unit_Costs[[#This Row],[Service charge costs]]/Entity_Unit_Costs[[#This Row],[Closing social housing units managed]],"")</f>
        <v>0.11833105335157319</v>
      </c>
      <c r="J121" s="193">
        <v>1557</v>
      </c>
      <c r="K121" s="194">
        <f>IF(Entity_Unit_Costs[[#This Row],[Closing social housing units managed]]&gt;0,(Entity_Unit_Costs[[#This Row],[Routine maintenance]]+Entity_Unit_Costs[[#This Row],[Planned maintenance]])/Entity_Unit_Costs[[#This Row],[Closing social housing units managed]],"")</f>
        <v>0.69022647818817451</v>
      </c>
      <c r="L121" s="193">
        <v>4781</v>
      </c>
      <c r="M121" s="193">
        <v>4301</v>
      </c>
      <c r="N121" s="194">
        <f>IF(Entity_Unit_Costs[[#This Row],[Closing social housing units managed]]&gt;0,(Entity_Unit_Costs[[#This Row],[Major repairs expenditure]]+Entity_Unit_Costs[[#This Row],[Capitalised major repairs expenditure for period]])/Entity_Unit_Costs[[#This Row],[Closing social housing units managed]],"")</f>
        <v>0.55167958656330751</v>
      </c>
      <c r="O121" s="193">
        <v>3520</v>
      </c>
      <c r="P121" s="193">
        <v>3739</v>
      </c>
      <c r="Q12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0.20329837361301109</v>
      </c>
      <c r="R121" s="193">
        <v>1991</v>
      </c>
      <c r="S121" s="193">
        <v>309</v>
      </c>
      <c r="T121" s="193">
        <v>0</v>
      </c>
      <c r="U121" s="193">
        <v>0</v>
      </c>
      <c r="V121" s="195">
        <v>375</v>
      </c>
      <c r="W121" s="183">
        <v>5.9315589353612164E-3</v>
      </c>
      <c r="X121" s="183">
        <v>8.3269961977186308E-2</v>
      </c>
      <c r="Y121" s="184" t="s">
        <v>1257</v>
      </c>
      <c r="Z121" s="185">
        <v>37438</v>
      </c>
      <c r="AA121" s="186" t="s">
        <v>1268</v>
      </c>
      <c r="AB121" s="187" t="s">
        <v>1262</v>
      </c>
      <c r="AC121" s="188">
        <v>0.91566538624456639</v>
      </c>
      <c r="AD121" s="186">
        <v>4802</v>
      </c>
      <c r="AE121" s="187" t="s">
        <v>776</v>
      </c>
    </row>
    <row r="122" spans="1:31" x14ac:dyDescent="0.2">
      <c r="A122" s="189" t="s">
        <v>429</v>
      </c>
      <c r="B122" s="190" t="s">
        <v>430</v>
      </c>
      <c r="C122" s="191" t="s">
        <v>200</v>
      </c>
      <c r="D122" s="192">
        <v>5300</v>
      </c>
      <c r="E12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16855</v>
      </c>
      <c r="F122" s="194">
        <f>IF(Entity_Unit_Costs[[#This Row],[Closing social housing units managed]]&gt;0,Entity_Unit_Costs[[#This Row],[Headline Social Housing Cost]]/Entity_Unit_Costs[[#This Row],[Closing social housing units managed]],"")</f>
        <v>3.1801886792452829</v>
      </c>
      <c r="G122" s="194">
        <f>IF(Entity_Unit_Costs[[#This Row],[Closing social housing units managed]]&gt;0,Entity_Unit_Costs[[#This Row],[Management]]/Entity_Unit_Costs[[#This Row],[Closing social housing units managed]],"")</f>
        <v>1.0052830188679245</v>
      </c>
      <c r="H122" s="193">
        <v>5328</v>
      </c>
      <c r="I122" s="194">
        <f>IF(Entity_Unit_Costs[[#This Row],[Closing social housing units managed]]&gt;0,Entity_Unit_Costs[[#This Row],[Service charge costs]]/Entity_Unit_Costs[[#This Row],[Closing social housing units managed]],"")</f>
        <v>0.15358490566037736</v>
      </c>
      <c r="J122" s="193">
        <v>814</v>
      </c>
      <c r="K122" s="194">
        <f>IF(Entity_Unit_Costs[[#This Row],[Closing social housing units managed]]&gt;0,(Entity_Unit_Costs[[#This Row],[Routine maintenance]]+Entity_Unit_Costs[[#This Row],[Planned maintenance]])/Entity_Unit_Costs[[#This Row],[Closing social housing units managed]],"")</f>
        <v>0.7381132075471698</v>
      </c>
      <c r="L122" s="193">
        <v>3808</v>
      </c>
      <c r="M122" s="193">
        <v>104</v>
      </c>
      <c r="N122" s="194">
        <f>IF(Entity_Unit_Costs[[#This Row],[Closing social housing units managed]]&gt;0,(Entity_Unit_Costs[[#This Row],[Major repairs expenditure]]+Entity_Unit_Costs[[#This Row],[Capitalised major repairs expenditure for period]])/Entity_Unit_Costs[[#This Row],[Closing social housing units managed]],"")</f>
        <v>1.1420754716981132</v>
      </c>
      <c r="O122" s="193">
        <v>0</v>
      </c>
      <c r="P122" s="193">
        <v>6053</v>
      </c>
      <c r="Q12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0.14113207547169812</v>
      </c>
      <c r="R122" s="193">
        <v>198</v>
      </c>
      <c r="S122" s="193">
        <v>404</v>
      </c>
      <c r="T122" s="193">
        <v>0</v>
      </c>
      <c r="U122" s="193">
        <v>146</v>
      </c>
      <c r="V122" s="195">
        <v>0</v>
      </c>
      <c r="W122" s="183">
        <v>6.1786182362853397E-3</v>
      </c>
      <c r="X122" s="183">
        <v>0.17131623291518441</v>
      </c>
      <c r="Y122" s="184" t="s">
        <v>1257</v>
      </c>
      <c r="Z122" s="185">
        <v>37585</v>
      </c>
      <c r="AA122" s="186" t="s">
        <v>1268</v>
      </c>
      <c r="AB122" s="187" t="s">
        <v>1260</v>
      </c>
      <c r="AC122" s="188">
        <v>0.91571558169387279</v>
      </c>
      <c r="AD122" s="186" t="s">
        <v>429</v>
      </c>
      <c r="AE122" s="187" t="s">
        <v>430</v>
      </c>
    </row>
    <row r="123" spans="1:31" x14ac:dyDescent="0.2">
      <c r="A123" s="189" t="s">
        <v>88</v>
      </c>
      <c r="B123" s="190" t="s">
        <v>87</v>
      </c>
      <c r="C123" s="196" t="s">
        <v>200</v>
      </c>
      <c r="D123" s="192">
        <v>3762</v>
      </c>
      <c r="E12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18791</v>
      </c>
      <c r="F123" s="194">
        <f>IF(Entity_Unit_Costs[[#This Row],[Closing social housing units managed]]&gt;0,Entity_Unit_Costs[[#This Row],[Headline Social Housing Cost]]/Entity_Unit_Costs[[#This Row],[Closing social housing units managed]],"")</f>
        <v>4.9949494949494948</v>
      </c>
      <c r="G123" s="194">
        <f>IF(Entity_Unit_Costs[[#This Row],[Closing social housing units managed]]&gt;0,Entity_Unit_Costs[[#This Row],[Management]]/Entity_Unit_Costs[[#This Row],[Closing social housing units managed]],"")</f>
        <v>0.84316852737905368</v>
      </c>
      <c r="H123" s="193">
        <v>3172</v>
      </c>
      <c r="I123" s="194">
        <f>IF(Entity_Unit_Costs[[#This Row],[Closing social housing units managed]]&gt;0,Entity_Unit_Costs[[#This Row],[Service charge costs]]/Entity_Unit_Costs[[#This Row],[Closing social housing units managed]],"")</f>
        <v>0.48750664540138222</v>
      </c>
      <c r="J123" s="193">
        <v>1834</v>
      </c>
      <c r="K123" s="194">
        <f>IF(Entity_Unit_Costs[[#This Row],[Closing social housing units managed]]&gt;0,(Entity_Unit_Costs[[#This Row],[Routine maintenance]]+Entity_Unit_Costs[[#This Row],[Planned maintenance]])/Entity_Unit_Costs[[#This Row],[Closing social housing units managed]],"")</f>
        <v>1.2450824029771399</v>
      </c>
      <c r="L123" s="193">
        <v>3332</v>
      </c>
      <c r="M123" s="193">
        <v>1352</v>
      </c>
      <c r="N123" s="194">
        <f>IF(Entity_Unit_Costs[[#This Row],[Closing social housing units managed]]&gt;0,(Entity_Unit_Costs[[#This Row],[Major repairs expenditure]]+Entity_Unit_Costs[[#This Row],[Capitalised major repairs expenditure for period]])/Entity_Unit_Costs[[#This Row],[Closing social housing units managed]],"")</f>
        <v>1.4399255715045189</v>
      </c>
      <c r="O123" s="193">
        <v>2183</v>
      </c>
      <c r="P123" s="193">
        <v>3234</v>
      </c>
      <c r="Q12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0.97926634768740028</v>
      </c>
      <c r="R123" s="193">
        <v>60</v>
      </c>
      <c r="S123" s="193">
        <v>978</v>
      </c>
      <c r="T123" s="193">
        <v>1269</v>
      </c>
      <c r="U123" s="193">
        <v>957</v>
      </c>
      <c r="V123" s="195">
        <v>420</v>
      </c>
      <c r="W123" s="183">
        <v>6.645414418832761E-2</v>
      </c>
      <c r="X123" s="183">
        <v>9.0730750367827365E-3</v>
      </c>
      <c r="Y123" s="184" t="s">
        <v>1256</v>
      </c>
      <c r="Z123" s="185"/>
      <c r="AA123" s="186" t="s">
        <v>1279</v>
      </c>
      <c r="AB123" s="187" t="s">
        <v>1267</v>
      </c>
      <c r="AC123" s="188">
        <v>1.2482727604104311</v>
      </c>
      <c r="AD123" s="186" t="s">
        <v>88</v>
      </c>
      <c r="AE123" s="187" t="s">
        <v>87</v>
      </c>
    </row>
    <row r="124" spans="1:31" x14ac:dyDescent="0.2">
      <c r="A124" s="189" t="s">
        <v>432</v>
      </c>
      <c r="B124" s="190" t="s">
        <v>433</v>
      </c>
      <c r="C124" s="196" t="s">
        <v>200</v>
      </c>
      <c r="D124" s="192">
        <v>4825</v>
      </c>
      <c r="E12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31213</v>
      </c>
      <c r="F124" s="194">
        <f>IF(Entity_Unit_Costs[[#This Row],[Closing social housing units managed]]&gt;0,Entity_Unit_Costs[[#This Row],[Headline Social Housing Cost]]/Entity_Unit_Costs[[#This Row],[Closing social housing units managed]],"")</f>
        <v>6.4690155440414507</v>
      </c>
      <c r="G124" s="194">
        <f>IF(Entity_Unit_Costs[[#This Row],[Closing social housing units managed]]&gt;0,Entity_Unit_Costs[[#This Row],[Management]]/Entity_Unit_Costs[[#This Row],[Closing social housing units managed]],"")</f>
        <v>0.87025906735751291</v>
      </c>
      <c r="H124" s="193">
        <v>4199</v>
      </c>
      <c r="I124" s="194">
        <f>IF(Entity_Unit_Costs[[#This Row],[Closing social housing units managed]]&gt;0,Entity_Unit_Costs[[#This Row],[Service charge costs]]/Entity_Unit_Costs[[#This Row],[Closing social housing units managed]],"")</f>
        <v>0.73906735751295338</v>
      </c>
      <c r="J124" s="193">
        <v>3566</v>
      </c>
      <c r="K124" s="194">
        <f>IF(Entity_Unit_Costs[[#This Row],[Closing social housing units managed]]&gt;0,(Entity_Unit_Costs[[#This Row],[Routine maintenance]]+Entity_Unit_Costs[[#This Row],[Planned maintenance]])/Entity_Unit_Costs[[#This Row],[Closing social housing units managed]],"")</f>
        <v>0.63005181347150263</v>
      </c>
      <c r="L124" s="193">
        <v>2639</v>
      </c>
      <c r="M124" s="193">
        <v>401</v>
      </c>
      <c r="N124" s="194">
        <f>IF(Entity_Unit_Costs[[#This Row],[Closing social housing units managed]]&gt;0,(Entity_Unit_Costs[[#This Row],[Major repairs expenditure]]+Entity_Unit_Costs[[#This Row],[Capitalised major repairs expenditure for period]])/Entity_Unit_Costs[[#This Row],[Closing social housing units managed]],"")</f>
        <v>0.38922279792746112</v>
      </c>
      <c r="O124" s="193">
        <v>813</v>
      </c>
      <c r="P124" s="193">
        <v>1065</v>
      </c>
      <c r="Q12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3.8404145077720209</v>
      </c>
      <c r="R124" s="193">
        <v>16332</v>
      </c>
      <c r="S124" s="193">
        <v>1305</v>
      </c>
      <c r="T124" s="193">
        <v>784</v>
      </c>
      <c r="U124" s="193">
        <v>109</v>
      </c>
      <c r="V124" s="195">
        <v>0</v>
      </c>
      <c r="W124" s="183">
        <v>0.11965065502183406</v>
      </c>
      <c r="X124" s="183">
        <v>3.2314410480349345E-2</v>
      </c>
      <c r="Y124" s="184" t="s">
        <v>1256</v>
      </c>
      <c r="Z124" s="185"/>
      <c r="AA124" s="186" t="s">
        <v>1279</v>
      </c>
      <c r="AB124" s="187" t="s">
        <v>1263</v>
      </c>
      <c r="AC124" s="188">
        <v>1.0038157953932458</v>
      </c>
      <c r="AD124" s="186" t="s">
        <v>432</v>
      </c>
      <c r="AE124" s="187" t="s">
        <v>433</v>
      </c>
    </row>
    <row r="125" spans="1:31" x14ac:dyDescent="0.2">
      <c r="A125" s="189" t="s">
        <v>434</v>
      </c>
      <c r="B125" s="190" t="s">
        <v>435</v>
      </c>
      <c r="C125" s="196" t="s">
        <v>200</v>
      </c>
      <c r="D125" s="192">
        <v>814</v>
      </c>
      <c r="E12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4382</v>
      </c>
      <c r="F125" s="194">
        <f>IF(Entity_Unit_Costs[[#This Row],[Closing social housing units managed]]&gt;0,Entity_Unit_Costs[[#This Row],[Headline Social Housing Cost]]/Entity_Unit_Costs[[#This Row],[Closing social housing units managed]],"")</f>
        <v>5.3832923832923836</v>
      </c>
      <c r="G125" s="194">
        <f>IF(Entity_Unit_Costs[[#This Row],[Closing social housing units managed]]&gt;0,Entity_Unit_Costs[[#This Row],[Management]]/Entity_Unit_Costs[[#This Row],[Closing social housing units managed]],"")</f>
        <v>0.78009828009828008</v>
      </c>
      <c r="H125" s="193">
        <v>635</v>
      </c>
      <c r="I125" s="194">
        <f>IF(Entity_Unit_Costs[[#This Row],[Closing social housing units managed]]&gt;0,Entity_Unit_Costs[[#This Row],[Service charge costs]]/Entity_Unit_Costs[[#This Row],[Closing social housing units managed]],"")</f>
        <v>0.72604422604422603</v>
      </c>
      <c r="J125" s="193">
        <v>591</v>
      </c>
      <c r="K125" s="194">
        <f>IF(Entity_Unit_Costs[[#This Row],[Closing social housing units managed]]&gt;0,(Entity_Unit_Costs[[#This Row],[Routine maintenance]]+Entity_Unit_Costs[[#This Row],[Planned maintenance]])/Entity_Unit_Costs[[#This Row],[Closing social housing units managed]],"")</f>
        <v>1.5982800982800982</v>
      </c>
      <c r="L125" s="193">
        <v>339</v>
      </c>
      <c r="M125" s="193">
        <v>962</v>
      </c>
      <c r="N125" s="194">
        <f>IF(Entity_Unit_Costs[[#This Row],[Closing social housing units managed]]&gt;0,(Entity_Unit_Costs[[#This Row],[Major repairs expenditure]]+Entity_Unit_Costs[[#This Row],[Capitalised major repairs expenditure for period]])/Entity_Unit_Costs[[#This Row],[Closing social housing units managed]],"")</f>
        <v>0.128992628992629</v>
      </c>
      <c r="O125" s="193">
        <v>4</v>
      </c>
      <c r="P125" s="193">
        <v>101</v>
      </c>
      <c r="Q12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2.1498771498771498</v>
      </c>
      <c r="R125" s="193">
        <v>0</v>
      </c>
      <c r="S125" s="193">
        <v>0</v>
      </c>
      <c r="T125" s="193">
        <v>1750</v>
      </c>
      <c r="U125" s="193">
        <v>0</v>
      </c>
      <c r="V125" s="195">
        <v>0</v>
      </c>
      <c r="W125" s="183">
        <v>0</v>
      </c>
      <c r="X125" s="183">
        <v>0</v>
      </c>
      <c r="Y125" s="184" t="s">
        <v>1257</v>
      </c>
      <c r="Z125" s="185" t="s">
        <v>1281</v>
      </c>
      <c r="AA125" s="186" t="s">
        <v>1279</v>
      </c>
      <c r="AB125" s="187" t="s">
        <v>1267</v>
      </c>
      <c r="AC125" s="188">
        <v>1.2488627787394371</v>
      </c>
      <c r="AD125" s="186" t="s">
        <v>450</v>
      </c>
      <c r="AE125" s="187" t="s">
        <v>92</v>
      </c>
    </row>
    <row r="126" spans="1:31" x14ac:dyDescent="0.2">
      <c r="A126" s="189" t="s">
        <v>438</v>
      </c>
      <c r="B126" s="190" t="s">
        <v>437</v>
      </c>
      <c r="C126" s="196" t="s">
        <v>200</v>
      </c>
      <c r="D126" s="192">
        <v>46642</v>
      </c>
      <c r="E12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212465</v>
      </c>
      <c r="F126" s="194">
        <f>IF(Entity_Unit_Costs[[#This Row],[Closing social housing units managed]]&gt;0,Entity_Unit_Costs[[#This Row],[Headline Social Housing Cost]]/Entity_Unit_Costs[[#This Row],[Closing social housing units managed]],"")</f>
        <v>4.5552291925732176</v>
      </c>
      <c r="G126" s="194">
        <f>IF(Entity_Unit_Costs[[#This Row],[Closing social housing units managed]]&gt;0,Entity_Unit_Costs[[#This Row],[Management]]/Entity_Unit_Costs[[#This Row],[Closing social housing units managed]],"")</f>
        <v>1.1432614381887569</v>
      </c>
      <c r="H126" s="193">
        <v>53324</v>
      </c>
      <c r="I126" s="194">
        <f>IF(Entity_Unit_Costs[[#This Row],[Closing social housing units managed]]&gt;0,Entity_Unit_Costs[[#This Row],[Service charge costs]]/Entity_Unit_Costs[[#This Row],[Closing social housing units managed]],"")</f>
        <v>0.61517516401526517</v>
      </c>
      <c r="J126" s="193">
        <v>28693</v>
      </c>
      <c r="K126" s="194">
        <f>IF(Entity_Unit_Costs[[#This Row],[Closing social housing units managed]]&gt;0,(Entity_Unit_Costs[[#This Row],[Routine maintenance]]+Entity_Unit_Costs[[#This Row],[Planned maintenance]])/Entity_Unit_Costs[[#This Row],[Closing social housing units managed]],"")</f>
        <v>1.1675099695553364</v>
      </c>
      <c r="L126" s="193">
        <v>34126</v>
      </c>
      <c r="M126" s="193">
        <v>20329</v>
      </c>
      <c r="N126" s="194">
        <f>IF(Entity_Unit_Costs[[#This Row],[Closing social housing units managed]]&gt;0,(Entity_Unit_Costs[[#This Row],[Major repairs expenditure]]+Entity_Unit_Costs[[#This Row],[Capitalised major repairs expenditure for period]])/Entity_Unit_Costs[[#This Row],[Closing social housing units managed]],"")</f>
        <v>0.33047467947343595</v>
      </c>
      <c r="O126" s="193">
        <v>2837</v>
      </c>
      <c r="P126" s="193">
        <v>12577</v>
      </c>
      <c r="Q12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1.2988079413404228</v>
      </c>
      <c r="R126" s="193">
        <v>4898</v>
      </c>
      <c r="S126" s="193">
        <v>46194</v>
      </c>
      <c r="T126" s="193">
        <v>2781</v>
      </c>
      <c r="U126" s="193">
        <v>5784</v>
      </c>
      <c r="V126" s="195">
        <v>922</v>
      </c>
      <c r="W126" s="183">
        <v>0.12201154163231658</v>
      </c>
      <c r="X126" s="183">
        <v>4.0200459929708852E-2</v>
      </c>
      <c r="Y126" s="184" t="s">
        <v>1256</v>
      </c>
      <c r="Z126" s="185"/>
      <c r="AA126" s="186" t="s">
        <v>1279</v>
      </c>
      <c r="AB126" s="187" t="s">
        <v>1258</v>
      </c>
      <c r="AC126" s="188">
        <v>0.96368735938593797</v>
      </c>
      <c r="AD126" s="186" t="s">
        <v>438</v>
      </c>
      <c r="AE126" s="187" t="s">
        <v>437</v>
      </c>
    </row>
    <row r="127" spans="1:31" x14ac:dyDescent="0.2">
      <c r="A127" s="189" t="s">
        <v>441</v>
      </c>
      <c r="B127" s="190" t="s">
        <v>440</v>
      </c>
      <c r="C127" s="196" t="s">
        <v>200</v>
      </c>
      <c r="D127" s="192">
        <v>19581</v>
      </c>
      <c r="E12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106204</v>
      </c>
      <c r="F127" s="194">
        <f>IF(Entity_Unit_Costs[[#This Row],[Closing social housing units managed]]&gt;0,Entity_Unit_Costs[[#This Row],[Headline Social Housing Cost]]/Entity_Unit_Costs[[#This Row],[Closing social housing units managed]],"")</f>
        <v>5.4238292222051987</v>
      </c>
      <c r="G127" s="194">
        <f>IF(Entity_Unit_Costs[[#This Row],[Closing social housing units managed]]&gt;0,Entity_Unit_Costs[[#This Row],[Management]]/Entity_Unit_Costs[[#This Row],[Closing social housing units managed]],"")</f>
        <v>1.4346560441244063</v>
      </c>
      <c r="H127" s="193">
        <v>28092</v>
      </c>
      <c r="I127" s="194">
        <f>IF(Entity_Unit_Costs[[#This Row],[Closing social housing units managed]]&gt;0,Entity_Unit_Costs[[#This Row],[Service charge costs]]/Entity_Unit_Costs[[#This Row],[Closing social housing units managed]],"")</f>
        <v>1.8660946836218784</v>
      </c>
      <c r="J127" s="193">
        <v>36540</v>
      </c>
      <c r="K127" s="194">
        <f>IF(Entity_Unit_Costs[[#This Row],[Closing social housing units managed]]&gt;0,(Entity_Unit_Costs[[#This Row],[Routine maintenance]]+Entity_Unit_Costs[[#This Row],[Planned maintenance]])/Entity_Unit_Costs[[#This Row],[Closing social housing units managed]],"")</f>
        <v>0.81895715234155564</v>
      </c>
      <c r="L127" s="193">
        <v>10452</v>
      </c>
      <c r="M127" s="193">
        <v>5584</v>
      </c>
      <c r="N127" s="194">
        <f>IF(Entity_Unit_Costs[[#This Row],[Closing social housing units managed]]&gt;0,(Entity_Unit_Costs[[#This Row],[Major repairs expenditure]]+Entity_Unit_Costs[[#This Row],[Capitalised major repairs expenditure for period]])/Entity_Unit_Costs[[#This Row],[Closing social housing units managed]],"")</f>
        <v>1.3902762882385986</v>
      </c>
      <c r="O127" s="193">
        <v>1129</v>
      </c>
      <c r="P127" s="193">
        <v>26094</v>
      </c>
      <c r="Q12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-8.6154946121239973E-2</v>
      </c>
      <c r="R127" s="193">
        <v>-4500</v>
      </c>
      <c r="S127" s="193">
        <v>2813</v>
      </c>
      <c r="T127" s="193">
        <v>0</v>
      </c>
      <c r="U127" s="193">
        <v>0</v>
      </c>
      <c r="V127" s="195">
        <v>0</v>
      </c>
      <c r="W127" s="183">
        <v>6.8295391449194895E-3</v>
      </c>
      <c r="X127" s="183">
        <v>0.80955024986118818</v>
      </c>
      <c r="Y127" s="184" t="s">
        <v>1256</v>
      </c>
      <c r="Z127" s="185"/>
      <c r="AA127" s="186" t="s">
        <v>1279</v>
      </c>
      <c r="AB127" s="187" t="s">
        <v>1258</v>
      </c>
      <c r="AC127" s="188">
        <v>0.97186856103161023</v>
      </c>
      <c r="AD127" s="186" t="s">
        <v>441</v>
      </c>
      <c r="AE127" s="187" t="s">
        <v>440</v>
      </c>
    </row>
    <row r="128" spans="1:31" x14ac:dyDescent="0.2">
      <c r="A128" s="189" t="s">
        <v>442</v>
      </c>
      <c r="B128" s="190" t="s">
        <v>443</v>
      </c>
      <c r="C128" s="196" t="s">
        <v>200</v>
      </c>
      <c r="D128" s="192">
        <v>7571</v>
      </c>
      <c r="E12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18878</v>
      </c>
      <c r="F128" s="194">
        <f>IF(Entity_Unit_Costs[[#This Row],[Closing social housing units managed]]&gt;0,Entity_Unit_Costs[[#This Row],[Headline Social Housing Cost]]/Entity_Unit_Costs[[#This Row],[Closing social housing units managed]],"")</f>
        <v>2.4934618940694757</v>
      </c>
      <c r="G128" s="194">
        <f>IF(Entity_Unit_Costs[[#This Row],[Closing social housing units managed]]&gt;0,Entity_Unit_Costs[[#This Row],[Management]]/Entity_Unit_Costs[[#This Row],[Closing social housing units managed]],"")</f>
        <v>0.46229031831990491</v>
      </c>
      <c r="H128" s="193">
        <v>3500</v>
      </c>
      <c r="I128" s="194">
        <f>IF(Entity_Unit_Costs[[#This Row],[Closing social housing units managed]]&gt;0,Entity_Unit_Costs[[#This Row],[Service charge costs]]/Entity_Unit_Costs[[#This Row],[Closing social housing units managed]],"")</f>
        <v>0.20195482763175274</v>
      </c>
      <c r="J128" s="193">
        <v>1529</v>
      </c>
      <c r="K128" s="194">
        <f>IF(Entity_Unit_Costs[[#This Row],[Closing social housing units managed]]&gt;0,(Entity_Unit_Costs[[#This Row],[Routine maintenance]]+Entity_Unit_Costs[[#This Row],[Planned maintenance]])/Entity_Unit_Costs[[#This Row],[Closing social housing units managed]],"")</f>
        <v>0.91903315281997089</v>
      </c>
      <c r="L128" s="193">
        <v>5865</v>
      </c>
      <c r="M128" s="193">
        <v>1093</v>
      </c>
      <c r="N128" s="194">
        <f>IF(Entity_Unit_Costs[[#This Row],[Closing social housing units managed]]&gt;0,(Entity_Unit_Costs[[#This Row],[Major repairs expenditure]]+Entity_Unit_Costs[[#This Row],[Capitalised major repairs expenditure for period]])/Entity_Unit_Costs[[#This Row],[Closing social housing units managed]],"")</f>
        <v>0.71139875842028799</v>
      </c>
      <c r="O128" s="193">
        <v>2936</v>
      </c>
      <c r="P128" s="193">
        <v>2450</v>
      </c>
      <c r="Q12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0.1987848368775591</v>
      </c>
      <c r="R128" s="193">
        <v>0</v>
      </c>
      <c r="S128" s="193">
        <v>713</v>
      </c>
      <c r="T128" s="193">
        <v>792</v>
      </c>
      <c r="U128" s="193">
        <v>0</v>
      </c>
      <c r="V128" s="195">
        <v>0</v>
      </c>
      <c r="W128" s="183">
        <v>2.1268111125880632E-3</v>
      </c>
      <c r="X128" s="183">
        <v>0.17413265984314769</v>
      </c>
      <c r="Y128" s="184" t="s">
        <v>1257</v>
      </c>
      <c r="Z128" s="185">
        <v>38075</v>
      </c>
      <c r="AA128" s="186" t="s">
        <v>1268</v>
      </c>
      <c r="AB128" s="187" t="s">
        <v>1266</v>
      </c>
      <c r="AC128" s="188">
        <v>0.9026647648742484</v>
      </c>
      <c r="AD128" s="186" t="s">
        <v>1251</v>
      </c>
      <c r="AE128" s="187" t="s">
        <v>768</v>
      </c>
    </row>
    <row r="129" spans="1:31" x14ac:dyDescent="0.2">
      <c r="A129" s="189" t="s">
        <v>444</v>
      </c>
      <c r="B129" s="190" t="s">
        <v>90</v>
      </c>
      <c r="C129" s="196" t="s">
        <v>200</v>
      </c>
      <c r="D129" s="192">
        <v>5438</v>
      </c>
      <c r="E12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15980</v>
      </c>
      <c r="F129" s="194">
        <f>IF(Entity_Unit_Costs[[#This Row],[Closing social housing units managed]]&gt;0,Entity_Unit_Costs[[#This Row],[Headline Social Housing Cost]]/Entity_Unit_Costs[[#This Row],[Closing social housing units managed]],"")</f>
        <v>2.9385803604266276</v>
      </c>
      <c r="G129" s="194">
        <f>IF(Entity_Unit_Costs[[#This Row],[Closing social housing units managed]]&gt;0,Entity_Unit_Costs[[#This Row],[Management]]/Entity_Unit_Costs[[#This Row],[Closing social housing units managed]],"")</f>
        <v>1.0961750643618977</v>
      </c>
      <c r="H129" s="193">
        <v>5961</v>
      </c>
      <c r="I129" s="194">
        <f>IF(Entity_Unit_Costs[[#This Row],[Closing social housing units managed]]&gt;0,Entity_Unit_Costs[[#This Row],[Service charge costs]]/Entity_Unit_Costs[[#This Row],[Closing social housing units managed]],"")</f>
        <v>0.29514527399779333</v>
      </c>
      <c r="J129" s="193">
        <v>1605</v>
      </c>
      <c r="K129" s="194">
        <f>IF(Entity_Unit_Costs[[#This Row],[Closing social housing units managed]]&gt;0,(Entity_Unit_Costs[[#This Row],[Routine maintenance]]+Entity_Unit_Costs[[#This Row],[Planned maintenance]])/Entity_Unit_Costs[[#This Row],[Closing social housing units managed]],"")</f>
        <v>1.0334681868333946</v>
      </c>
      <c r="L129" s="193">
        <v>3020</v>
      </c>
      <c r="M129" s="193">
        <v>2600</v>
      </c>
      <c r="N129" s="194">
        <f>IF(Entity_Unit_Costs[[#This Row],[Closing social housing units managed]]&gt;0,(Entity_Unit_Costs[[#This Row],[Major repairs expenditure]]+Entity_Unit_Costs[[#This Row],[Capitalised major repairs expenditure for period]])/Entity_Unit_Costs[[#This Row],[Closing social housing units managed]],"")</f>
        <v>0.40639941154836334</v>
      </c>
      <c r="O129" s="193">
        <v>0</v>
      </c>
      <c r="P129" s="193">
        <v>2210</v>
      </c>
      <c r="Q12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0.10739242368517837</v>
      </c>
      <c r="R129" s="193">
        <v>456</v>
      </c>
      <c r="S129" s="193">
        <v>128</v>
      </c>
      <c r="T129" s="193">
        <v>0</v>
      </c>
      <c r="U129" s="193">
        <v>0</v>
      </c>
      <c r="V129" s="195">
        <v>0</v>
      </c>
      <c r="W129" s="183">
        <v>5.5946646906261575E-2</v>
      </c>
      <c r="X129" s="183">
        <v>0.18358651352352723</v>
      </c>
      <c r="Y129" s="184" t="s">
        <v>1257</v>
      </c>
      <c r="Z129" s="185">
        <v>34821</v>
      </c>
      <c r="AA129" s="186" t="s">
        <v>1268</v>
      </c>
      <c r="AB129" s="187" t="s">
        <v>1259</v>
      </c>
      <c r="AC129" s="188">
        <v>1.0118209273495495</v>
      </c>
      <c r="AD129" s="186" t="s">
        <v>444</v>
      </c>
      <c r="AE129" s="187" t="s">
        <v>90</v>
      </c>
    </row>
    <row r="130" spans="1:31" x14ac:dyDescent="0.2">
      <c r="A130" s="189" t="s">
        <v>447</v>
      </c>
      <c r="B130" s="190" t="s">
        <v>446</v>
      </c>
      <c r="C130" s="196" t="s">
        <v>200</v>
      </c>
      <c r="D130" s="192">
        <v>1646</v>
      </c>
      <c r="E13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5689</v>
      </c>
      <c r="F130" s="194">
        <f>IF(Entity_Unit_Costs[[#This Row],[Closing social housing units managed]]&gt;0,Entity_Unit_Costs[[#This Row],[Headline Social Housing Cost]]/Entity_Unit_Costs[[#This Row],[Closing social housing units managed]],"")</f>
        <v>3.4562575941676794</v>
      </c>
      <c r="G130" s="194">
        <f>IF(Entity_Unit_Costs[[#This Row],[Closing social housing units managed]]&gt;0,Entity_Unit_Costs[[#This Row],[Management]]/Entity_Unit_Costs[[#This Row],[Closing social housing units managed]],"")</f>
        <v>0.99392466585662209</v>
      </c>
      <c r="H130" s="193">
        <v>1636</v>
      </c>
      <c r="I130" s="194">
        <f>IF(Entity_Unit_Costs[[#This Row],[Closing social housing units managed]]&gt;0,Entity_Unit_Costs[[#This Row],[Service charge costs]]/Entity_Unit_Costs[[#This Row],[Closing social housing units managed]],"")</f>
        <v>0.31470230862697446</v>
      </c>
      <c r="J130" s="193">
        <v>518</v>
      </c>
      <c r="K130" s="194">
        <f>IF(Entity_Unit_Costs[[#This Row],[Closing social housing units managed]]&gt;0,(Entity_Unit_Costs[[#This Row],[Routine maintenance]]+Entity_Unit_Costs[[#This Row],[Planned maintenance]])/Entity_Unit_Costs[[#This Row],[Closing social housing units managed]],"")</f>
        <v>0.71688942891859053</v>
      </c>
      <c r="L130" s="193">
        <v>1180</v>
      </c>
      <c r="M130" s="193">
        <v>0</v>
      </c>
      <c r="N130" s="194">
        <f>IF(Entity_Unit_Costs[[#This Row],[Closing social housing units managed]]&gt;0,(Entity_Unit_Costs[[#This Row],[Major repairs expenditure]]+Entity_Unit_Costs[[#This Row],[Capitalised major repairs expenditure for period]])/Entity_Unit_Costs[[#This Row],[Closing social housing units managed]],"")</f>
        <v>1.1269744835965978</v>
      </c>
      <c r="O130" s="193">
        <v>660</v>
      </c>
      <c r="P130" s="193">
        <v>1195</v>
      </c>
      <c r="Q13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0.30376670716889431</v>
      </c>
      <c r="R130" s="193">
        <v>428</v>
      </c>
      <c r="S130" s="193">
        <v>0</v>
      </c>
      <c r="T130" s="193">
        <v>72</v>
      </c>
      <c r="U130" s="193">
        <v>0</v>
      </c>
      <c r="V130" s="195">
        <v>0</v>
      </c>
      <c r="W130" s="183">
        <v>4.9844236760124613E-3</v>
      </c>
      <c r="X130" s="183">
        <v>8.4735202492211836E-2</v>
      </c>
      <c r="Y130" s="184" t="s">
        <v>1256</v>
      </c>
      <c r="Z130" s="185"/>
      <c r="AA130" s="186" t="s">
        <v>1279</v>
      </c>
      <c r="AB130" s="187" t="s">
        <v>1263</v>
      </c>
      <c r="AC130" s="188">
        <v>1.0022399874355168</v>
      </c>
      <c r="AD130" s="186" t="s">
        <v>447</v>
      </c>
      <c r="AE130" s="187" t="s">
        <v>446</v>
      </c>
    </row>
    <row r="131" spans="1:31" x14ac:dyDescent="0.2">
      <c r="A131" s="189" t="s">
        <v>448</v>
      </c>
      <c r="B131" s="190" t="s">
        <v>449</v>
      </c>
      <c r="C131" s="196" t="s">
        <v>200</v>
      </c>
      <c r="D131" s="192">
        <v>1318</v>
      </c>
      <c r="E13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3680</v>
      </c>
      <c r="F131" s="194">
        <f>IF(Entity_Unit_Costs[[#This Row],[Closing social housing units managed]]&gt;0,Entity_Unit_Costs[[#This Row],[Headline Social Housing Cost]]/Entity_Unit_Costs[[#This Row],[Closing social housing units managed]],"")</f>
        <v>2.7921092564491654</v>
      </c>
      <c r="G131" s="194">
        <f>IF(Entity_Unit_Costs[[#This Row],[Closing social housing units managed]]&gt;0,Entity_Unit_Costs[[#This Row],[Management]]/Entity_Unit_Costs[[#This Row],[Closing social housing units managed]],"")</f>
        <v>1.0523520485584219</v>
      </c>
      <c r="H131" s="193">
        <v>1387</v>
      </c>
      <c r="I131" s="194">
        <f>IF(Entity_Unit_Costs[[#This Row],[Closing social housing units managed]]&gt;0,Entity_Unit_Costs[[#This Row],[Service charge costs]]/Entity_Unit_Costs[[#This Row],[Closing social housing units managed]],"")</f>
        <v>0.37860394537177544</v>
      </c>
      <c r="J131" s="193">
        <v>499</v>
      </c>
      <c r="K131" s="194">
        <f>IF(Entity_Unit_Costs[[#This Row],[Closing social housing units managed]]&gt;0,(Entity_Unit_Costs[[#This Row],[Routine maintenance]]+Entity_Unit_Costs[[#This Row],[Planned maintenance]])/Entity_Unit_Costs[[#This Row],[Closing social housing units managed]],"")</f>
        <v>1.0091047040971168</v>
      </c>
      <c r="L131" s="193">
        <v>1070</v>
      </c>
      <c r="M131" s="193">
        <v>260</v>
      </c>
      <c r="N131" s="194">
        <f>IF(Entity_Unit_Costs[[#This Row],[Closing social housing units managed]]&gt;0,(Entity_Unit_Costs[[#This Row],[Major repairs expenditure]]+Entity_Unit_Costs[[#This Row],[Capitalised major repairs expenditure for period]])/Entity_Unit_Costs[[#This Row],[Closing social housing units managed]],"")</f>
        <v>0.2488619119878604</v>
      </c>
      <c r="O131" s="193">
        <v>0</v>
      </c>
      <c r="P131" s="193">
        <v>328</v>
      </c>
      <c r="Q13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0.10318664643399089</v>
      </c>
      <c r="R131" s="193">
        <v>133</v>
      </c>
      <c r="S131" s="193">
        <v>0</v>
      </c>
      <c r="T131" s="193">
        <v>3</v>
      </c>
      <c r="U131" s="193">
        <v>0</v>
      </c>
      <c r="V131" s="195">
        <v>0</v>
      </c>
      <c r="W131" s="183">
        <v>0</v>
      </c>
      <c r="X131" s="183">
        <v>5.5045871559633031E-2</v>
      </c>
      <c r="Y131" s="184" t="s">
        <v>1256</v>
      </c>
      <c r="Z131" s="185"/>
      <c r="AA131" s="186" t="s">
        <v>1279</v>
      </c>
      <c r="AB131" s="187" t="s">
        <v>1263</v>
      </c>
      <c r="AC131" s="188">
        <v>1.0022399874355168</v>
      </c>
      <c r="AD131" s="186" t="s">
        <v>448</v>
      </c>
      <c r="AE131" s="187" t="s">
        <v>449</v>
      </c>
    </row>
    <row r="132" spans="1:31" x14ac:dyDescent="0.2">
      <c r="A132" s="189" t="s">
        <v>450</v>
      </c>
      <c r="B132" s="190" t="s">
        <v>92</v>
      </c>
      <c r="C132" s="191" t="s">
        <v>200</v>
      </c>
      <c r="D132" s="192">
        <v>36728</v>
      </c>
      <c r="E13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130091</v>
      </c>
      <c r="F132" s="194">
        <f>IF(Entity_Unit_Costs[[#This Row],[Closing social housing units managed]]&gt;0,Entity_Unit_Costs[[#This Row],[Headline Social Housing Cost]]/Entity_Unit_Costs[[#This Row],[Closing social housing units managed]],"")</f>
        <v>3.5420115443258551</v>
      </c>
      <c r="G132" s="194">
        <f>IF(Entity_Unit_Costs[[#This Row],[Closing social housing units managed]]&gt;0,Entity_Unit_Costs[[#This Row],[Management]]/Entity_Unit_Costs[[#This Row],[Closing social housing units managed]],"")</f>
        <v>0.51119037246787191</v>
      </c>
      <c r="H132" s="193">
        <v>18775</v>
      </c>
      <c r="I132" s="194">
        <f>IF(Entity_Unit_Costs[[#This Row],[Closing social housing units managed]]&gt;0,Entity_Unit_Costs[[#This Row],[Service charge costs]]/Entity_Unit_Costs[[#This Row],[Closing social housing units managed]],"")</f>
        <v>0.55968198649531697</v>
      </c>
      <c r="J132" s="193">
        <v>20556</v>
      </c>
      <c r="K132" s="194">
        <f>IF(Entity_Unit_Costs[[#This Row],[Closing social housing units managed]]&gt;0,(Entity_Unit_Costs[[#This Row],[Routine maintenance]]+Entity_Unit_Costs[[#This Row],[Planned maintenance]])/Entity_Unit_Costs[[#This Row],[Closing social housing units managed]],"")</f>
        <v>0.67964495752559351</v>
      </c>
      <c r="L132" s="193">
        <v>15871</v>
      </c>
      <c r="M132" s="193">
        <v>9091</v>
      </c>
      <c r="N132" s="194">
        <f>IF(Entity_Unit_Costs[[#This Row],[Closing social housing units managed]]&gt;0,(Entity_Unit_Costs[[#This Row],[Major repairs expenditure]]+Entity_Unit_Costs[[#This Row],[Capitalised major repairs expenditure for period]])/Entity_Unit_Costs[[#This Row],[Closing social housing units managed]],"")</f>
        <v>0.52221738183402311</v>
      </c>
      <c r="O132" s="193">
        <v>1761</v>
      </c>
      <c r="P132" s="193">
        <v>17419</v>
      </c>
      <c r="Q13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1.2692768460030495</v>
      </c>
      <c r="R132" s="193">
        <v>79</v>
      </c>
      <c r="S132" s="193">
        <v>23673</v>
      </c>
      <c r="T132" s="193">
        <v>22866</v>
      </c>
      <c r="U132" s="193">
        <v>0</v>
      </c>
      <c r="V132" s="195">
        <v>0</v>
      </c>
      <c r="W132" s="183">
        <v>6.3087033178393967E-2</v>
      </c>
      <c r="X132" s="183">
        <v>2.9011059464657797E-2</v>
      </c>
      <c r="Y132" s="184" t="s">
        <v>1256</v>
      </c>
      <c r="Z132" s="185"/>
      <c r="AA132" s="186" t="s">
        <v>1279</v>
      </c>
      <c r="AB132" s="187" t="s">
        <v>1258</v>
      </c>
      <c r="AC132" s="188">
        <v>1.1271664531560557</v>
      </c>
      <c r="AD132" s="186" t="s">
        <v>450</v>
      </c>
      <c r="AE132" s="187" t="s">
        <v>92</v>
      </c>
    </row>
    <row r="133" spans="1:31" x14ac:dyDescent="0.2">
      <c r="A133" s="189" t="s">
        <v>451</v>
      </c>
      <c r="B133" s="190" t="s">
        <v>452</v>
      </c>
      <c r="C133" s="196" t="s">
        <v>200</v>
      </c>
      <c r="D133" s="192">
        <v>3204</v>
      </c>
      <c r="E13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14835</v>
      </c>
      <c r="F133" s="194">
        <f>IF(Entity_Unit_Costs[[#This Row],[Closing social housing units managed]]&gt;0,Entity_Unit_Costs[[#This Row],[Headline Social Housing Cost]]/Entity_Unit_Costs[[#This Row],[Closing social housing units managed]],"")</f>
        <v>4.6301498127340821</v>
      </c>
      <c r="G133" s="194">
        <f>IF(Entity_Unit_Costs[[#This Row],[Closing social housing units managed]]&gt;0,Entity_Unit_Costs[[#This Row],[Management]]/Entity_Unit_Costs[[#This Row],[Closing social housing units managed]],"")</f>
        <v>0.43414481897627966</v>
      </c>
      <c r="H133" s="193">
        <v>1391</v>
      </c>
      <c r="I133" s="194">
        <f>IF(Entity_Unit_Costs[[#This Row],[Closing social housing units managed]]&gt;0,Entity_Unit_Costs[[#This Row],[Service charge costs]]/Entity_Unit_Costs[[#This Row],[Closing social housing units managed]],"")</f>
        <v>0.86298377028714113</v>
      </c>
      <c r="J133" s="193">
        <v>2765</v>
      </c>
      <c r="K133" s="194">
        <f>IF(Entity_Unit_Costs[[#This Row],[Closing social housing units managed]]&gt;0,(Entity_Unit_Costs[[#This Row],[Routine maintenance]]+Entity_Unit_Costs[[#This Row],[Planned maintenance]])/Entity_Unit_Costs[[#This Row],[Closing social housing units managed]],"")</f>
        <v>0.93320848938826462</v>
      </c>
      <c r="L133" s="193">
        <v>1012</v>
      </c>
      <c r="M133" s="193">
        <v>1978</v>
      </c>
      <c r="N133" s="194">
        <f>IF(Entity_Unit_Costs[[#This Row],[Closing social housing units managed]]&gt;0,(Entity_Unit_Costs[[#This Row],[Major repairs expenditure]]+Entity_Unit_Costs[[#This Row],[Capitalised major repairs expenditure for period]])/Entity_Unit_Costs[[#This Row],[Closing social housing units managed]],"")</f>
        <v>0.91073657927590512</v>
      </c>
      <c r="O133" s="193">
        <v>320</v>
      </c>
      <c r="P133" s="193">
        <v>2598</v>
      </c>
      <c r="Q13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1.4890761548064919</v>
      </c>
      <c r="R133" s="193">
        <v>0</v>
      </c>
      <c r="S133" s="193">
        <v>3095</v>
      </c>
      <c r="T133" s="193">
        <v>1676</v>
      </c>
      <c r="U133" s="193">
        <v>0</v>
      </c>
      <c r="V133" s="195">
        <v>0</v>
      </c>
      <c r="W133" s="183">
        <v>0</v>
      </c>
      <c r="X133" s="183">
        <v>1.8437225636523266E-2</v>
      </c>
      <c r="Y133" s="184" t="s">
        <v>1257</v>
      </c>
      <c r="Z133" s="185">
        <v>36346</v>
      </c>
      <c r="AA133" s="186" t="s">
        <v>1268</v>
      </c>
      <c r="AB133" s="187" t="s">
        <v>1267</v>
      </c>
      <c r="AC133" s="188">
        <v>1.2488627787394371</v>
      </c>
      <c r="AD133" s="186" t="s">
        <v>450</v>
      </c>
      <c r="AE133" s="187" t="s">
        <v>92</v>
      </c>
    </row>
    <row r="134" spans="1:31" x14ac:dyDescent="0.2">
      <c r="A134" s="189" t="s">
        <v>453</v>
      </c>
      <c r="B134" s="190" t="s">
        <v>454</v>
      </c>
      <c r="C134" s="196" t="s">
        <v>200</v>
      </c>
      <c r="D134" s="192">
        <v>3389</v>
      </c>
      <c r="E13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12495</v>
      </c>
      <c r="F134" s="194">
        <f>IF(Entity_Unit_Costs[[#This Row],[Closing social housing units managed]]&gt;0,Entity_Unit_Costs[[#This Row],[Headline Social Housing Cost]]/Entity_Unit_Costs[[#This Row],[Closing social housing units managed]],"")</f>
        <v>3.6869282974328712</v>
      </c>
      <c r="G134" s="194">
        <f>IF(Entity_Unit_Costs[[#This Row],[Closing social housing units managed]]&gt;0,Entity_Unit_Costs[[#This Row],[Management]]/Entity_Unit_Costs[[#This Row],[Closing social housing units managed]],"")</f>
        <v>0.98200059014458541</v>
      </c>
      <c r="H134" s="193">
        <v>3328</v>
      </c>
      <c r="I134" s="194">
        <f>IF(Entity_Unit_Costs[[#This Row],[Closing social housing units managed]]&gt;0,Entity_Unit_Costs[[#This Row],[Service charge costs]]/Entity_Unit_Costs[[#This Row],[Closing social housing units managed]],"")</f>
        <v>0.24107406314547064</v>
      </c>
      <c r="J134" s="193">
        <v>817</v>
      </c>
      <c r="K134" s="194">
        <f>IF(Entity_Unit_Costs[[#This Row],[Closing social housing units managed]]&gt;0,(Entity_Unit_Costs[[#This Row],[Routine maintenance]]+Entity_Unit_Costs[[#This Row],[Planned maintenance]])/Entity_Unit_Costs[[#This Row],[Closing social housing units managed]],"")</f>
        <v>1.218943641192092</v>
      </c>
      <c r="L134" s="193">
        <v>2378</v>
      </c>
      <c r="M134" s="193">
        <v>1753</v>
      </c>
      <c r="N134" s="194">
        <f>IF(Entity_Unit_Costs[[#This Row],[Closing social housing units managed]]&gt;0,(Entity_Unit_Costs[[#This Row],[Major repairs expenditure]]+Entity_Unit_Costs[[#This Row],[Capitalised major repairs expenditure for period]])/Entity_Unit_Costs[[#This Row],[Closing social housing units managed]],"")</f>
        <v>0.75154912953673647</v>
      </c>
      <c r="O134" s="193">
        <v>0</v>
      </c>
      <c r="P134" s="193">
        <v>2547</v>
      </c>
      <c r="Q13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0.49336087341398643</v>
      </c>
      <c r="R134" s="193">
        <v>1265</v>
      </c>
      <c r="S134" s="193">
        <v>0</v>
      </c>
      <c r="T134" s="193">
        <v>407</v>
      </c>
      <c r="U134" s="193">
        <v>0</v>
      </c>
      <c r="V134" s="195">
        <v>0</v>
      </c>
      <c r="W134" s="183">
        <v>0</v>
      </c>
      <c r="X134" s="183">
        <v>0.34818941504178275</v>
      </c>
      <c r="Y134" s="184" t="s">
        <v>1257</v>
      </c>
      <c r="Z134" s="185">
        <v>38806</v>
      </c>
      <c r="AA134" s="186" t="s">
        <v>1280</v>
      </c>
      <c r="AB134" s="187" t="s">
        <v>1262</v>
      </c>
      <c r="AC134" s="188">
        <v>0.9156653862445665</v>
      </c>
      <c r="AD134" s="186">
        <v>4649</v>
      </c>
      <c r="AE134" s="187" t="s">
        <v>864</v>
      </c>
    </row>
    <row r="135" spans="1:31" x14ac:dyDescent="0.2">
      <c r="A135" s="189" t="s">
        <v>95</v>
      </c>
      <c r="B135" s="190" t="s">
        <v>94</v>
      </c>
      <c r="C135" s="196" t="s">
        <v>201</v>
      </c>
      <c r="D135" s="192">
        <v>2764</v>
      </c>
      <c r="E13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11275</v>
      </c>
      <c r="F135" s="194">
        <f>IF(Entity_Unit_Costs[[#This Row],[Closing social housing units managed]]&gt;0,Entity_Unit_Costs[[#This Row],[Headline Social Housing Cost]]/Entity_Unit_Costs[[#This Row],[Closing social housing units managed]],"")</f>
        <v>4.0792329956584661</v>
      </c>
      <c r="G135" s="194">
        <f>IF(Entity_Unit_Costs[[#This Row],[Closing social housing units managed]]&gt;0,Entity_Unit_Costs[[#This Row],[Management]]/Entity_Unit_Costs[[#This Row],[Closing social housing units managed]],"")</f>
        <v>1.5347322720694645</v>
      </c>
      <c r="H135" s="193">
        <v>4242</v>
      </c>
      <c r="I135" s="194">
        <f>IF(Entity_Unit_Costs[[#This Row],[Closing social housing units managed]]&gt;0,Entity_Unit_Costs[[#This Row],[Service charge costs]]/Entity_Unit_Costs[[#This Row],[Closing social housing units managed]],"")</f>
        <v>0.26519536903039076</v>
      </c>
      <c r="J135" s="193">
        <v>733</v>
      </c>
      <c r="K135" s="194">
        <f>IF(Entity_Unit_Costs[[#This Row],[Closing social housing units managed]]&gt;0,(Entity_Unit_Costs[[#This Row],[Routine maintenance]]+Entity_Unit_Costs[[#This Row],[Planned maintenance]])/Entity_Unit_Costs[[#This Row],[Closing social housing units managed]],"")</f>
        <v>1.116136034732272</v>
      </c>
      <c r="L135" s="193">
        <v>2297</v>
      </c>
      <c r="M135" s="193">
        <v>788</v>
      </c>
      <c r="N135" s="194">
        <f>IF(Entity_Unit_Costs[[#This Row],[Closing social housing units managed]]&gt;0,(Entity_Unit_Costs[[#This Row],[Major repairs expenditure]]+Entity_Unit_Costs[[#This Row],[Capitalised major repairs expenditure for period]])/Entity_Unit_Costs[[#This Row],[Closing social housing units managed]],"")</f>
        <v>0.3751808972503618</v>
      </c>
      <c r="O135" s="193">
        <v>55</v>
      </c>
      <c r="P135" s="193">
        <v>982</v>
      </c>
      <c r="Q13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0.7879884225759769</v>
      </c>
      <c r="R135" s="193">
        <v>0</v>
      </c>
      <c r="S135" s="193">
        <v>0</v>
      </c>
      <c r="T135" s="193">
        <v>1004</v>
      </c>
      <c r="U135" s="193">
        <v>1174</v>
      </c>
      <c r="V135" s="195">
        <v>0</v>
      </c>
      <c r="W135" s="183">
        <v>0.12234580384226491</v>
      </c>
      <c r="X135" s="183">
        <v>5.4600606673407485E-2</v>
      </c>
      <c r="Y135" s="184" t="s">
        <v>1256</v>
      </c>
      <c r="Z135" s="185"/>
      <c r="AA135" s="186" t="s">
        <v>1279</v>
      </c>
      <c r="AB135" s="187" t="s">
        <v>1262</v>
      </c>
      <c r="AC135" s="188">
        <v>0.9156653862445665</v>
      </c>
      <c r="AD135" s="186" t="s">
        <v>95</v>
      </c>
      <c r="AE135" s="187" t="s">
        <v>94</v>
      </c>
    </row>
    <row r="136" spans="1:31" x14ac:dyDescent="0.2">
      <c r="A136" s="197">
        <v>4662</v>
      </c>
      <c r="B136" s="190" t="s">
        <v>456</v>
      </c>
      <c r="C136" s="196" t="s">
        <v>200</v>
      </c>
      <c r="D136" s="192">
        <v>1285</v>
      </c>
      <c r="E13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14404</v>
      </c>
      <c r="F136" s="194">
        <f>IF(Entity_Unit_Costs[[#This Row],[Closing social housing units managed]]&gt;0,Entity_Unit_Costs[[#This Row],[Headline Social Housing Cost]]/Entity_Unit_Costs[[#This Row],[Closing social housing units managed]],"")</f>
        <v>11.209338521400777</v>
      </c>
      <c r="G136" s="194">
        <f>IF(Entity_Unit_Costs[[#This Row],[Closing social housing units managed]]&gt;0,Entity_Unit_Costs[[#This Row],[Management]]/Entity_Unit_Costs[[#This Row],[Closing social housing units managed]],"")</f>
        <v>1.3618677042801557</v>
      </c>
      <c r="H136" s="193">
        <v>1750</v>
      </c>
      <c r="I136" s="194">
        <f>IF(Entity_Unit_Costs[[#This Row],[Closing social housing units managed]]&gt;0,Entity_Unit_Costs[[#This Row],[Service charge costs]]/Entity_Unit_Costs[[#This Row],[Closing social housing units managed]],"")</f>
        <v>1.0910505836575874</v>
      </c>
      <c r="J136" s="193">
        <v>1402</v>
      </c>
      <c r="K136" s="194">
        <f>IF(Entity_Unit_Costs[[#This Row],[Closing social housing units managed]]&gt;0,(Entity_Unit_Costs[[#This Row],[Routine maintenance]]+Entity_Unit_Costs[[#This Row],[Planned maintenance]])/Entity_Unit_Costs[[#This Row],[Closing social housing units managed]],"")</f>
        <v>1.0770428015564202</v>
      </c>
      <c r="L136" s="193">
        <v>808</v>
      </c>
      <c r="M136" s="193">
        <v>576</v>
      </c>
      <c r="N136" s="194">
        <f>IF(Entity_Unit_Costs[[#This Row],[Closing social housing units managed]]&gt;0,(Entity_Unit_Costs[[#This Row],[Major repairs expenditure]]+Entity_Unit_Costs[[#This Row],[Capitalised major repairs expenditure for period]])/Entity_Unit_Costs[[#This Row],[Closing social housing units managed]],"")</f>
        <v>0</v>
      </c>
      <c r="O136" s="193">
        <v>0</v>
      </c>
      <c r="P136" s="193">
        <v>0</v>
      </c>
      <c r="Q13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7.679377431906615</v>
      </c>
      <c r="R136" s="193">
        <v>9868</v>
      </c>
      <c r="S136" s="193">
        <v>0</v>
      </c>
      <c r="T136" s="193">
        <v>0</v>
      </c>
      <c r="U136" s="193">
        <v>0</v>
      </c>
      <c r="V136" s="195">
        <v>0</v>
      </c>
      <c r="W136" s="183">
        <v>0.92373540856031133</v>
      </c>
      <c r="X136" s="183">
        <v>7.6264591439688723E-2</v>
      </c>
      <c r="Y136" s="184" t="s">
        <v>1256</v>
      </c>
      <c r="Z136" s="185"/>
      <c r="AA136" s="186" t="s">
        <v>1279</v>
      </c>
      <c r="AB136" s="187" t="s">
        <v>1258</v>
      </c>
      <c r="AC136" s="188">
        <v>0.95115903228665066</v>
      </c>
      <c r="AD136" s="186">
        <v>4662</v>
      </c>
      <c r="AE136" s="187" t="s">
        <v>456</v>
      </c>
    </row>
    <row r="137" spans="1:31" x14ac:dyDescent="0.2">
      <c r="A137" s="189" t="s">
        <v>99</v>
      </c>
      <c r="B137" s="190" t="s">
        <v>98</v>
      </c>
      <c r="C137" s="196" t="s">
        <v>200</v>
      </c>
      <c r="D137" s="192">
        <v>20466</v>
      </c>
      <c r="E13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60385</v>
      </c>
      <c r="F137" s="194">
        <f>IF(Entity_Unit_Costs[[#This Row],[Closing social housing units managed]]&gt;0,Entity_Unit_Costs[[#This Row],[Headline Social Housing Cost]]/Entity_Unit_Costs[[#This Row],[Closing social housing units managed]],"")</f>
        <v>2.9505032737222709</v>
      </c>
      <c r="G137" s="194">
        <f>IF(Entity_Unit_Costs[[#This Row],[Closing social housing units managed]]&gt;0,Entity_Unit_Costs[[#This Row],[Management]]/Entity_Unit_Costs[[#This Row],[Closing social housing units managed]],"")</f>
        <v>1.0707026287501222</v>
      </c>
      <c r="H137" s="193">
        <v>21913</v>
      </c>
      <c r="I137" s="194">
        <f>IF(Entity_Unit_Costs[[#This Row],[Closing social housing units managed]]&gt;0,Entity_Unit_Costs[[#This Row],[Service charge costs]]/Entity_Unit_Costs[[#This Row],[Closing social housing units managed]],"")</f>
        <v>0.15371836216163393</v>
      </c>
      <c r="J137" s="193">
        <v>3146</v>
      </c>
      <c r="K137" s="194">
        <f>IF(Entity_Unit_Costs[[#This Row],[Closing social housing units managed]]&gt;0,(Entity_Unit_Costs[[#This Row],[Routine maintenance]]+Entity_Unit_Costs[[#This Row],[Planned maintenance]])/Entity_Unit_Costs[[#This Row],[Closing social housing units managed]],"")</f>
        <v>1.1160949868073879</v>
      </c>
      <c r="L137" s="193">
        <v>19051</v>
      </c>
      <c r="M137" s="193">
        <v>3791</v>
      </c>
      <c r="N137" s="194">
        <f>IF(Entity_Unit_Costs[[#This Row],[Closing social housing units managed]]&gt;0,(Entity_Unit_Costs[[#This Row],[Major repairs expenditure]]+Entity_Unit_Costs[[#This Row],[Capitalised major repairs expenditure for period]])/Entity_Unit_Costs[[#This Row],[Closing social housing units managed]],"")</f>
        <v>0.46926609987296003</v>
      </c>
      <c r="O137" s="193">
        <v>2055</v>
      </c>
      <c r="P137" s="193">
        <v>7549</v>
      </c>
      <c r="Q13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0.14072119613016712</v>
      </c>
      <c r="R137" s="193">
        <v>1045</v>
      </c>
      <c r="S137" s="193">
        <v>1065</v>
      </c>
      <c r="T137" s="193">
        <v>770</v>
      </c>
      <c r="U137" s="193">
        <v>0</v>
      </c>
      <c r="V137" s="195">
        <v>0</v>
      </c>
      <c r="W137" s="183">
        <v>4.6900686587370661E-3</v>
      </c>
      <c r="X137" s="183">
        <v>4.3032588724494732E-2</v>
      </c>
      <c r="Y137" s="184" t="s">
        <v>1257</v>
      </c>
      <c r="Z137" s="185">
        <v>37676</v>
      </c>
      <c r="AA137" s="186" t="s">
        <v>1268</v>
      </c>
      <c r="AB137" s="187" t="s">
        <v>1264</v>
      </c>
      <c r="AC137" s="188">
        <v>0.94807909763407583</v>
      </c>
      <c r="AD137" s="186" t="s">
        <v>1235</v>
      </c>
      <c r="AE137" s="187" t="s">
        <v>96</v>
      </c>
    </row>
    <row r="138" spans="1:31" x14ac:dyDescent="0.2">
      <c r="A138" s="189" t="s">
        <v>457</v>
      </c>
      <c r="B138" s="190" t="s">
        <v>458</v>
      </c>
      <c r="C138" s="191" t="s">
        <v>200</v>
      </c>
      <c r="D138" s="192">
        <v>1253</v>
      </c>
      <c r="E13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4429</v>
      </c>
      <c r="F138" s="194">
        <f>IF(Entity_Unit_Costs[[#This Row],[Closing social housing units managed]]&gt;0,Entity_Unit_Costs[[#This Row],[Headline Social Housing Cost]]/Entity_Unit_Costs[[#This Row],[Closing social housing units managed]],"")</f>
        <v>3.5347166799680765</v>
      </c>
      <c r="G138" s="194">
        <f>IF(Entity_Unit_Costs[[#This Row],[Closing social housing units managed]]&gt;0,Entity_Unit_Costs[[#This Row],[Management]]/Entity_Unit_Costs[[#This Row],[Closing social housing units managed]],"")</f>
        <v>0.74381484437350354</v>
      </c>
      <c r="H138" s="193">
        <v>932</v>
      </c>
      <c r="I138" s="194">
        <f>IF(Entity_Unit_Costs[[#This Row],[Closing social housing units managed]]&gt;0,Entity_Unit_Costs[[#This Row],[Service charge costs]]/Entity_Unit_Costs[[#This Row],[Closing social housing units managed]],"")</f>
        <v>0.5131683958499601</v>
      </c>
      <c r="J138" s="193">
        <v>643</v>
      </c>
      <c r="K138" s="194">
        <f>IF(Entity_Unit_Costs[[#This Row],[Closing social housing units managed]]&gt;0,(Entity_Unit_Costs[[#This Row],[Routine maintenance]]+Entity_Unit_Costs[[#This Row],[Planned maintenance]])/Entity_Unit_Costs[[#This Row],[Closing social housing units managed]],"")</f>
        <v>1.3152434158020749</v>
      </c>
      <c r="L138" s="193">
        <v>1264</v>
      </c>
      <c r="M138" s="193">
        <v>384</v>
      </c>
      <c r="N138" s="194">
        <f>IF(Entity_Unit_Costs[[#This Row],[Closing social housing units managed]]&gt;0,(Entity_Unit_Costs[[#This Row],[Major repairs expenditure]]+Entity_Unit_Costs[[#This Row],[Capitalised major repairs expenditure for period]])/Entity_Unit_Costs[[#This Row],[Closing social housing units managed]],"")</f>
        <v>0.79569034317637666</v>
      </c>
      <c r="O138" s="193">
        <v>36</v>
      </c>
      <c r="P138" s="193">
        <v>961</v>
      </c>
      <c r="Q13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0.16679968076616122</v>
      </c>
      <c r="R138" s="193">
        <v>18</v>
      </c>
      <c r="S138" s="193">
        <v>0</v>
      </c>
      <c r="T138" s="193">
        <v>191</v>
      </c>
      <c r="U138" s="193">
        <v>0</v>
      </c>
      <c r="V138" s="195">
        <v>0</v>
      </c>
      <c r="W138" s="183">
        <v>4.7885075818036712E-3</v>
      </c>
      <c r="X138" s="183">
        <v>0</v>
      </c>
      <c r="Y138" s="184" t="s">
        <v>1256</v>
      </c>
      <c r="Z138" s="185"/>
      <c r="AA138" s="186" t="s">
        <v>1279</v>
      </c>
      <c r="AB138" s="187" t="s">
        <v>1267</v>
      </c>
      <c r="AC138" s="188">
        <v>1.2352436677108278</v>
      </c>
      <c r="AD138" s="186" t="s">
        <v>457</v>
      </c>
      <c r="AE138" s="187" t="s">
        <v>458</v>
      </c>
    </row>
    <row r="139" spans="1:31" x14ac:dyDescent="0.2">
      <c r="A139" s="189" t="s">
        <v>461</v>
      </c>
      <c r="B139" s="190" t="s">
        <v>460</v>
      </c>
      <c r="C139" s="196" t="s">
        <v>200</v>
      </c>
      <c r="D139" s="192">
        <v>7534</v>
      </c>
      <c r="E13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24347</v>
      </c>
      <c r="F139" s="194">
        <f>IF(Entity_Unit_Costs[[#This Row],[Closing social housing units managed]]&gt;0,Entity_Unit_Costs[[#This Row],[Headline Social Housing Cost]]/Entity_Unit_Costs[[#This Row],[Closing social housing units managed]],"")</f>
        <v>3.2316166710910541</v>
      </c>
      <c r="G139" s="194">
        <f>IF(Entity_Unit_Costs[[#This Row],[Closing social housing units managed]]&gt;0,Entity_Unit_Costs[[#This Row],[Management]]/Entity_Unit_Costs[[#This Row],[Closing social housing units managed]],"")</f>
        <v>0.73015662330767184</v>
      </c>
      <c r="H139" s="193">
        <v>5501</v>
      </c>
      <c r="I139" s="194">
        <f>IF(Entity_Unit_Costs[[#This Row],[Closing social housing units managed]]&gt;0,Entity_Unit_Costs[[#This Row],[Service charge costs]]/Entity_Unit_Costs[[#This Row],[Closing social housing units managed]],"")</f>
        <v>0.37722325457924077</v>
      </c>
      <c r="J139" s="193">
        <v>2842</v>
      </c>
      <c r="K139" s="194">
        <f>IF(Entity_Unit_Costs[[#This Row],[Closing social housing units managed]]&gt;0,(Entity_Unit_Costs[[#This Row],[Routine maintenance]]+Entity_Unit_Costs[[#This Row],[Planned maintenance]])/Entity_Unit_Costs[[#This Row],[Closing social housing units managed]],"")</f>
        <v>1.185027873639501</v>
      </c>
      <c r="L139" s="193">
        <v>3419</v>
      </c>
      <c r="M139" s="193">
        <v>5509</v>
      </c>
      <c r="N139" s="194">
        <f>IF(Entity_Unit_Costs[[#This Row],[Closing social housing units managed]]&gt;0,(Entity_Unit_Costs[[#This Row],[Major repairs expenditure]]+Entity_Unit_Costs[[#This Row],[Capitalised major repairs expenditure for period]])/Entity_Unit_Costs[[#This Row],[Closing social housing units managed]],"")</f>
        <v>0.7213963366073799</v>
      </c>
      <c r="O139" s="193">
        <v>0</v>
      </c>
      <c r="P139" s="193">
        <v>5435</v>
      </c>
      <c r="Q13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0.21781258295726041</v>
      </c>
      <c r="R139" s="193">
        <v>638</v>
      </c>
      <c r="S139" s="193">
        <v>730</v>
      </c>
      <c r="T139" s="193">
        <v>0</v>
      </c>
      <c r="U139" s="193">
        <v>0</v>
      </c>
      <c r="V139" s="195">
        <v>273</v>
      </c>
      <c r="W139" s="183">
        <v>3.523676880222841E-2</v>
      </c>
      <c r="X139" s="183">
        <v>6.5738161559888583E-2</v>
      </c>
      <c r="Y139" s="184" t="s">
        <v>1256</v>
      </c>
      <c r="Z139" s="185"/>
      <c r="AA139" s="186" t="s">
        <v>1279</v>
      </c>
      <c r="AB139" s="187" t="s">
        <v>1262</v>
      </c>
      <c r="AC139" s="188">
        <v>0.91566538624456661</v>
      </c>
      <c r="AD139" s="186" t="s">
        <v>461</v>
      </c>
      <c r="AE139" s="187" t="s">
        <v>460</v>
      </c>
    </row>
    <row r="140" spans="1:31" x14ac:dyDescent="0.2">
      <c r="A140" s="189" t="s">
        <v>464</v>
      </c>
      <c r="B140" s="190" t="s">
        <v>463</v>
      </c>
      <c r="C140" s="196" t="s">
        <v>200</v>
      </c>
      <c r="D140" s="192">
        <v>2122</v>
      </c>
      <c r="E14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10136</v>
      </c>
      <c r="F140" s="194">
        <f>IF(Entity_Unit_Costs[[#This Row],[Closing social housing units managed]]&gt;0,Entity_Unit_Costs[[#This Row],[Headline Social Housing Cost]]/Entity_Unit_Costs[[#This Row],[Closing social housing units managed]],"")</f>
        <v>4.776625824693685</v>
      </c>
      <c r="G140" s="194">
        <f>IF(Entity_Unit_Costs[[#This Row],[Closing social housing units managed]]&gt;0,Entity_Unit_Costs[[#This Row],[Management]]/Entity_Unit_Costs[[#This Row],[Closing social housing units managed]],"")</f>
        <v>0.73185673892554193</v>
      </c>
      <c r="H140" s="193">
        <v>1553</v>
      </c>
      <c r="I140" s="194">
        <f>IF(Entity_Unit_Costs[[#This Row],[Closing social housing units managed]]&gt;0,Entity_Unit_Costs[[#This Row],[Service charge costs]]/Entity_Unit_Costs[[#This Row],[Closing social housing units managed]],"")</f>
        <v>1.1163996229971724</v>
      </c>
      <c r="J140" s="193">
        <v>2369</v>
      </c>
      <c r="K140" s="194">
        <f>IF(Entity_Unit_Costs[[#This Row],[Closing social housing units managed]]&gt;0,(Entity_Unit_Costs[[#This Row],[Routine maintenance]]+Entity_Unit_Costs[[#This Row],[Planned maintenance]])/Entity_Unit_Costs[[#This Row],[Closing social housing units managed]],"")</f>
        <v>2.0636192271442035</v>
      </c>
      <c r="L140" s="193">
        <v>3801</v>
      </c>
      <c r="M140" s="193">
        <v>578</v>
      </c>
      <c r="N140" s="194">
        <f>IF(Entity_Unit_Costs[[#This Row],[Closing social housing units managed]]&gt;0,(Entity_Unit_Costs[[#This Row],[Major repairs expenditure]]+Entity_Unit_Costs[[#This Row],[Capitalised major repairs expenditure for period]])/Entity_Unit_Costs[[#This Row],[Closing social housing units managed]],"")</f>
        <v>0.46842601319509897</v>
      </c>
      <c r="O140" s="193">
        <v>20</v>
      </c>
      <c r="P140" s="193">
        <v>974</v>
      </c>
      <c r="Q14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0.39632422243166826</v>
      </c>
      <c r="R140" s="193">
        <v>0</v>
      </c>
      <c r="S140" s="193">
        <v>0</v>
      </c>
      <c r="T140" s="193">
        <v>712</v>
      </c>
      <c r="U140" s="193">
        <v>129</v>
      </c>
      <c r="V140" s="195">
        <v>0</v>
      </c>
      <c r="W140" s="183">
        <v>2.4976437323279924E-2</v>
      </c>
      <c r="X140" s="183">
        <v>1.932139491046183E-2</v>
      </c>
      <c r="Y140" s="184" t="s">
        <v>1256</v>
      </c>
      <c r="Z140" s="185"/>
      <c r="AA140" s="186" t="s">
        <v>1279</v>
      </c>
      <c r="AB140" s="187" t="s">
        <v>1267</v>
      </c>
      <c r="AC140" s="188">
        <v>1.2488627787394371</v>
      </c>
      <c r="AD140" s="186" t="s">
        <v>464</v>
      </c>
      <c r="AE140" s="187" t="s">
        <v>1276</v>
      </c>
    </row>
    <row r="141" spans="1:31" x14ac:dyDescent="0.2">
      <c r="A141" s="197">
        <v>4646</v>
      </c>
      <c r="B141" s="190" t="s">
        <v>466</v>
      </c>
      <c r="C141" s="196" t="s">
        <v>200</v>
      </c>
      <c r="D141" s="192">
        <v>12093</v>
      </c>
      <c r="E14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37411</v>
      </c>
      <c r="F141" s="194">
        <f>IF(Entity_Unit_Costs[[#This Row],[Closing social housing units managed]]&gt;0,Entity_Unit_Costs[[#This Row],[Headline Social Housing Cost]]/Entity_Unit_Costs[[#This Row],[Closing social housing units managed]],"")</f>
        <v>3.0936078723228313</v>
      </c>
      <c r="G141" s="194">
        <f>IF(Entity_Unit_Costs[[#This Row],[Closing social housing units managed]]&gt;0,Entity_Unit_Costs[[#This Row],[Management]]/Entity_Unit_Costs[[#This Row],[Closing social housing units managed]],"")</f>
        <v>0.55048375093029023</v>
      </c>
      <c r="H141" s="193">
        <v>6657</v>
      </c>
      <c r="I141" s="194">
        <f>IF(Entity_Unit_Costs[[#This Row],[Closing social housing units managed]]&gt;0,Entity_Unit_Costs[[#This Row],[Service charge costs]]/Entity_Unit_Costs[[#This Row],[Closing social housing units managed]],"")</f>
        <v>0.41958157611841562</v>
      </c>
      <c r="J141" s="193">
        <v>5074</v>
      </c>
      <c r="K141" s="194">
        <f>IF(Entity_Unit_Costs[[#This Row],[Closing social housing units managed]]&gt;0,(Entity_Unit_Costs[[#This Row],[Routine maintenance]]+Entity_Unit_Costs[[#This Row],[Planned maintenance]])/Entity_Unit_Costs[[#This Row],[Closing social housing units managed]],"")</f>
        <v>1.4142892582485735</v>
      </c>
      <c r="L141" s="193">
        <v>11242</v>
      </c>
      <c r="M141" s="193">
        <v>5861</v>
      </c>
      <c r="N141" s="194">
        <f>IF(Entity_Unit_Costs[[#This Row],[Closing social housing units managed]]&gt;0,(Entity_Unit_Costs[[#This Row],[Major repairs expenditure]]+Entity_Unit_Costs[[#This Row],[Capitalised major repairs expenditure for period]])/Entity_Unit_Costs[[#This Row],[Closing social housing units managed]],"")</f>
        <v>0.39849499710576364</v>
      </c>
      <c r="O141" s="193">
        <v>0</v>
      </c>
      <c r="P141" s="193">
        <v>4819</v>
      </c>
      <c r="Q14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0.31075828991978832</v>
      </c>
      <c r="R141" s="193">
        <v>0</v>
      </c>
      <c r="S141" s="193">
        <v>1963</v>
      </c>
      <c r="T141" s="193">
        <v>1171</v>
      </c>
      <c r="U141" s="193">
        <v>326</v>
      </c>
      <c r="V141" s="195">
        <v>298</v>
      </c>
      <c r="W141" s="183">
        <v>4.0221799222047508E-2</v>
      </c>
      <c r="X141" s="183">
        <v>4.0221799222047508E-2</v>
      </c>
      <c r="Y141" s="184" t="s">
        <v>1256</v>
      </c>
      <c r="Z141" s="185"/>
      <c r="AA141" s="186" t="s">
        <v>1279</v>
      </c>
      <c r="AB141" s="187" t="s">
        <v>1266</v>
      </c>
      <c r="AC141" s="188">
        <v>0.9026647648742484</v>
      </c>
      <c r="AD141" s="186">
        <v>4646</v>
      </c>
      <c r="AE141" s="187" t="s">
        <v>466</v>
      </c>
    </row>
    <row r="142" spans="1:31" x14ac:dyDescent="0.2">
      <c r="A142" s="189" t="s">
        <v>468</v>
      </c>
      <c r="B142" s="190" t="s">
        <v>469</v>
      </c>
      <c r="C142" s="196" t="s">
        <v>200</v>
      </c>
      <c r="D142" s="192">
        <v>5031</v>
      </c>
      <c r="E14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17265</v>
      </c>
      <c r="F142" s="194">
        <f>IF(Entity_Unit_Costs[[#This Row],[Closing social housing units managed]]&gt;0,Entity_Unit_Costs[[#This Row],[Headline Social Housing Cost]]/Entity_Unit_Costs[[#This Row],[Closing social housing units managed]],"")</f>
        <v>3.4317233154442457</v>
      </c>
      <c r="G142" s="194">
        <f>IF(Entity_Unit_Costs[[#This Row],[Closing social housing units managed]]&gt;0,Entity_Unit_Costs[[#This Row],[Management]]/Entity_Unit_Costs[[#This Row],[Closing social housing units managed]],"")</f>
        <v>0.97078115682766841</v>
      </c>
      <c r="H142" s="193">
        <v>4884</v>
      </c>
      <c r="I142" s="194">
        <f>IF(Entity_Unit_Costs[[#This Row],[Closing social housing units managed]]&gt;0,Entity_Unit_Costs[[#This Row],[Service charge costs]]/Entity_Unit_Costs[[#This Row],[Closing social housing units managed]],"")</f>
        <v>1.0240508845160008</v>
      </c>
      <c r="J142" s="193">
        <v>5152</v>
      </c>
      <c r="K142" s="194">
        <f>IF(Entity_Unit_Costs[[#This Row],[Closing social housing units managed]]&gt;0,(Entity_Unit_Costs[[#This Row],[Routine maintenance]]+Entity_Unit_Costs[[#This Row],[Planned maintenance]])/Entity_Unit_Costs[[#This Row],[Closing social housing units managed]],"")</f>
        <v>0.872192407076128</v>
      </c>
      <c r="L142" s="193">
        <v>1537</v>
      </c>
      <c r="M142" s="193">
        <v>2851</v>
      </c>
      <c r="N142" s="194">
        <f>IF(Entity_Unit_Costs[[#This Row],[Closing social housing units managed]]&gt;0,(Entity_Unit_Costs[[#This Row],[Major repairs expenditure]]+Entity_Unit_Costs[[#This Row],[Capitalised major repairs expenditure for period]])/Entity_Unit_Costs[[#This Row],[Closing social housing units managed]],"")</f>
        <v>0.54323196183661304</v>
      </c>
      <c r="O142" s="193">
        <v>0</v>
      </c>
      <c r="P142" s="193">
        <v>2733</v>
      </c>
      <c r="Q14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2.1466905187835419E-2</v>
      </c>
      <c r="R142" s="193">
        <v>0</v>
      </c>
      <c r="S142" s="193">
        <v>0</v>
      </c>
      <c r="T142" s="193">
        <v>41</v>
      </c>
      <c r="U142" s="193">
        <v>67</v>
      </c>
      <c r="V142" s="195">
        <v>0</v>
      </c>
      <c r="W142" s="183">
        <v>2.0040899795501024E-2</v>
      </c>
      <c r="X142" s="183">
        <v>0.51247443762781186</v>
      </c>
      <c r="Y142" s="184" t="s">
        <v>1256</v>
      </c>
      <c r="Z142" s="185"/>
      <c r="AA142" s="186" t="s">
        <v>1279</v>
      </c>
      <c r="AB142" s="187" t="s">
        <v>1258</v>
      </c>
      <c r="AC142" s="188">
        <v>0.92180867609721673</v>
      </c>
      <c r="AD142" s="186" t="s">
        <v>468</v>
      </c>
      <c r="AE142" s="187" t="s">
        <v>469</v>
      </c>
    </row>
    <row r="143" spans="1:31" x14ac:dyDescent="0.2">
      <c r="A143" s="189" t="s">
        <v>471</v>
      </c>
      <c r="B143" s="190" t="s">
        <v>472</v>
      </c>
      <c r="C143" s="196" t="s">
        <v>200</v>
      </c>
      <c r="D143" s="192">
        <v>11265</v>
      </c>
      <c r="E14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43201</v>
      </c>
      <c r="F143" s="194">
        <f>IF(Entity_Unit_Costs[[#This Row],[Closing social housing units managed]]&gt;0,Entity_Unit_Costs[[#This Row],[Headline Social Housing Cost]]/Entity_Unit_Costs[[#This Row],[Closing social housing units managed]],"")</f>
        <v>3.8349755881047494</v>
      </c>
      <c r="G143" s="194">
        <f>IF(Entity_Unit_Costs[[#This Row],[Closing social housing units managed]]&gt;0,Entity_Unit_Costs[[#This Row],[Management]]/Entity_Unit_Costs[[#This Row],[Closing social housing units managed]],"")</f>
        <v>0.20355082112738571</v>
      </c>
      <c r="H143" s="193">
        <v>2293</v>
      </c>
      <c r="I143" s="194">
        <f>IF(Entity_Unit_Costs[[#This Row],[Closing social housing units managed]]&gt;0,Entity_Unit_Costs[[#This Row],[Service charge costs]]/Entity_Unit_Costs[[#This Row],[Closing social housing units managed]],"")</f>
        <v>0.323479804704838</v>
      </c>
      <c r="J143" s="193">
        <v>3644</v>
      </c>
      <c r="K143" s="194">
        <f>IF(Entity_Unit_Costs[[#This Row],[Closing social housing units managed]]&gt;0,(Entity_Unit_Costs[[#This Row],[Routine maintenance]]+Entity_Unit_Costs[[#This Row],[Planned maintenance]])/Entity_Unit_Costs[[#This Row],[Closing social housing units managed]],"")</f>
        <v>0.95952063914780295</v>
      </c>
      <c r="L143" s="193">
        <v>10809</v>
      </c>
      <c r="M143" s="193">
        <v>0</v>
      </c>
      <c r="N143" s="194">
        <f>IF(Entity_Unit_Costs[[#This Row],[Closing social housing units managed]]&gt;0,(Entity_Unit_Costs[[#This Row],[Major repairs expenditure]]+Entity_Unit_Costs[[#This Row],[Capitalised major repairs expenditure for period]])/Entity_Unit_Costs[[#This Row],[Closing social housing units managed]],"")</f>
        <v>0.90616955170883262</v>
      </c>
      <c r="O143" s="193">
        <v>1643</v>
      </c>
      <c r="P143" s="193">
        <v>8565</v>
      </c>
      <c r="Q14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1.44225477141589</v>
      </c>
      <c r="R143" s="193">
        <v>13538</v>
      </c>
      <c r="S143" s="193">
        <v>0</v>
      </c>
      <c r="T143" s="193">
        <v>0</v>
      </c>
      <c r="U143" s="193">
        <v>393</v>
      </c>
      <c r="V143" s="195">
        <v>2316</v>
      </c>
      <c r="W143" s="183">
        <v>9.3119596541786739E-2</v>
      </c>
      <c r="X143" s="183">
        <v>3.5662824207492796E-2</v>
      </c>
      <c r="Y143" s="184" t="s">
        <v>1256</v>
      </c>
      <c r="Z143" s="185"/>
      <c r="AA143" s="186" t="s">
        <v>1279</v>
      </c>
      <c r="AB143" s="187" t="s">
        <v>1265</v>
      </c>
      <c r="AC143" s="188">
        <v>0.96664377494299569</v>
      </c>
      <c r="AD143" s="186" t="s">
        <v>1236</v>
      </c>
      <c r="AE143" s="187" t="s">
        <v>474</v>
      </c>
    </row>
    <row r="144" spans="1:31" x14ac:dyDescent="0.2">
      <c r="A144" s="189" t="s">
        <v>477</v>
      </c>
      <c r="B144" s="190" t="s">
        <v>476</v>
      </c>
      <c r="C144" s="191" t="s">
        <v>200</v>
      </c>
      <c r="D144" s="192">
        <v>13282</v>
      </c>
      <c r="E14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36578</v>
      </c>
      <c r="F144" s="194">
        <f>IF(Entity_Unit_Costs[[#This Row],[Closing social housing units managed]]&gt;0,Entity_Unit_Costs[[#This Row],[Headline Social Housing Cost]]/Entity_Unit_Costs[[#This Row],[Closing social housing units managed]],"")</f>
        <v>2.7539527179641619</v>
      </c>
      <c r="G144" s="194">
        <f>IF(Entity_Unit_Costs[[#This Row],[Closing social housing units managed]]&gt;0,Entity_Unit_Costs[[#This Row],[Management]]/Entity_Unit_Costs[[#This Row],[Closing social housing units managed]],"")</f>
        <v>0.89090498418912811</v>
      </c>
      <c r="H144" s="193">
        <v>11833</v>
      </c>
      <c r="I144" s="194">
        <f>IF(Entity_Unit_Costs[[#This Row],[Closing social housing units managed]]&gt;0,Entity_Unit_Costs[[#This Row],[Service charge costs]]/Entity_Unit_Costs[[#This Row],[Closing social housing units managed]],"")</f>
        <v>0.15268784821563017</v>
      </c>
      <c r="J144" s="193">
        <v>2028</v>
      </c>
      <c r="K144" s="194">
        <f>IF(Entity_Unit_Costs[[#This Row],[Closing social housing units managed]]&gt;0,(Entity_Unit_Costs[[#This Row],[Routine maintenance]]+Entity_Unit_Costs[[#This Row],[Planned maintenance]])/Entity_Unit_Costs[[#This Row],[Closing social housing units managed]],"")</f>
        <v>0.85845505195000749</v>
      </c>
      <c r="L144" s="193">
        <v>11402</v>
      </c>
      <c r="M144" s="193">
        <v>0</v>
      </c>
      <c r="N144" s="194">
        <f>IF(Entity_Unit_Costs[[#This Row],[Closing social housing units managed]]&gt;0,(Entity_Unit_Costs[[#This Row],[Major repairs expenditure]]+Entity_Unit_Costs[[#This Row],[Capitalised major repairs expenditure for period]])/Entity_Unit_Costs[[#This Row],[Closing social housing units managed]],"")</f>
        <v>0.61301008884204189</v>
      </c>
      <c r="O144" s="193">
        <v>3373</v>
      </c>
      <c r="P144" s="193">
        <v>4769</v>
      </c>
      <c r="Q14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0.23889474476735431</v>
      </c>
      <c r="R144" s="193">
        <v>2416</v>
      </c>
      <c r="S144" s="193">
        <v>257</v>
      </c>
      <c r="T144" s="193">
        <v>500</v>
      </c>
      <c r="U144" s="193">
        <v>0</v>
      </c>
      <c r="V144" s="195">
        <v>0</v>
      </c>
      <c r="W144" s="183">
        <v>2.8055808310585382E-3</v>
      </c>
      <c r="X144" s="183">
        <v>4.8680618744313009E-2</v>
      </c>
      <c r="Y144" s="184" t="s">
        <v>1257</v>
      </c>
      <c r="Z144" s="185">
        <v>37452</v>
      </c>
      <c r="AA144" s="186" t="s">
        <v>1268</v>
      </c>
      <c r="AB144" s="187" t="s">
        <v>1262</v>
      </c>
      <c r="AC144" s="188">
        <v>0.91566538624456661</v>
      </c>
      <c r="AD144" s="186" t="s">
        <v>477</v>
      </c>
      <c r="AE144" s="187" t="s">
        <v>476</v>
      </c>
    </row>
    <row r="145" spans="1:31" x14ac:dyDescent="0.2">
      <c r="A145" s="189" t="s">
        <v>478</v>
      </c>
      <c r="B145" s="190" t="s">
        <v>479</v>
      </c>
      <c r="C145" s="196" t="s">
        <v>200</v>
      </c>
      <c r="D145" s="192">
        <v>950</v>
      </c>
      <c r="E14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3745</v>
      </c>
      <c r="F145" s="194">
        <f>IF(Entity_Unit_Costs[[#This Row],[Closing social housing units managed]]&gt;0,Entity_Unit_Costs[[#This Row],[Headline Social Housing Cost]]/Entity_Unit_Costs[[#This Row],[Closing social housing units managed]],"")</f>
        <v>3.9421052631578948</v>
      </c>
      <c r="G145" s="194">
        <f>IF(Entity_Unit_Costs[[#This Row],[Closing social housing units managed]]&gt;0,Entity_Unit_Costs[[#This Row],[Management]]/Entity_Unit_Costs[[#This Row],[Closing social housing units managed]],"")</f>
        <v>1.7157894736842105</v>
      </c>
      <c r="H145" s="193">
        <v>1630</v>
      </c>
      <c r="I145" s="194">
        <f>IF(Entity_Unit_Costs[[#This Row],[Closing social housing units managed]]&gt;0,Entity_Unit_Costs[[#This Row],[Service charge costs]]/Entity_Unit_Costs[[#This Row],[Closing social housing units managed]],"")</f>
        <v>0.15368421052631578</v>
      </c>
      <c r="J145" s="193">
        <v>146</v>
      </c>
      <c r="K145" s="194">
        <f>IF(Entity_Unit_Costs[[#This Row],[Closing social housing units managed]]&gt;0,(Entity_Unit_Costs[[#This Row],[Routine maintenance]]+Entity_Unit_Costs[[#This Row],[Planned maintenance]])/Entity_Unit_Costs[[#This Row],[Closing social housing units managed]],"")</f>
        <v>1.0452631578947369</v>
      </c>
      <c r="L145" s="193">
        <v>529</v>
      </c>
      <c r="M145" s="193">
        <v>464</v>
      </c>
      <c r="N145" s="194">
        <f>IF(Entity_Unit_Costs[[#This Row],[Closing social housing units managed]]&gt;0,(Entity_Unit_Costs[[#This Row],[Major repairs expenditure]]+Entity_Unit_Costs[[#This Row],[Capitalised major repairs expenditure for period]])/Entity_Unit_Costs[[#This Row],[Closing social housing units managed]],"")</f>
        <v>0.64</v>
      </c>
      <c r="O145" s="193">
        <v>25</v>
      </c>
      <c r="P145" s="193">
        <v>583</v>
      </c>
      <c r="Q14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0.38736842105263158</v>
      </c>
      <c r="R145" s="193">
        <v>0</v>
      </c>
      <c r="S145" s="193">
        <v>0</v>
      </c>
      <c r="T145" s="193">
        <v>368</v>
      </c>
      <c r="U145" s="193">
        <v>0</v>
      </c>
      <c r="V145" s="195">
        <v>0</v>
      </c>
      <c r="W145" s="183">
        <v>0</v>
      </c>
      <c r="X145" s="183">
        <v>0</v>
      </c>
      <c r="Y145" s="184" t="s">
        <v>1257</v>
      </c>
      <c r="Z145" s="185">
        <v>36185</v>
      </c>
      <c r="AA145" s="186" t="s">
        <v>1268</v>
      </c>
      <c r="AB145" s="187" t="s">
        <v>1262</v>
      </c>
      <c r="AC145" s="188">
        <v>0.9156653862445665</v>
      </c>
      <c r="AD145" s="186" t="s">
        <v>1255</v>
      </c>
      <c r="AE145" s="187" t="s">
        <v>861</v>
      </c>
    </row>
    <row r="146" spans="1:31" x14ac:dyDescent="0.2">
      <c r="A146" s="189" t="s">
        <v>480</v>
      </c>
      <c r="B146" s="190" t="s">
        <v>481</v>
      </c>
      <c r="C146" s="191" t="s">
        <v>200</v>
      </c>
      <c r="D146" s="192">
        <v>1446</v>
      </c>
      <c r="E14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4763</v>
      </c>
      <c r="F146" s="194">
        <f>IF(Entity_Unit_Costs[[#This Row],[Closing social housing units managed]]&gt;0,Entity_Unit_Costs[[#This Row],[Headline Social Housing Cost]]/Entity_Unit_Costs[[#This Row],[Closing social housing units managed]],"")</f>
        <v>3.2939142461964037</v>
      </c>
      <c r="G146" s="194">
        <f>IF(Entity_Unit_Costs[[#This Row],[Closing social housing units managed]]&gt;0,Entity_Unit_Costs[[#This Row],[Management]]/Entity_Unit_Costs[[#This Row],[Closing social housing units managed]],"")</f>
        <v>1.7413554633471646</v>
      </c>
      <c r="H146" s="193">
        <v>2518</v>
      </c>
      <c r="I146" s="194">
        <f>IF(Entity_Unit_Costs[[#This Row],[Closing social housing units managed]]&gt;0,Entity_Unit_Costs[[#This Row],[Service charge costs]]/Entity_Unit_Costs[[#This Row],[Closing social housing units managed]],"")</f>
        <v>0.2648686030428769</v>
      </c>
      <c r="J146" s="193">
        <v>383</v>
      </c>
      <c r="K146" s="194">
        <f>IF(Entity_Unit_Costs[[#This Row],[Closing social housing units managed]]&gt;0,(Entity_Unit_Costs[[#This Row],[Routine maintenance]]+Entity_Unit_Costs[[#This Row],[Planned maintenance]])/Entity_Unit_Costs[[#This Row],[Closing social housing units managed]],"")</f>
        <v>0.72614107883817425</v>
      </c>
      <c r="L146" s="193">
        <v>489</v>
      </c>
      <c r="M146" s="193">
        <v>561</v>
      </c>
      <c r="N146" s="194">
        <f>IF(Entity_Unit_Costs[[#This Row],[Closing social housing units managed]]&gt;0,(Entity_Unit_Costs[[#This Row],[Major repairs expenditure]]+Entity_Unit_Costs[[#This Row],[Capitalised major repairs expenditure for period]])/Entity_Unit_Costs[[#This Row],[Closing social housing units managed]],"")</f>
        <v>0.48340248962655602</v>
      </c>
      <c r="O146" s="193">
        <v>85</v>
      </c>
      <c r="P146" s="193">
        <v>614</v>
      </c>
      <c r="Q14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7.8146611341632088E-2</v>
      </c>
      <c r="R146" s="193">
        <v>15</v>
      </c>
      <c r="S146" s="193">
        <v>11</v>
      </c>
      <c r="T146" s="193">
        <v>87</v>
      </c>
      <c r="U146" s="193">
        <v>0</v>
      </c>
      <c r="V146" s="195">
        <v>0</v>
      </c>
      <c r="W146" s="183">
        <v>0</v>
      </c>
      <c r="X146" s="183">
        <v>9.6818810511756573E-2</v>
      </c>
      <c r="Y146" s="184" t="s">
        <v>1256</v>
      </c>
      <c r="Z146" s="185"/>
      <c r="AA146" s="186" t="s">
        <v>1279</v>
      </c>
      <c r="AB146" s="187" t="s">
        <v>1264</v>
      </c>
      <c r="AC146" s="188">
        <v>0.94793796391249596</v>
      </c>
      <c r="AD146" s="186" t="s">
        <v>480</v>
      </c>
      <c r="AE146" s="187" t="s">
        <v>481</v>
      </c>
    </row>
    <row r="147" spans="1:31" x14ac:dyDescent="0.2">
      <c r="A147" s="189" t="s">
        <v>482</v>
      </c>
      <c r="B147" s="190" t="s">
        <v>100</v>
      </c>
      <c r="C147" s="191" t="s">
        <v>200</v>
      </c>
      <c r="D147" s="192">
        <v>3663</v>
      </c>
      <c r="E14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11669</v>
      </c>
      <c r="F147" s="194">
        <f>IF(Entity_Unit_Costs[[#This Row],[Closing social housing units managed]]&gt;0,Entity_Unit_Costs[[#This Row],[Headline Social Housing Cost]]/Entity_Unit_Costs[[#This Row],[Closing social housing units managed]],"")</f>
        <v>3.1856401856401857</v>
      </c>
      <c r="G147" s="194">
        <f>IF(Entity_Unit_Costs[[#This Row],[Closing social housing units managed]]&gt;0,Entity_Unit_Costs[[#This Row],[Management]]/Entity_Unit_Costs[[#This Row],[Closing social housing units managed]],"")</f>
        <v>0.94157794157794161</v>
      </c>
      <c r="H147" s="193">
        <v>3449</v>
      </c>
      <c r="I147" s="194">
        <f>IF(Entity_Unit_Costs[[#This Row],[Closing social housing units managed]]&gt;0,Entity_Unit_Costs[[#This Row],[Service charge costs]]/Entity_Unit_Costs[[#This Row],[Closing social housing units managed]],"")</f>
        <v>0.23314223314223315</v>
      </c>
      <c r="J147" s="193">
        <v>854</v>
      </c>
      <c r="K147" s="194">
        <f>IF(Entity_Unit_Costs[[#This Row],[Closing social housing units managed]]&gt;0,(Entity_Unit_Costs[[#This Row],[Routine maintenance]]+Entity_Unit_Costs[[#This Row],[Planned maintenance]])/Entity_Unit_Costs[[#This Row],[Closing social housing units managed]],"")</f>
        <v>0.9232869232869233</v>
      </c>
      <c r="L147" s="193">
        <v>2669</v>
      </c>
      <c r="M147" s="193">
        <v>713</v>
      </c>
      <c r="N147" s="194">
        <f>IF(Entity_Unit_Costs[[#This Row],[Closing social housing units managed]]&gt;0,(Entity_Unit_Costs[[#This Row],[Major repairs expenditure]]+Entity_Unit_Costs[[#This Row],[Capitalised major repairs expenditure for period]])/Entity_Unit_Costs[[#This Row],[Closing social housing units managed]],"")</f>
        <v>0.81053781053781049</v>
      </c>
      <c r="O147" s="193">
        <v>890</v>
      </c>
      <c r="P147" s="193">
        <v>2079</v>
      </c>
      <c r="Q14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0.27709527709527709</v>
      </c>
      <c r="R147" s="193">
        <v>434</v>
      </c>
      <c r="S147" s="193">
        <v>0</v>
      </c>
      <c r="T147" s="193">
        <v>432</v>
      </c>
      <c r="U147" s="193">
        <v>147</v>
      </c>
      <c r="V147" s="195">
        <v>2</v>
      </c>
      <c r="W147" s="183">
        <v>5.0038890329271453E-2</v>
      </c>
      <c r="X147" s="183">
        <v>7.0002592688618095E-2</v>
      </c>
      <c r="Y147" s="184" t="s">
        <v>1256</v>
      </c>
      <c r="Z147" s="185"/>
      <c r="AA147" s="186" t="s">
        <v>1279</v>
      </c>
      <c r="AB147" s="187" t="s">
        <v>1264</v>
      </c>
      <c r="AC147" s="188">
        <v>0.94806345645516765</v>
      </c>
      <c r="AD147" s="186" t="s">
        <v>482</v>
      </c>
      <c r="AE147" s="187" t="s">
        <v>100</v>
      </c>
    </row>
    <row r="148" spans="1:31" x14ac:dyDescent="0.2">
      <c r="A148" s="189" t="s">
        <v>483</v>
      </c>
      <c r="B148" s="190" t="s">
        <v>484</v>
      </c>
      <c r="C148" s="196" t="s">
        <v>200</v>
      </c>
      <c r="D148" s="192">
        <v>7268</v>
      </c>
      <c r="E14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25515</v>
      </c>
      <c r="F148" s="194">
        <f>IF(Entity_Unit_Costs[[#This Row],[Closing social housing units managed]]&gt;0,Entity_Unit_Costs[[#This Row],[Headline Social Housing Cost]]/Entity_Unit_Costs[[#This Row],[Closing social housing units managed]],"")</f>
        <v>3.5105943863511282</v>
      </c>
      <c r="G148" s="194">
        <f>IF(Entity_Unit_Costs[[#This Row],[Closing social housing units managed]]&gt;0,Entity_Unit_Costs[[#This Row],[Management]]/Entity_Unit_Costs[[#This Row],[Closing social housing units managed]],"")</f>
        <v>1.1242432581177766</v>
      </c>
      <c r="H148" s="193">
        <v>8171</v>
      </c>
      <c r="I148" s="194">
        <f>IF(Entity_Unit_Costs[[#This Row],[Closing social housing units managed]]&gt;0,Entity_Unit_Costs[[#This Row],[Service charge costs]]/Entity_Unit_Costs[[#This Row],[Closing social housing units managed]],"")</f>
        <v>0.45583379196477708</v>
      </c>
      <c r="J148" s="193">
        <v>3313</v>
      </c>
      <c r="K148" s="194">
        <f>IF(Entity_Unit_Costs[[#This Row],[Closing social housing units managed]]&gt;0,(Entity_Unit_Costs[[#This Row],[Routine maintenance]]+Entity_Unit_Costs[[#This Row],[Planned maintenance]])/Entity_Unit_Costs[[#This Row],[Closing social housing units managed]],"")</f>
        <v>0.86474958723170059</v>
      </c>
      <c r="L148" s="193">
        <v>4823</v>
      </c>
      <c r="M148" s="193">
        <v>1462</v>
      </c>
      <c r="N148" s="194">
        <f>IF(Entity_Unit_Costs[[#This Row],[Closing social housing units managed]]&gt;0,(Entity_Unit_Costs[[#This Row],[Major repairs expenditure]]+Entity_Unit_Costs[[#This Row],[Capitalised major repairs expenditure for period]])/Entity_Unit_Costs[[#This Row],[Closing social housing units managed]],"")</f>
        <v>0.92198679141441942</v>
      </c>
      <c r="O148" s="193">
        <v>218</v>
      </c>
      <c r="P148" s="193">
        <v>6483</v>
      </c>
      <c r="Q14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0.1437809576224546</v>
      </c>
      <c r="R148" s="193">
        <v>0</v>
      </c>
      <c r="S148" s="193">
        <v>0</v>
      </c>
      <c r="T148" s="193">
        <v>1028</v>
      </c>
      <c r="U148" s="193">
        <v>17</v>
      </c>
      <c r="V148" s="195">
        <v>0</v>
      </c>
      <c r="W148" s="183">
        <v>4.2214449402967071E-2</v>
      </c>
      <c r="X148" s="183">
        <v>8.599686406947292E-2</v>
      </c>
      <c r="Y148" s="184" t="s">
        <v>1256</v>
      </c>
      <c r="Z148" s="185"/>
      <c r="AA148" s="186" t="s">
        <v>1279</v>
      </c>
      <c r="AB148" s="187" t="s">
        <v>1261</v>
      </c>
      <c r="AC148" s="188">
        <v>0.92025318307010029</v>
      </c>
      <c r="AD148" s="186" t="s">
        <v>1224</v>
      </c>
      <c r="AE148" s="187" t="s">
        <v>246</v>
      </c>
    </row>
    <row r="149" spans="1:31" x14ac:dyDescent="0.2">
      <c r="A149" s="189" t="s">
        <v>485</v>
      </c>
      <c r="B149" s="190" t="s">
        <v>486</v>
      </c>
      <c r="C149" s="191" t="s">
        <v>200</v>
      </c>
      <c r="D149" s="192">
        <v>10972</v>
      </c>
      <c r="E14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46931</v>
      </c>
      <c r="F149" s="194">
        <f>IF(Entity_Unit_Costs[[#This Row],[Closing social housing units managed]]&gt;0,Entity_Unit_Costs[[#This Row],[Headline Social Housing Cost]]/Entity_Unit_Costs[[#This Row],[Closing social housing units managed]],"")</f>
        <v>4.2773423259205252</v>
      </c>
      <c r="G149" s="194">
        <f>IF(Entity_Unit_Costs[[#This Row],[Closing social housing units managed]]&gt;0,Entity_Unit_Costs[[#This Row],[Management]]/Entity_Unit_Costs[[#This Row],[Closing social housing units managed]],"")</f>
        <v>1.1520233321181188</v>
      </c>
      <c r="H149" s="193">
        <v>12640</v>
      </c>
      <c r="I149" s="194">
        <f>IF(Entity_Unit_Costs[[#This Row],[Closing social housing units managed]]&gt;0,Entity_Unit_Costs[[#This Row],[Service charge costs]]/Entity_Unit_Costs[[#This Row],[Closing social housing units managed]],"")</f>
        <v>0.46454611738971929</v>
      </c>
      <c r="J149" s="193">
        <v>5097</v>
      </c>
      <c r="K149" s="194">
        <f>IF(Entity_Unit_Costs[[#This Row],[Closing social housing units managed]]&gt;0,(Entity_Unit_Costs[[#This Row],[Routine maintenance]]+Entity_Unit_Costs[[#This Row],[Planned maintenance]])/Entity_Unit_Costs[[#This Row],[Closing social housing units managed]],"")</f>
        <v>1.5879511483776887</v>
      </c>
      <c r="L149" s="193">
        <v>8925</v>
      </c>
      <c r="M149" s="193">
        <v>8498</v>
      </c>
      <c r="N149" s="194">
        <f>IF(Entity_Unit_Costs[[#This Row],[Closing social housing units managed]]&gt;0,(Entity_Unit_Costs[[#This Row],[Major repairs expenditure]]+Entity_Unit_Costs[[#This Row],[Capitalised major repairs expenditure for period]])/Entity_Unit_Costs[[#This Row],[Closing social housing units managed]],"")</f>
        <v>0.80468465184104998</v>
      </c>
      <c r="O149" s="193">
        <v>890</v>
      </c>
      <c r="P149" s="193">
        <v>7939</v>
      </c>
      <c r="Q14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0.26813707619394822</v>
      </c>
      <c r="R149" s="193">
        <v>474</v>
      </c>
      <c r="S149" s="193">
        <v>0</v>
      </c>
      <c r="T149" s="193">
        <v>79</v>
      </c>
      <c r="U149" s="193">
        <v>508</v>
      </c>
      <c r="V149" s="195">
        <v>1881</v>
      </c>
      <c r="W149" s="183">
        <v>0.11066208082545143</v>
      </c>
      <c r="X149" s="183">
        <v>5.2364574376612211E-2</v>
      </c>
      <c r="Y149" s="184" t="s">
        <v>1257</v>
      </c>
      <c r="Z149" s="185">
        <v>38390</v>
      </c>
      <c r="AA149" s="186" t="s">
        <v>1268</v>
      </c>
      <c r="AB149" s="187" t="s">
        <v>1262</v>
      </c>
      <c r="AC149" s="188">
        <v>0.91566538624456639</v>
      </c>
      <c r="AD149" s="186">
        <v>4649</v>
      </c>
      <c r="AE149" s="187" t="s">
        <v>864</v>
      </c>
    </row>
    <row r="150" spans="1:31" x14ac:dyDescent="0.2">
      <c r="A150" s="189" t="s">
        <v>103</v>
      </c>
      <c r="B150" s="190" t="s">
        <v>102</v>
      </c>
      <c r="C150" s="196" t="s">
        <v>200</v>
      </c>
      <c r="D150" s="192">
        <v>15334</v>
      </c>
      <c r="E15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42260</v>
      </c>
      <c r="F150" s="194">
        <f>IF(Entity_Unit_Costs[[#This Row],[Closing social housing units managed]]&gt;0,Entity_Unit_Costs[[#This Row],[Headline Social Housing Cost]]/Entity_Unit_Costs[[#This Row],[Closing social housing units managed]],"")</f>
        <v>2.7559671318638319</v>
      </c>
      <c r="G150" s="194">
        <f>IF(Entity_Unit_Costs[[#This Row],[Closing social housing units managed]]&gt;0,Entity_Unit_Costs[[#This Row],[Management]]/Entity_Unit_Costs[[#This Row],[Closing social housing units managed]],"")</f>
        <v>0.98037041867744878</v>
      </c>
      <c r="H150" s="193">
        <v>15033</v>
      </c>
      <c r="I150" s="194">
        <f>IF(Entity_Unit_Costs[[#This Row],[Closing social housing units managed]]&gt;0,Entity_Unit_Costs[[#This Row],[Service charge costs]]/Entity_Unit_Costs[[#This Row],[Closing social housing units managed]],"")</f>
        <v>0.22512064692839442</v>
      </c>
      <c r="J150" s="193">
        <v>3452</v>
      </c>
      <c r="K150" s="194">
        <f>IF(Entity_Unit_Costs[[#This Row],[Closing social housing units managed]]&gt;0,(Entity_Unit_Costs[[#This Row],[Routine maintenance]]+Entity_Unit_Costs[[#This Row],[Planned maintenance]])/Entity_Unit_Costs[[#This Row],[Closing social housing units managed]],"")</f>
        <v>0.83272466414503721</v>
      </c>
      <c r="L150" s="193">
        <v>11684</v>
      </c>
      <c r="M150" s="193">
        <v>1085</v>
      </c>
      <c r="N150" s="194">
        <f>IF(Entity_Unit_Costs[[#This Row],[Closing social housing units managed]]&gt;0,(Entity_Unit_Costs[[#This Row],[Major repairs expenditure]]+Entity_Unit_Costs[[#This Row],[Capitalised major repairs expenditure for period]])/Entity_Unit_Costs[[#This Row],[Closing social housing units managed]],"")</f>
        <v>0.69446980566062344</v>
      </c>
      <c r="O150" s="193">
        <v>0</v>
      </c>
      <c r="P150" s="193">
        <v>10649</v>
      </c>
      <c r="Q15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2.3281596452328159E-2</v>
      </c>
      <c r="R150" s="193">
        <v>357</v>
      </c>
      <c r="S150" s="193">
        <v>0</v>
      </c>
      <c r="T150" s="193">
        <v>0</v>
      </c>
      <c r="U150" s="193">
        <v>0</v>
      </c>
      <c r="V150" s="195">
        <v>0</v>
      </c>
      <c r="W150" s="183">
        <v>4.165039698034622E-3</v>
      </c>
      <c r="X150" s="183">
        <v>4.698685409345308E-2</v>
      </c>
      <c r="Y150" s="184" t="s">
        <v>1257</v>
      </c>
      <c r="Z150" s="185">
        <v>39538</v>
      </c>
      <c r="AA150" s="186" t="s">
        <v>1280</v>
      </c>
      <c r="AB150" s="187" t="s">
        <v>1262</v>
      </c>
      <c r="AC150" s="188">
        <v>0.9156653862445665</v>
      </c>
      <c r="AD150" s="186" t="s">
        <v>103</v>
      </c>
      <c r="AE150" s="187" t="s">
        <v>102</v>
      </c>
    </row>
    <row r="151" spans="1:31" x14ac:dyDescent="0.2">
      <c r="A151" s="189" t="s">
        <v>488</v>
      </c>
      <c r="B151" s="190" t="s">
        <v>489</v>
      </c>
      <c r="C151" s="196" t="s">
        <v>200</v>
      </c>
      <c r="D151" s="192">
        <v>8373</v>
      </c>
      <c r="E15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17593</v>
      </c>
      <c r="F151" s="194">
        <f>IF(Entity_Unit_Costs[[#This Row],[Closing social housing units managed]]&gt;0,Entity_Unit_Costs[[#This Row],[Headline Social Housing Cost]]/Entity_Unit_Costs[[#This Row],[Closing social housing units managed]],"")</f>
        <v>2.1011584856085035</v>
      </c>
      <c r="G151" s="194">
        <f>IF(Entity_Unit_Costs[[#This Row],[Closing social housing units managed]]&gt;0,Entity_Unit_Costs[[#This Row],[Management]]/Entity_Unit_Costs[[#This Row],[Closing social housing units managed]],"")</f>
        <v>0.91663680879015885</v>
      </c>
      <c r="H151" s="193">
        <v>7675</v>
      </c>
      <c r="I151" s="194">
        <f>IF(Entity_Unit_Costs[[#This Row],[Closing social housing units managed]]&gt;0,Entity_Unit_Costs[[#This Row],[Service charge costs]]/Entity_Unit_Costs[[#This Row],[Closing social housing units managed]],"")</f>
        <v>9.0767944583781193E-3</v>
      </c>
      <c r="J151" s="193">
        <v>76</v>
      </c>
      <c r="K151" s="194">
        <f>IF(Entity_Unit_Costs[[#This Row],[Closing social housing units managed]]&gt;0,(Entity_Unit_Costs[[#This Row],[Routine maintenance]]+Entity_Unit_Costs[[#This Row],[Planned maintenance]])/Entity_Unit_Costs[[#This Row],[Closing social housing units managed]],"")</f>
        <v>0.91042637047653174</v>
      </c>
      <c r="L151" s="193">
        <v>7335</v>
      </c>
      <c r="M151" s="193">
        <v>288</v>
      </c>
      <c r="N151" s="194">
        <f>IF(Entity_Unit_Costs[[#This Row],[Closing social housing units managed]]&gt;0,(Entity_Unit_Costs[[#This Row],[Major repairs expenditure]]+Entity_Unit_Costs[[#This Row],[Capitalised major repairs expenditure for period]])/Entity_Unit_Costs[[#This Row],[Closing social housing units managed]],"")</f>
        <v>0.1443926907918309</v>
      </c>
      <c r="O151" s="193">
        <v>0</v>
      </c>
      <c r="P151" s="193">
        <v>1209</v>
      </c>
      <c r="Q15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0.12062582109160397</v>
      </c>
      <c r="R151" s="193">
        <v>536</v>
      </c>
      <c r="S151" s="193">
        <v>0</v>
      </c>
      <c r="T151" s="193">
        <v>474</v>
      </c>
      <c r="U151" s="193">
        <v>0</v>
      </c>
      <c r="V151" s="195">
        <v>0</v>
      </c>
      <c r="W151" s="183">
        <v>0</v>
      </c>
      <c r="X151" s="183">
        <v>0</v>
      </c>
      <c r="Y151" s="184" t="s">
        <v>1257</v>
      </c>
      <c r="Z151" s="185">
        <v>39902</v>
      </c>
      <c r="AA151" s="186" t="s">
        <v>1280</v>
      </c>
      <c r="AB151" s="187" t="s">
        <v>1266</v>
      </c>
      <c r="AC151" s="188">
        <v>0.9026647648742484</v>
      </c>
      <c r="AD151" s="186" t="s">
        <v>488</v>
      </c>
      <c r="AE151" s="187" t="s">
        <v>489</v>
      </c>
    </row>
    <row r="152" spans="1:31" x14ac:dyDescent="0.2">
      <c r="A152" s="189" t="s">
        <v>105</v>
      </c>
      <c r="B152" s="190" t="s">
        <v>104</v>
      </c>
      <c r="C152" s="191" t="s">
        <v>200</v>
      </c>
      <c r="D152" s="192">
        <v>1908</v>
      </c>
      <c r="E15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4786</v>
      </c>
      <c r="F152" s="194">
        <f>IF(Entity_Unit_Costs[[#This Row],[Closing social housing units managed]]&gt;0,Entity_Unit_Costs[[#This Row],[Headline Social Housing Cost]]/Entity_Unit_Costs[[#This Row],[Closing social housing units managed]],"")</f>
        <v>2.508385744234801</v>
      </c>
      <c r="G152" s="194">
        <f>IF(Entity_Unit_Costs[[#This Row],[Closing social housing units managed]]&gt;0,Entity_Unit_Costs[[#This Row],[Management]]/Entity_Unit_Costs[[#This Row],[Closing social housing units managed]],"")</f>
        <v>1.3113207547169812</v>
      </c>
      <c r="H152" s="193">
        <v>2502</v>
      </c>
      <c r="I152" s="194">
        <f>IF(Entity_Unit_Costs[[#This Row],[Closing social housing units managed]]&gt;0,Entity_Unit_Costs[[#This Row],[Service charge costs]]/Entity_Unit_Costs[[#This Row],[Closing social housing units managed]],"")</f>
        <v>0.20754716981132076</v>
      </c>
      <c r="J152" s="193">
        <v>396</v>
      </c>
      <c r="K152" s="194">
        <f>IF(Entity_Unit_Costs[[#This Row],[Closing social housing units managed]]&gt;0,(Entity_Unit_Costs[[#This Row],[Routine maintenance]]+Entity_Unit_Costs[[#This Row],[Planned maintenance]])/Entity_Unit_Costs[[#This Row],[Closing social housing units managed]],"")</f>
        <v>0.43186582809224316</v>
      </c>
      <c r="L152" s="193">
        <v>475</v>
      </c>
      <c r="M152" s="193">
        <v>349</v>
      </c>
      <c r="N152" s="194">
        <f>IF(Entity_Unit_Costs[[#This Row],[Closing social housing units managed]]&gt;0,(Entity_Unit_Costs[[#This Row],[Major repairs expenditure]]+Entity_Unit_Costs[[#This Row],[Capitalised major repairs expenditure for period]])/Entity_Unit_Costs[[#This Row],[Closing social housing units managed]],"")</f>
        <v>0.44077568134171907</v>
      </c>
      <c r="O152" s="193">
        <v>44</v>
      </c>
      <c r="P152" s="193">
        <v>797</v>
      </c>
      <c r="Q15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0.11687631027253668</v>
      </c>
      <c r="R152" s="193">
        <v>223</v>
      </c>
      <c r="S152" s="193">
        <v>0</v>
      </c>
      <c r="T152" s="193">
        <v>0</v>
      </c>
      <c r="U152" s="193">
        <v>0</v>
      </c>
      <c r="V152" s="195">
        <v>0</v>
      </c>
      <c r="W152" s="183">
        <v>0</v>
      </c>
      <c r="X152" s="183">
        <v>0</v>
      </c>
      <c r="Y152" s="184" t="s">
        <v>1256</v>
      </c>
      <c r="Z152" s="185"/>
      <c r="AA152" s="186" t="s">
        <v>1279</v>
      </c>
      <c r="AB152" s="187" t="s">
        <v>1267</v>
      </c>
      <c r="AC152" s="188">
        <v>1.2315674999700374</v>
      </c>
      <c r="AD152" s="186" t="s">
        <v>105</v>
      </c>
      <c r="AE152" s="187" t="s">
        <v>104</v>
      </c>
    </row>
    <row r="153" spans="1:31" x14ac:dyDescent="0.2">
      <c r="A153" s="189" t="s">
        <v>490</v>
      </c>
      <c r="B153" s="190" t="s">
        <v>491</v>
      </c>
      <c r="C153" s="196" t="s">
        <v>200</v>
      </c>
      <c r="D153" s="192">
        <v>64521</v>
      </c>
      <c r="E15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199419</v>
      </c>
      <c r="F153" s="194">
        <f>IF(Entity_Unit_Costs[[#This Row],[Closing social housing units managed]]&gt;0,Entity_Unit_Costs[[#This Row],[Headline Social Housing Cost]]/Entity_Unit_Costs[[#This Row],[Closing social housing units managed]],"")</f>
        <v>3.0907611475333612</v>
      </c>
      <c r="G153" s="194">
        <f>IF(Entity_Unit_Costs[[#This Row],[Closing social housing units managed]]&gt;0,Entity_Unit_Costs[[#This Row],[Management]]/Entity_Unit_Costs[[#This Row],[Closing social housing units managed]],"")</f>
        <v>0.55394367725236748</v>
      </c>
      <c r="H153" s="193">
        <v>35741</v>
      </c>
      <c r="I153" s="194">
        <f>IF(Entity_Unit_Costs[[#This Row],[Closing social housing units managed]]&gt;0,Entity_Unit_Costs[[#This Row],[Service charge costs]]/Entity_Unit_Costs[[#This Row],[Closing social housing units managed]],"")</f>
        <v>0.55557105438539389</v>
      </c>
      <c r="J153" s="193">
        <v>35846</v>
      </c>
      <c r="K153" s="194">
        <f>IF(Entity_Unit_Costs[[#This Row],[Closing social housing units managed]]&gt;0,(Entity_Unit_Costs[[#This Row],[Routine maintenance]]+Entity_Unit_Costs[[#This Row],[Planned maintenance]])/Entity_Unit_Costs[[#This Row],[Closing social housing units managed]],"")</f>
        <v>1.2154492335828644</v>
      </c>
      <c r="L153" s="193">
        <v>50191</v>
      </c>
      <c r="M153" s="193">
        <v>28231</v>
      </c>
      <c r="N153" s="194">
        <f>IF(Entity_Unit_Costs[[#This Row],[Closing social housing units managed]]&gt;0,(Entity_Unit_Costs[[#This Row],[Major repairs expenditure]]+Entity_Unit_Costs[[#This Row],[Capitalised major repairs expenditure for period]])/Entity_Unit_Costs[[#This Row],[Closing social housing units managed]],"")</f>
        <v>0.57482060104462118</v>
      </c>
      <c r="O153" s="193">
        <v>0</v>
      </c>
      <c r="P153" s="193">
        <v>37088</v>
      </c>
      <c r="Q15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0.19097658126811426</v>
      </c>
      <c r="R153" s="193">
        <v>135</v>
      </c>
      <c r="S153" s="193">
        <v>0</v>
      </c>
      <c r="T153" s="193">
        <v>1878</v>
      </c>
      <c r="U153" s="193">
        <v>3484</v>
      </c>
      <c r="V153" s="195">
        <v>6825</v>
      </c>
      <c r="W153" s="183">
        <v>3.139740566037736E-2</v>
      </c>
      <c r="X153" s="183">
        <v>3.9078878406708595E-2</v>
      </c>
      <c r="Y153" s="184" t="s">
        <v>1256</v>
      </c>
      <c r="Z153" s="185"/>
      <c r="AA153" s="186" t="s">
        <v>1279</v>
      </c>
      <c r="AB153" s="187" t="s">
        <v>1267</v>
      </c>
      <c r="AC153" s="188">
        <v>1.2094391571439942</v>
      </c>
      <c r="AD153" s="186" t="s">
        <v>490</v>
      </c>
      <c r="AE153" s="187" t="s">
        <v>491</v>
      </c>
    </row>
    <row r="154" spans="1:31" x14ac:dyDescent="0.2">
      <c r="A154" s="189" t="s">
        <v>107</v>
      </c>
      <c r="B154" s="190" t="s">
        <v>106</v>
      </c>
      <c r="C154" s="196" t="s">
        <v>200</v>
      </c>
      <c r="D154" s="192">
        <v>8945</v>
      </c>
      <c r="E15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21507</v>
      </c>
      <c r="F154" s="194">
        <f>IF(Entity_Unit_Costs[[#This Row],[Closing social housing units managed]]&gt;0,Entity_Unit_Costs[[#This Row],[Headline Social Housing Cost]]/Entity_Unit_Costs[[#This Row],[Closing social housing units managed]],"")</f>
        <v>2.4043599776411404</v>
      </c>
      <c r="G154" s="194">
        <f>IF(Entity_Unit_Costs[[#This Row],[Closing social housing units managed]]&gt;0,Entity_Unit_Costs[[#This Row],[Management]]/Entity_Unit_Costs[[#This Row],[Closing social housing units managed]],"")</f>
        <v>0.52375628842929012</v>
      </c>
      <c r="H154" s="193">
        <v>4685</v>
      </c>
      <c r="I154" s="194">
        <f>IF(Entity_Unit_Costs[[#This Row],[Closing social housing units managed]]&gt;0,Entity_Unit_Costs[[#This Row],[Service charge costs]]/Entity_Unit_Costs[[#This Row],[Closing social housing units managed]],"")</f>
        <v>0.45030743432084963</v>
      </c>
      <c r="J154" s="193">
        <v>4028</v>
      </c>
      <c r="K154" s="194">
        <f>IF(Entity_Unit_Costs[[#This Row],[Closing social housing units managed]]&gt;0,(Entity_Unit_Costs[[#This Row],[Routine maintenance]]+Entity_Unit_Costs[[#This Row],[Planned maintenance]])/Entity_Unit_Costs[[#This Row],[Closing social housing units managed]],"")</f>
        <v>0.60089435438792627</v>
      </c>
      <c r="L154" s="193">
        <v>3724</v>
      </c>
      <c r="M154" s="193">
        <v>1651</v>
      </c>
      <c r="N154" s="194">
        <f>IF(Entity_Unit_Costs[[#This Row],[Closing social housing units managed]]&gt;0,(Entity_Unit_Costs[[#This Row],[Major repairs expenditure]]+Entity_Unit_Costs[[#This Row],[Capitalised major repairs expenditure for period]])/Entity_Unit_Costs[[#This Row],[Closing social housing units managed]],"")</f>
        <v>0.41833426495248743</v>
      </c>
      <c r="O154" s="193">
        <v>468</v>
      </c>
      <c r="P154" s="193">
        <v>3274</v>
      </c>
      <c r="Q15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0.4110676355505869</v>
      </c>
      <c r="R154" s="193">
        <v>9</v>
      </c>
      <c r="S154" s="193">
        <v>908</v>
      </c>
      <c r="T154" s="193">
        <v>2089</v>
      </c>
      <c r="U154" s="193">
        <v>671</v>
      </c>
      <c r="V154" s="195">
        <v>0</v>
      </c>
      <c r="W154" s="183">
        <v>1.2970335174007962E-2</v>
      </c>
      <c r="X154" s="183">
        <v>3.4673173237447029E-2</v>
      </c>
      <c r="Y154" s="184" t="s">
        <v>1256</v>
      </c>
      <c r="Z154" s="185"/>
      <c r="AA154" s="186" t="s">
        <v>1279</v>
      </c>
      <c r="AB154" s="187" t="s">
        <v>1261</v>
      </c>
      <c r="AC154" s="188">
        <v>0.93728682358476334</v>
      </c>
      <c r="AD154" s="186" t="s">
        <v>1237</v>
      </c>
      <c r="AE154" s="187" t="s">
        <v>494</v>
      </c>
    </row>
    <row r="155" spans="1:31" x14ac:dyDescent="0.2">
      <c r="A155" s="189" t="s">
        <v>497</v>
      </c>
      <c r="B155" s="190" t="s">
        <v>496</v>
      </c>
      <c r="C155" s="196" t="s">
        <v>200</v>
      </c>
      <c r="D155" s="192">
        <v>2352</v>
      </c>
      <c r="E15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51812</v>
      </c>
      <c r="F155" s="194">
        <f>IF(Entity_Unit_Costs[[#This Row],[Closing social housing units managed]]&gt;0,Entity_Unit_Costs[[#This Row],[Headline Social Housing Cost]]/Entity_Unit_Costs[[#This Row],[Closing social housing units managed]],"")</f>
        <v>22.028911564625851</v>
      </c>
      <c r="G155" s="194">
        <f>IF(Entity_Unit_Costs[[#This Row],[Closing social housing units managed]]&gt;0,Entity_Unit_Costs[[#This Row],[Management]]/Entity_Unit_Costs[[#This Row],[Closing social housing units managed]],"")</f>
        <v>3.9974489795918369</v>
      </c>
      <c r="H155" s="193">
        <v>9402</v>
      </c>
      <c r="I155" s="194">
        <f>IF(Entity_Unit_Costs[[#This Row],[Closing social housing units managed]]&gt;0,Entity_Unit_Costs[[#This Row],[Service charge costs]]/Entity_Unit_Costs[[#This Row],[Closing social housing units managed]],"")</f>
        <v>3.2295918367346941</v>
      </c>
      <c r="J155" s="193">
        <v>7596</v>
      </c>
      <c r="K155" s="194">
        <f>IF(Entity_Unit_Costs[[#This Row],[Closing social housing units managed]]&gt;0,(Entity_Unit_Costs[[#This Row],[Routine maintenance]]+Entity_Unit_Costs[[#This Row],[Planned maintenance]])/Entity_Unit_Costs[[#This Row],[Closing social housing units managed]],"")</f>
        <v>0.79889455782312924</v>
      </c>
      <c r="L155" s="193">
        <v>1879</v>
      </c>
      <c r="M155" s="193">
        <v>0</v>
      </c>
      <c r="N155" s="194">
        <f>IF(Entity_Unit_Costs[[#This Row],[Closing social housing units managed]]&gt;0,(Entity_Unit_Costs[[#This Row],[Major repairs expenditure]]+Entity_Unit_Costs[[#This Row],[Capitalised major repairs expenditure for period]])/Entity_Unit_Costs[[#This Row],[Closing social housing units managed]],"")</f>
        <v>0.83163265306122447</v>
      </c>
      <c r="O155" s="193">
        <v>437</v>
      </c>
      <c r="P155" s="193">
        <v>1519</v>
      </c>
      <c r="Q15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13.171343537414966</v>
      </c>
      <c r="R155" s="193">
        <v>0</v>
      </c>
      <c r="S155" s="193">
        <v>30979</v>
      </c>
      <c r="T155" s="193">
        <v>0</v>
      </c>
      <c r="U155" s="193">
        <v>0</v>
      </c>
      <c r="V155" s="195">
        <v>0</v>
      </c>
      <c r="W155" s="183">
        <v>0.9632202697180221</v>
      </c>
      <c r="X155" s="183">
        <v>2.5745811197384554E-2</v>
      </c>
      <c r="Y155" s="184" t="s">
        <v>1256</v>
      </c>
      <c r="Z155" s="185"/>
      <c r="AA155" s="186" t="s">
        <v>1279</v>
      </c>
      <c r="AB155" s="187" t="s">
        <v>1267</v>
      </c>
      <c r="AC155" s="188">
        <v>1.2131069050469281</v>
      </c>
      <c r="AD155" s="186" t="s">
        <v>497</v>
      </c>
      <c r="AE155" s="187" t="s">
        <v>496</v>
      </c>
    </row>
    <row r="156" spans="1:31" x14ac:dyDescent="0.2">
      <c r="A156" s="189" t="s">
        <v>500</v>
      </c>
      <c r="B156" s="190" t="s">
        <v>501</v>
      </c>
      <c r="C156" s="191" t="s">
        <v>200</v>
      </c>
      <c r="D156" s="192">
        <v>6039</v>
      </c>
      <c r="E15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13589</v>
      </c>
      <c r="F156" s="194">
        <f>IF(Entity_Unit_Costs[[#This Row],[Closing social housing units managed]]&gt;0,Entity_Unit_Costs[[#This Row],[Headline Social Housing Cost]]/Entity_Unit_Costs[[#This Row],[Closing social housing units managed]],"")</f>
        <v>2.250206987911906</v>
      </c>
      <c r="G156" s="194">
        <f>IF(Entity_Unit_Costs[[#This Row],[Closing social housing units managed]]&gt;0,Entity_Unit_Costs[[#This Row],[Management]]/Entity_Unit_Costs[[#This Row],[Closing social housing units managed]],"")</f>
        <v>0.49643980791521775</v>
      </c>
      <c r="H156" s="193">
        <v>2998</v>
      </c>
      <c r="I156" s="194">
        <f>IF(Entity_Unit_Costs[[#This Row],[Closing social housing units managed]]&gt;0,Entity_Unit_Costs[[#This Row],[Service charge costs]]/Entity_Unit_Costs[[#This Row],[Closing social housing units managed]],"")</f>
        <v>0.49445272396092066</v>
      </c>
      <c r="J156" s="193">
        <v>2986</v>
      </c>
      <c r="K156" s="194">
        <f>IF(Entity_Unit_Costs[[#This Row],[Closing social housing units managed]]&gt;0,(Entity_Unit_Costs[[#This Row],[Routine maintenance]]+Entity_Unit_Costs[[#This Row],[Planned maintenance]])/Entity_Unit_Costs[[#This Row],[Closing social housing units managed]],"")</f>
        <v>0.8052657724788872</v>
      </c>
      <c r="L156" s="193">
        <v>3889</v>
      </c>
      <c r="M156" s="193">
        <v>974</v>
      </c>
      <c r="N156" s="194">
        <f>IF(Entity_Unit_Costs[[#This Row],[Closing social housing units managed]]&gt;0,(Entity_Unit_Costs[[#This Row],[Major repairs expenditure]]+Entity_Unit_Costs[[#This Row],[Capitalised major repairs expenditure for period]])/Entity_Unit_Costs[[#This Row],[Closing social housing units managed]],"")</f>
        <v>0.29243252194071867</v>
      </c>
      <c r="O156" s="193">
        <v>841</v>
      </c>
      <c r="P156" s="193">
        <v>925</v>
      </c>
      <c r="Q15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0.16161616161616163</v>
      </c>
      <c r="R156" s="193">
        <v>0</v>
      </c>
      <c r="S156" s="193">
        <v>0</v>
      </c>
      <c r="T156" s="193">
        <v>0</v>
      </c>
      <c r="U156" s="193">
        <v>689</v>
      </c>
      <c r="V156" s="195">
        <v>287</v>
      </c>
      <c r="W156" s="183">
        <v>2.9806259314456036E-3</v>
      </c>
      <c r="X156" s="183">
        <v>0</v>
      </c>
      <c r="Y156" s="184" t="s">
        <v>1257</v>
      </c>
      <c r="Z156" s="185">
        <v>36605</v>
      </c>
      <c r="AA156" s="186" t="s">
        <v>1268</v>
      </c>
      <c r="AB156" s="187" t="s">
        <v>1263</v>
      </c>
      <c r="AC156" s="188">
        <v>1.0023466330245752</v>
      </c>
      <c r="AD156" s="186" t="s">
        <v>1238</v>
      </c>
      <c r="AE156" s="187" t="s">
        <v>499</v>
      </c>
    </row>
    <row r="157" spans="1:31" x14ac:dyDescent="0.2">
      <c r="A157" s="197">
        <v>4844</v>
      </c>
      <c r="B157" s="190" t="s">
        <v>108</v>
      </c>
      <c r="C157" s="196" t="s">
        <v>200</v>
      </c>
      <c r="D157" s="192">
        <v>8775</v>
      </c>
      <c r="E15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27552</v>
      </c>
      <c r="F157" s="194">
        <f>IF(Entity_Unit_Costs[[#This Row],[Closing social housing units managed]]&gt;0,Entity_Unit_Costs[[#This Row],[Headline Social Housing Cost]]/Entity_Unit_Costs[[#This Row],[Closing social housing units managed]],"")</f>
        <v>3.1398290598290597</v>
      </c>
      <c r="G157" s="194">
        <f>IF(Entity_Unit_Costs[[#This Row],[Closing social housing units managed]]&gt;0,Entity_Unit_Costs[[#This Row],[Management]]/Entity_Unit_Costs[[#This Row],[Closing social housing units managed]],"")</f>
        <v>1.0948148148148149</v>
      </c>
      <c r="H157" s="193">
        <v>9607</v>
      </c>
      <c r="I157" s="194">
        <f>IF(Entity_Unit_Costs[[#This Row],[Closing social housing units managed]]&gt;0,Entity_Unit_Costs[[#This Row],[Service charge costs]]/Entity_Unit_Costs[[#This Row],[Closing social housing units managed]],"")</f>
        <v>0.29105413105413103</v>
      </c>
      <c r="J157" s="193">
        <v>2554</v>
      </c>
      <c r="K157" s="194">
        <f>IF(Entity_Unit_Costs[[#This Row],[Closing social housing units managed]]&gt;0,(Entity_Unit_Costs[[#This Row],[Routine maintenance]]+Entity_Unit_Costs[[#This Row],[Planned maintenance]])/Entity_Unit_Costs[[#This Row],[Closing social housing units managed]],"")</f>
        <v>0.88091168091168093</v>
      </c>
      <c r="L157" s="193">
        <v>4623</v>
      </c>
      <c r="M157" s="193">
        <v>3107</v>
      </c>
      <c r="N157" s="194">
        <f>IF(Entity_Unit_Costs[[#This Row],[Closing social housing units managed]]&gt;0,(Entity_Unit_Costs[[#This Row],[Major repairs expenditure]]+Entity_Unit_Costs[[#This Row],[Capitalised major repairs expenditure for period]])/Entity_Unit_Costs[[#This Row],[Closing social housing units managed]],"")</f>
        <v>0.65059829059829055</v>
      </c>
      <c r="O157" s="193">
        <v>0</v>
      </c>
      <c r="P157" s="193">
        <v>5709</v>
      </c>
      <c r="Q15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0.22245014245014244</v>
      </c>
      <c r="R157" s="193">
        <v>1340</v>
      </c>
      <c r="S157" s="193">
        <v>350</v>
      </c>
      <c r="T157" s="193">
        <v>262</v>
      </c>
      <c r="U157" s="193">
        <v>0</v>
      </c>
      <c r="V157" s="195">
        <v>0</v>
      </c>
      <c r="W157" s="183">
        <v>2.2423664122137404E-2</v>
      </c>
      <c r="X157" s="183">
        <v>0.22208969465648856</v>
      </c>
      <c r="Y157" s="184" t="s">
        <v>1257</v>
      </c>
      <c r="Z157" s="185">
        <v>34116</v>
      </c>
      <c r="AA157" s="186" t="s">
        <v>1268</v>
      </c>
      <c r="AB157" s="187" t="s">
        <v>1265</v>
      </c>
      <c r="AC157" s="188">
        <v>0.97</v>
      </c>
      <c r="AD157" s="186">
        <v>4844</v>
      </c>
      <c r="AE157" s="187" t="s">
        <v>108</v>
      </c>
    </row>
    <row r="158" spans="1:31" x14ac:dyDescent="0.2">
      <c r="A158" s="189" t="s">
        <v>502</v>
      </c>
      <c r="B158" s="190" t="s">
        <v>503</v>
      </c>
      <c r="C158" s="196" t="s">
        <v>200</v>
      </c>
      <c r="D158" s="192">
        <v>10423</v>
      </c>
      <c r="E15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36418</v>
      </c>
      <c r="F158" s="194">
        <f>IF(Entity_Unit_Costs[[#This Row],[Closing social housing units managed]]&gt;0,Entity_Unit_Costs[[#This Row],[Headline Social Housing Cost]]/Entity_Unit_Costs[[#This Row],[Closing social housing units managed]],"")</f>
        <v>3.4940036457833639</v>
      </c>
      <c r="G158" s="194">
        <f>IF(Entity_Unit_Costs[[#This Row],[Closing social housing units managed]]&gt;0,Entity_Unit_Costs[[#This Row],[Management]]/Entity_Unit_Costs[[#This Row],[Closing social housing units managed]],"")</f>
        <v>1.3275448527295404</v>
      </c>
      <c r="H158" s="193">
        <v>13837</v>
      </c>
      <c r="I158" s="194">
        <f>IF(Entity_Unit_Costs[[#This Row],[Closing social housing units managed]]&gt;0,Entity_Unit_Costs[[#This Row],[Service charge costs]]/Entity_Unit_Costs[[#This Row],[Closing social housing units managed]],"")</f>
        <v>0.40180370334836418</v>
      </c>
      <c r="J158" s="193">
        <v>4188</v>
      </c>
      <c r="K158" s="194">
        <f>IF(Entity_Unit_Costs[[#This Row],[Closing social housing units managed]]&gt;0,(Entity_Unit_Costs[[#This Row],[Routine maintenance]]+Entity_Unit_Costs[[#This Row],[Planned maintenance]])/Entity_Unit_Costs[[#This Row],[Closing social housing units managed]],"")</f>
        <v>0.73280245610668715</v>
      </c>
      <c r="L158" s="193">
        <v>5084</v>
      </c>
      <c r="M158" s="193">
        <v>2554</v>
      </c>
      <c r="N158" s="194">
        <f>IF(Entity_Unit_Costs[[#This Row],[Closing social housing units managed]]&gt;0,(Entity_Unit_Costs[[#This Row],[Major repairs expenditure]]+Entity_Unit_Costs[[#This Row],[Capitalised major repairs expenditure for period]])/Entity_Unit_Costs[[#This Row],[Closing social housing units managed]],"")</f>
        <v>0.55502254629185455</v>
      </c>
      <c r="O158" s="193">
        <v>528</v>
      </c>
      <c r="P158" s="193">
        <v>5257</v>
      </c>
      <c r="Q15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0.47683008730691739</v>
      </c>
      <c r="R158" s="193">
        <v>4296</v>
      </c>
      <c r="S158" s="193">
        <v>0</v>
      </c>
      <c r="T158" s="193">
        <v>674</v>
      </c>
      <c r="U158" s="193">
        <v>0</v>
      </c>
      <c r="V158" s="195">
        <v>0</v>
      </c>
      <c r="W158" s="183">
        <v>2.403052805280528E-2</v>
      </c>
      <c r="X158" s="183">
        <v>0.2253506600660066</v>
      </c>
      <c r="Y158" s="184" t="s">
        <v>1256</v>
      </c>
      <c r="Z158" s="185"/>
      <c r="AA158" s="186" t="s">
        <v>1279</v>
      </c>
      <c r="AB158" s="187" t="s">
        <v>1262</v>
      </c>
      <c r="AC158" s="188">
        <v>0.9157632627041784</v>
      </c>
      <c r="AD158" s="186" t="s">
        <v>1255</v>
      </c>
      <c r="AE158" s="187" t="s">
        <v>861</v>
      </c>
    </row>
    <row r="159" spans="1:31" x14ac:dyDescent="0.2">
      <c r="A159" s="189" t="s">
        <v>506</v>
      </c>
      <c r="B159" s="190" t="s">
        <v>505</v>
      </c>
      <c r="C159" s="196" t="s">
        <v>200</v>
      </c>
      <c r="D159" s="192">
        <v>1430</v>
      </c>
      <c r="E15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3679</v>
      </c>
      <c r="F159" s="194">
        <f>IF(Entity_Unit_Costs[[#This Row],[Closing social housing units managed]]&gt;0,Entity_Unit_Costs[[#This Row],[Headline Social Housing Cost]]/Entity_Unit_Costs[[#This Row],[Closing social housing units managed]],"")</f>
        <v>2.5727272727272728</v>
      </c>
      <c r="G159" s="194">
        <f>IF(Entity_Unit_Costs[[#This Row],[Closing social housing units managed]]&gt;0,Entity_Unit_Costs[[#This Row],[Management]]/Entity_Unit_Costs[[#This Row],[Closing social housing units managed]],"")</f>
        <v>1.2783216783216784</v>
      </c>
      <c r="H159" s="193">
        <v>1828</v>
      </c>
      <c r="I159" s="194">
        <f>IF(Entity_Unit_Costs[[#This Row],[Closing social housing units managed]]&gt;0,Entity_Unit_Costs[[#This Row],[Service charge costs]]/Entity_Unit_Costs[[#This Row],[Closing social housing units managed]],"")</f>
        <v>0.13566433566433567</v>
      </c>
      <c r="J159" s="193">
        <v>194</v>
      </c>
      <c r="K159" s="194">
        <f>IF(Entity_Unit_Costs[[#This Row],[Closing social housing units managed]]&gt;0,(Entity_Unit_Costs[[#This Row],[Routine maintenance]]+Entity_Unit_Costs[[#This Row],[Planned maintenance]])/Entity_Unit_Costs[[#This Row],[Closing social housing units managed]],"")</f>
        <v>0.70629370629370625</v>
      </c>
      <c r="L159" s="193">
        <v>823</v>
      </c>
      <c r="M159" s="193">
        <v>187</v>
      </c>
      <c r="N159" s="194">
        <f>IF(Entity_Unit_Costs[[#This Row],[Closing social housing units managed]]&gt;0,(Entity_Unit_Costs[[#This Row],[Major repairs expenditure]]+Entity_Unit_Costs[[#This Row],[Capitalised major repairs expenditure for period]])/Entity_Unit_Costs[[#This Row],[Closing social housing units managed]],"")</f>
        <v>0.44825174825174824</v>
      </c>
      <c r="O159" s="193">
        <v>80</v>
      </c>
      <c r="P159" s="193">
        <v>561</v>
      </c>
      <c r="Q15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4.1958041958041958E-3</v>
      </c>
      <c r="R159" s="193">
        <v>6</v>
      </c>
      <c r="S159" s="193">
        <v>0</v>
      </c>
      <c r="T159" s="193">
        <v>0</v>
      </c>
      <c r="U159" s="193">
        <v>0</v>
      </c>
      <c r="V159" s="195">
        <v>0</v>
      </c>
      <c r="W159" s="183">
        <v>0</v>
      </c>
      <c r="X159" s="183">
        <v>0</v>
      </c>
      <c r="Y159" s="184" t="s">
        <v>1256</v>
      </c>
      <c r="Z159" s="185"/>
      <c r="AA159" s="186" t="s">
        <v>1279</v>
      </c>
      <c r="AB159" s="187" t="s">
        <v>1264</v>
      </c>
      <c r="AC159" s="188">
        <v>0.94807909763407583</v>
      </c>
      <c r="AD159" s="186" t="s">
        <v>506</v>
      </c>
      <c r="AE159" s="187" t="s">
        <v>505</v>
      </c>
    </row>
    <row r="160" spans="1:31" x14ac:dyDescent="0.2">
      <c r="A160" s="189" t="s">
        <v>507</v>
      </c>
      <c r="B160" s="190" t="s">
        <v>508</v>
      </c>
      <c r="C160" s="196" t="s">
        <v>200</v>
      </c>
      <c r="D160" s="192">
        <v>6907</v>
      </c>
      <c r="E16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30417</v>
      </c>
      <c r="F160" s="194">
        <f>IF(Entity_Unit_Costs[[#This Row],[Closing social housing units managed]]&gt;0,Entity_Unit_Costs[[#This Row],[Headline Social Housing Cost]]/Entity_Unit_Costs[[#This Row],[Closing social housing units managed]],"")</f>
        <v>4.4037932532213695</v>
      </c>
      <c r="G160" s="194">
        <f>IF(Entity_Unit_Costs[[#This Row],[Closing social housing units managed]]&gt;0,Entity_Unit_Costs[[#This Row],[Management]]/Entity_Unit_Costs[[#This Row],[Closing social housing units managed]],"")</f>
        <v>0.97191255248298825</v>
      </c>
      <c r="H160" s="193">
        <v>6713</v>
      </c>
      <c r="I160" s="194">
        <f>IF(Entity_Unit_Costs[[#This Row],[Closing social housing units managed]]&gt;0,Entity_Unit_Costs[[#This Row],[Service charge costs]]/Entity_Unit_Costs[[#This Row],[Closing social housing units managed]],"")</f>
        <v>0.38352396119878385</v>
      </c>
      <c r="J160" s="193">
        <v>2649</v>
      </c>
      <c r="K160" s="194">
        <f>IF(Entity_Unit_Costs[[#This Row],[Closing social housing units managed]]&gt;0,(Entity_Unit_Costs[[#This Row],[Routine maintenance]]+Entity_Unit_Costs[[#This Row],[Planned maintenance]])/Entity_Unit_Costs[[#This Row],[Closing social housing units managed]],"")</f>
        <v>2.1644708266975532</v>
      </c>
      <c r="L160" s="193">
        <v>11435</v>
      </c>
      <c r="M160" s="193">
        <v>3515</v>
      </c>
      <c r="N160" s="194">
        <f>IF(Entity_Unit_Costs[[#This Row],[Closing social housing units managed]]&gt;0,(Entity_Unit_Costs[[#This Row],[Major repairs expenditure]]+Entity_Unit_Costs[[#This Row],[Capitalised major repairs expenditure for period]])/Entity_Unit_Costs[[#This Row],[Closing social housing units managed]],"")</f>
        <v>0.61300130302591571</v>
      </c>
      <c r="O160" s="193">
        <v>-76</v>
      </c>
      <c r="P160" s="193">
        <v>4310</v>
      </c>
      <c r="Q16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0.27088460981612855</v>
      </c>
      <c r="R160" s="193">
        <v>57</v>
      </c>
      <c r="S160" s="193">
        <v>1848</v>
      </c>
      <c r="T160" s="193">
        <v>-34</v>
      </c>
      <c r="U160" s="193">
        <v>0</v>
      </c>
      <c r="V160" s="195">
        <v>0</v>
      </c>
      <c r="W160" s="183">
        <v>3.5301668806161745E-3</v>
      </c>
      <c r="X160" s="183">
        <v>6.3703465982028237E-2</v>
      </c>
      <c r="Y160" s="184" t="s">
        <v>1257</v>
      </c>
      <c r="Z160" s="185">
        <v>36963</v>
      </c>
      <c r="AA160" s="186" t="s">
        <v>1268</v>
      </c>
      <c r="AB160" s="187" t="s">
        <v>1259</v>
      </c>
      <c r="AC160" s="188">
        <v>1.0118524159776632</v>
      </c>
      <c r="AD160" s="186" t="s">
        <v>450</v>
      </c>
      <c r="AE160" s="187" t="s">
        <v>92</v>
      </c>
    </row>
    <row r="161" spans="1:31" x14ac:dyDescent="0.2">
      <c r="A161" s="189" t="s">
        <v>509</v>
      </c>
      <c r="B161" s="190" t="s">
        <v>510</v>
      </c>
      <c r="C161" s="196" t="s">
        <v>200</v>
      </c>
      <c r="D161" s="192">
        <v>2351</v>
      </c>
      <c r="E16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6681</v>
      </c>
      <c r="F161" s="194">
        <f>IF(Entity_Unit_Costs[[#This Row],[Closing social housing units managed]]&gt;0,Entity_Unit_Costs[[#This Row],[Headline Social Housing Cost]]/Entity_Unit_Costs[[#This Row],[Closing social housing units managed]],"")</f>
        <v>2.8417694598043384</v>
      </c>
      <c r="G161" s="194">
        <f>IF(Entity_Unit_Costs[[#This Row],[Closing social housing units managed]]&gt;0,Entity_Unit_Costs[[#This Row],[Management]]/Entity_Unit_Costs[[#This Row],[Closing social housing units managed]],"")</f>
        <v>0.85580603998298599</v>
      </c>
      <c r="H161" s="193">
        <v>2012</v>
      </c>
      <c r="I161" s="194">
        <f>IF(Entity_Unit_Costs[[#This Row],[Closing social housing units managed]]&gt;0,Entity_Unit_Costs[[#This Row],[Service charge costs]]/Entity_Unit_Costs[[#This Row],[Closing social housing units managed]],"")</f>
        <v>0.16546150574223734</v>
      </c>
      <c r="J161" s="193">
        <v>389</v>
      </c>
      <c r="K161" s="194">
        <f>IF(Entity_Unit_Costs[[#This Row],[Closing social housing units managed]]&gt;0,(Entity_Unit_Costs[[#This Row],[Routine maintenance]]+Entity_Unit_Costs[[#This Row],[Planned maintenance]])/Entity_Unit_Costs[[#This Row],[Closing social housing units managed]],"")</f>
        <v>1.3164610803913228</v>
      </c>
      <c r="L161" s="193">
        <v>2018</v>
      </c>
      <c r="M161" s="193">
        <v>1077</v>
      </c>
      <c r="N161" s="194">
        <f>IF(Entity_Unit_Costs[[#This Row],[Closing social housing units managed]]&gt;0,(Entity_Unit_Costs[[#This Row],[Major repairs expenditure]]+Entity_Unit_Costs[[#This Row],[Capitalised major repairs expenditure for period]])/Entity_Unit_Costs[[#This Row],[Closing social housing units managed]],"")</f>
        <v>0.41344108889834114</v>
      </c>
      <c r="O161" s="193">
        <v>0</v>
      </c>
      <c r="P161" s="193">
        <v>972</v>
      </c>
      <c r="Q16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9.0599744789451292E-2</v>
      </c>
      <c r="R161" s="193">
        <v>194</v>
      </c>
      <c r="S161" s="193">
        <v>0</v>
      </c>
      <c r="T161" s="193">
        <v>0</v>
      </c>
      <c r="U161" s="193">
        <v>19</v>
      </c>
      <c r="V161" s="195">
        <v>0</v>
      </c>
      <c r="W161" s="183">
        <v>0</v>
      </c>
      <c r="X161" s="183">
        <v>8.0391322841344107E-2</v>
      </c>
      <c r="Y161" s="184" t="s">
        <v>1257</v>
      </c>
      <c r="Z161" s="185">
        <v>39293</v>
      </c>
      <c r="AA161" s="186" t="s">
        <v>1280</v>
      </c>
      <c r="AB161" s="187" t="s">
        <v>1260</v>
      </c>
      <c r="AC161" s="188">
        <v>0.91571558169387279</v>
      </c>
      <c r="AD161" s="186" t="s">
        <v>1229</v>
      </c>
      <c r="AE161" s="187" t="s">
        <v>867</v>
      </c>
    </row>
    <row r="162" spans="1:31" x14ac:dyDescent="0.2">
      <c r="A162" s="189" t="s">
        <v>111</v>
      </c>
      <c r="B162" s="190" t="s">
        <v>110</v>
      </c>
      <c r="C162" s="196" t="s">
        <v>200</v>
      </c>
      <c r="D162" s="192">
        <v>8010</v>
      </c>
      <c r="E16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29801</v>
      </c>
      <c r="F162" s="194">
        <f>IF(Entity_Unit_Costs[[#This Row],[Closing social housing units managed]]&gt;0,Entity_Unit_Costs[[#This Row],[Headline Social Housing Cost]]/Entity_Unit_Costs[[#This Row],[Closing social housing units managed]],"")</f>
        <v>3.720474406991261</v>
      </c>
      <c r="G162" s="194">
        <f>IF(Entity_Unit_Costs[[#This Row],[Closing social housing units managed]]&gt;0,Entity_Unit_Costs[[#This Row],[Management]]/Entity_Unit_Costs[[#This Row],[Closing social housing units managed]],"")</f>
        <v>0.94669163545568036</v>
      </c>
      <c r="H162" s="193">
        <v>7583</v>
      </c>
      <c r="I162" s="194">
        <f>IF(Entity_Unit_Costs[[#This Row],[Closing social housing units managed]]&gt;0,Entity_Unit_Costs[[#This Row],[Service charge costs]]/Entity_Unit_Costs[[#This Row],[Closing social housing units managed]],"")</f>
        <v>0.46803995006242199</v>
      </c>
      <c r="J162" s="193">
        <v>3749</v>
      </c>
      <c r="K162" s="194">
        <f>IF(Entity_Unit_Costs[[#This Row],[Closing social housing units managed]]&gt;0,(Entity_Unit_Costs[[#This Row],[Routine maintenance]]+Entity_Unit_Costs[[#This Row],[Planned maintenance]])/Entity_Unit_Costs[[#This Row],[Closing social housing units managed]],"")</f>
        <v>0.85468164794007495</v>
      </c>
      <c r="L162" s="193">
        <v>5545</v>
      </c>
      <c r="M162" s="193">
        <v>1301</v>
      </c>
      <c r="N162" s="194">
        <f>IF(Entity_Unit_Costs[[#This Row],[Closing social housing units managed]]&gt;0,(Entity_Unit_Costs[[#This Row],[Major repairs expenditure]]+Entity_Unit_Costs[[#This Row],[Capitalised major repairs expenditure for period]])/Entity_Unit_Costs[[#This Row],[Closing social housing units managed]],"")</f>
        <v>1.384019975031211</v>
      </c>
      <c r="O162" s="193">
        <v>2431</v>
      </c>
      <c r="P162" s="193">
        <v>8655</v>
      </c>
      <c r="Q16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6.7041198501872665E-2</v>
      </c>
      <c r="R162" s="193">
        <v>0</v>
      </c>
      <c r="S162" s="193">
        <v>537</v>
      </c>
      <c r="T162" s="193">
        <v>0</v>
      </c>
      <c r="U162" s="193">
        <v>0</v>
      </c>
      <c r="V162" s="195">
        <v>0</v>
      </c>
      <c r="W162" s="183">
        <v>9.2988187986931398E-3</v>
      </c>
      <c r="X162" s="183">
        <v>0.16612214124151797</v>
      </c>
      <c r="Y162" s="184" t="s">
        <v>1257</v>
      </c>
      <c r="Z162" s="185">
        <v>39125</v>
      </c>
      <c r="AA162" s="186" t="s">
        <v>1280</v>
      </c>
      <c r="AB162" s="187" t="s">
        <v>1265</v>
      </c>
      <c r="AC162" s="188">
        <v>0.96617455710897804</v>
      </c>
      <c r="AD162" s="186" t="s">
        <v>111</v>
      </c>
      <c r="AE162" s="187" t="s">
        <v>110</v>
      </c>
    </row>
    <row r="163" spans="1:31" x14ac:dyDescent="0.2">
      <c r="A163" s="189" t="s">
        <v>511</v>
      </c>
      <c r="B163" s="190" t="s">
        <v>512</v>
      </c>
      <c r="C163" s="196" t="s">
        <v>200</v>
      </c>
      <c r="D163" s="192">
        <v>8800</v>
      </c>
      <c r="E16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36277</v>
      </c>
      <c r="F163" s="194">
        <f>IF(Entity_Unit_Costs[[#This Row],[Closing social housing units managed]]&gt;0,Entity_Unit_Costs[[#This Row],[Headline Social Housing Cost]]/Entity_Unit_Costs[[#This Row],[Closing social housing units managed]],"")</f>
        <v>4.1223863636363633</v>
      </c>
      <c r="G163" s="194">
        <f>IF(Entity_Unit_Costs[[#This Row],[Closing social housing units managed]]&gt;0,Entity_Unit_Costs[[#This Row],[Management]]/Entity_Unit_Costs[[#This Row],[Closing social housing units managed]],"")</f>
        <v>0.69681818181818178</v>
      </c>
      <c r="H163" s="193">
        <v>6132</v>
      </c>
      <c r="I163" s="194">
        <f>IF(Entity_Unit_Costs[[#This Row],[Closing social housing units managed]]&gt;0,Entity_Unit_Costs[[#This Row],[Service charge costs]]/Entity_Unit_Costs[[#This Row],[Closing social housing units managed]],"")</f>
        <v>0.76693181818181821</v>
      </c>
      <c r="J163" s="193">
        <v>6749</v>
      </c>
      <c r="K163" s="194">
        <f>IF(Entity_Unit_Costs[[#This Row],[Closing social housing units managed]]&gt;0,(Entity_Unit_Costs[[#This Row],[Routine maintenance]]+Entity_Unit_Costs[[#This Row],[Planned maintenance]])/Entity_Unit_Costs[[#This Row],[Closing social housing units managed]],"")</f>
        <v>1.6451136363636363</v>
      </c>
      <c r="L163" s="193">
        <v>9602</v>
      </c>
      <c r="M163" s="193">
        <v>4875</v>
      </c>
      <c r="N163" s="194">
        <f>IF(Entity_Unit_Costs[[#This Row],[Closing social housing units managed]]&gt;0,(Entity_Unit_Costs[[#This Row],[Major repairs expenditure]]+Entity_Unit_Costs[[#This Row],[Capitalised major repairs expenditure for period]])/Entity_Unit_Costs[[#This Row],[Closing social housing units managed]],"")</f>
        <v>0.96443181818181822</v>
      </c>
      <c r="O163" s="193">
        <v>0</v>
      </c>
      <c r="P163" s="193">
        <v>8487</v>
      </c>
      <c r="Q16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4.9090909090909088E-2</v>
      </c>
      <c r="R163" s="193">
        <v>2</v>
      </c>
      <c r="S163" s="193">
        <v>1</v>
      </c>
      <c r="T163" s="193">
        <v>0</v>
      </c>
      <c r="U163" s="193">
        <v>137</v>
      </c>
      <c r="V163" s="195">
        <v>292</v>
      </c>
      <c r="W163" s="183">
        <v>7.0043981104414401E-3</v>
      </c>
      <c r="X163" s="183">
        <v>3.3718846717706467E-2</v>
      </c>
      <c r="Y163" s="184" t="s">
        <v>1257</v>
      </c>
      <c r="Z163" s="185">
        <v>40259</v>
      </c>
      <c r="AA163" s="186" t="s">
        <v>1280</v>
      </c>
      <c r="AB163" s="187" t="s">
        <v>1267</v>
      </c>
      <c r="AC163" s="188">
        <v>1.2488627787394371</v>
      </c>
      <c r="AD163" s="186" t="s">
        <v>1228</v>
      </c>
      <c r="AE163" s="187" t="s">
        <v>300</v>
      </c>
    </row>
    <row r="164" spans="1:31" x14ac:dyDescent="0.2">
      <c r="A164" s="189" t="s">
        <v>513</v>
      </c>
      <c r="B164" s="190" t="s">
        <v>514</v>
      </c>
      <c r="C164" s="196" t="s">
        <v>200</v>
      </c>
      <c r="D164" s="192">
        <v>31226</v>
      </c>
      <c r="E16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138208</v>
      </c>
      <c r="F164" s="194">
        <f>IF(Entity_Unit_Costs[[#This Row],[Closing social housing units managed]]&gt;0,Entity_Unit_Costs[[#This Row],[Headline Social Housing Cost]]/Entity_Unit_Costs[[#This Row],[Closing social housing units managed]],"")</f>
        <v>4.4260552104015884</v>
      </c>
      <c r="G164" s="194">
        <f>IF(Entity_Unit_Costs[[#This Row],[Closing social housing units managed]]&gt;0,Entity_Unit_Costs[[#This Row],[Management]]/Entity_Unit_Costs[[#This Row],[Closing social housing units managed]],"")</f>
        <v>1.1965989880228014</v>
      </c>
      <c r="H164" s="193">
        <v>37365</v>
      </c>
      <c r="I164" s="194">
        <f>IF(Entity_Unit_Costs[[#This Row],[Closing social housing units managed]]&gt;0,Entity_Unit_Costs[[#This Row],[Service charge costs]]/Entity_Unit_Costs[[#This Row],[Closing social housing units managed]],"")</f>
        <v>0.82873246653429833</v>
      </c>
      <c r="J164" s="193">
        <v>25878</v>
      </c>
      <c r="K164" s="194">
        <f>IF(Entity_Unit_Costs[[#This Row],[Closing social housing units managed]]&gt;0,(Entity_Unit_Costs[[#This Row],[Routine maintenance]]+Entity_Unit_Costs[[#This Row],[Planned maintenance]])/Entity_Unit_Costs[[#This Row],[Closing social housing units managed]],"")</f>
        <v>0.87170947287516809</v>
      </c>
      <c r="L164" s="193">
        <v>18235</v>
      </c>
      <c r="M164" s="193">
        <v>8985</v>
      </c>
      <c r="N164" s="194">
        <f>IF(Entity_Unit_Costs[[#This Row],[Closing social housing units managed]]&gt;0,(Entity_Unit_Costs[[#This Row],[Major repairs expenditure]]+Entity_Unit_Costs[[#This Row],[Capitalised major repairs expenditure for period]])/Entity_Unit_Costs[[#This Row],[Closing social housing units managed]],"")</f>
        <v>1.0124575674117722</v>
      </c>
      <c r="O164" s="193">
        <v>2964</v>
      </c>
      <c r="P164" s="193">
        <v>28651</v>
      </c>
      <c r="Q16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0.51655671555754823</v>
      </c>
      <c r="R164" s="193">
        <v>2209</v>
      </c>
      <c r="S164" s="193">
        <v>11702</v>
      </c>
      <c r="T164" s="193">
        <v>1414</v>
      </c>
      <c r="U164" s="193">
        <v>0</v>
      </c>
      <c r="V164" s="195">
        <v>805</v>
      </c>
      <c r="W164" s="183">
        <v>7.0777247069040386E-2</v>
      </c>
      <c r="X164" s="183">
        <v>0.10777867377954221</v>
      </c>
      <c r="Y164" s="184" t="s">
        <v>1256</v>
      </c>
      <c r="Z164" s="185"/>
      <c r="AA164" s="186" t="s">
        <v>1279</v>
      </c>
      <c r="AB164" s="187" t="s">
        <v>1267</v>
      </c>
      <c r="AC164" s="188">
        <v>1.1103226425662864</v>
      </c>
      <c r="AD164" s="186" t="s">
        <v>513</v>
      </c>
      <c r="AE164" s="187" t="s">
        <v>514</v>
      </c>
    </row>
    <row r="165" spans="1:31" x14ac:dyDescent="0.2">
      <c r="A165" s="189" t="s">
        <v>518</v>
      </c>
      <c r="B165" s="190" t="s">
        <v>517</v>
      </c>
      <c r="C165" s="196" t="s">
        <v>200</v>
      </c>
      <c r="D165" s="192">
        <v>30789</v>
      </c>
      <c r="E16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98131</v>
      </c>
      <c r="F165" s="194">
        <f>IF(Entity_Unit_Costs[[#This Row],[Closing social housing units managed]]&gt;0,Entity_Unit_Costs[[#This Row],[Headline Social Housing Cost]]/Entity_Unit_Costs[[#This Row],[Closing social housing units managed]],"")</f>
        <v>3.1872097177563417</v>
      </c>
      <c r="G165" s="194">
        <f>IF(Entity_Unit_Costs[[#This Row],[Closing social housing units managed]]&gt;0,Entity_Unit_Costs[[#This Row],[Management]]/Entity_Unit_Costs[[#This Row],[Closing social housing units managed]],"")</f>
        <v>0.99522556757283442</v>
      </c>
      <c r="H165" s="193">
        <v>30642</v>
      </c>
      <c r="I165" s="194">
        <f>IF(Entity_Unit_Costs[[#This Row],[Closing social housing units managed]]&gt;0,Entity_Unit_Costs[[#This Row],[Service charge costs]]/Entity_Unit_Costs[[#This Row],[Closing social housing units managed]],"")</f>
        <v>0.74747474747474751</v>
      </c>
      <c r="J165" s="193">
        <v>23014</v>
      </c>
      <c r="K165" s="194">
        <f>IF(Entity_Unit_Costs[[#This Row],[Closing social housing units managed]]&gt;0,(Entity_Unit_Costs[[#This Row],[Routine maintenance]]+Entity_Unit_Costs[[#This Row],[Planned maintenance]])/Entity_Unit_Costs[[#This Row],[Closing social housing units managed]],"")</f>
        <v>0.86699795381467404</v>
      </c>
      <c r="L165" s="193">
        <v>20923</v>
      </c>
      <c r="M165" s="193">
        <v>5771</v>
      </c>
      <c r="N165" s="194">
        <f>IF(Entity_Unit_Costs[[#This Row],[Closing social housing units managed]]&gt;0,(Entity_Unit_Costs[[#This Row],[Major repairs expenditure]]+Entity_Unit_Costs[[#This Row],[Capitalised major repairs expenditure for period]])/Entity_Unit_Costs[[#This Row],[Closing social housing units managed]],"")</f>
        <v>0.55623761733086496</v>
      </c>
      <c r="O165" s="193">
        <v>4102</v>
      </c>
      <c r="P165" s="193">
        <v>13024</v>
      </c>
      <c r="Q16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2.127383156322063E-2</v>
      </c>
      <c r="R165" s="193">
        <v>-103</v>
      </c>
      <c r="S165" s="193">
        <v>0</v>
      </c>
      <c r="T165" s="193">
        <v>278</v>
      </c>
      <c r="U165" s="193">
        <v>70</v>
      </c>
      <c r="V165" s="195">
        <v>410</v>
      </c>
      <c r="W165" s="183">
        <v>6.1890010326105062E-2</v>
      </c>
      <c r="X165" s="183">
        <v>9.8231238133306684E-2</v>
      </c>
      <c r="Y165" s="184" t="s">
        <v>1256</v>
      </c>
      <c r="Z165" s="185"/>
      <c r="AA165" s="186" t="s">
        <v>1279</v>
      </c>
      <c r="AB165" s="187" t="s">
        <v>1260</v>
      </c>
      <c r="AC165" s="188">
        <v>0.91736690620760641</v>
      </c>
      <c r="AD165" s="186" t="s">
        <v>518</v>
      </c>
      <c r="AE165" s="187" t="s">
        <v>517</v>
      </c>
    </row>
    <row r="166" spans="1:31" x14ac:dyDescent="0.2">
      <c r="A166" s="189" t="s">
        <v>114</v>
      </c>
      <c r="B166" s="190" t="s">
        <v>112</v>
      </c>
      <c r="C166" s="196" t="s">
        <v>200</v>
      </c>
      <c r="D166" s="192">
        <v>19468</v>
      </c>
      <c r="E16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48371</v>
      </c>
      <c r="F166" s="194">
        <f>IF(Entity_Unit_Costs[[#This Row],[Closing social housing units managed]]&gt;0,Entity_Unit_Costs[[#This Row],[Headline Social Housing Cost]]/Entity_Unit_Costs[[#This Row],[Closing social housing units managed]],"")</f>
        <v>2.484641462913499</v>
      </c>
      <c r="G166" s="194">
        <f>IF(Entity_Unit_Costs[[#This Row],[Closing social housing units managed]]&gt;0,Entity_Unit_Costs[[#This Row],[Management]]/Entity_Unit_Costs[[#This Row],[Closing social housing units managed]],"")</f>
        <v>0.79658927470721186</v>
      </c>
      <c r="H166" s="193">
        <v>15508</v>
      </c>
      <c r="I166" s="194">
        <f>IF(Entity_Unit_Costs[[#This Row],[Closing social housing units managed]]&gt;0,Entity_Unit_Costs[[#This Row],[Service charge costs]]/Entity_Unit_Costs[[#This Row],[Closing social housing units managed]],"")</f>
        <v>0.48063488802136839</v>
      </c>
      <c r="J166" s="193">
        <v>9357</v>
      </c>
      <c r="K166" s="194">
        <f>IF(Entity_Unit_Costs[[#This Row],[Closing social housing units managed]]&gt;0,(Entity_Unit_Costs[[#This Row],[Routine maintenance]]+Entity_Unit_Costs[[#This Row],[Planned maintenance]])/Entity_Unit_Costs[[#This Row],[Closing social housing units managed]],"")</f>
        <v>0.64048695294842817</v>
      </c>
      <c r="L166" s="193">
        <v>8838</v>
      </c>
      <c r="M166" s="193">
        <v>3631</v>
      </c>
      <c r="N166" s="194">
        <f>IF(Entity_Unit_Costs[[#This Row],[Closing social housing units managed]]&gt;0,(Entity_Unit_Costs[[#This Row],[Major repairs expenditure]]+Entity_Unit_Costs[[#This Row],[Capitalised major repairs expenditure for period]])/Entity_Unit_Costs[[#This Row],[Closing social housing units managed]],"")</f>
        <v>0.21851243065543455</v>
      </c>
      <c r="O166" s="193">
        <v>1801</v>
      </c>
      <c r="P166" s="193">
        <v>2453</v>
      </c>
      <c r="Q16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0.34841791658105609</v>
      </c>
      <c r="R166" s="193">
        <v>0</v>
      </c>
      <c r="S166" s="193">
        <v>0</v>
      </c>
      <c r="T166" s="193">
        <v>1758</v>
      </c>
      <c r="U166" s="193">
        <v>4414</v>
      </c>
      <c r="V166" s="195">
        <v>611</v>
      </c>
      <c r="W166" s="183">
        <v>1.1612672701286327E-2</v>
      </c>
      <c r="X166" s="183">
        <v>9.2484516436398281E-2</v>
      </c>
      <c r="Y166" s="184" t="s">
        <v>1256</v>
      </c>
      <c r="Z166" s="185"/>
      <c r="AA166" s="186" t="s">
        <v>1279</v>
      </c>
      <c r="AB166" s="187" t="s">
        <v>1259</v>
      </c>
      <c r="AC166" s="188">
        <v>1.0566175097461974</v>
      </c>
      <c r="AD166" s="186" t="s">
        <v>114</v>
      </c>
      <c r="AE166" s="187" t="s">
        <v>112</v>
      </c>
    </row>
    <row r="167" spans="1:31" x14ac:dyDescent="0.2">
      <c r="A167" s="189" t="s">
        <v>519</v>
      </c>
      <c r="B167" s="190" t="s">
        <v>520</v>
      </c>
      <c r="C167" s="196" t="s">
        <v>200</v>
      </c>
      <c r="D167" s="192">
        <v>4014</v>
      </c>
      <c r="E16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16466</v>
      </c>
      <c r="F167" s="194">
        <f>IF(Entity_Unit_Costs[[#This Row],[Closing social housing units managed]]&gt;0,Entity_Unit_Costs[[#This Row],[Headline Social Housing Cost]]/Entity_Unit_Costs[[#This Row],[Closing social housing units managed]],"")</f>
        <v>4.1021425012456403</v>
      </c>
      <c r="G167" s="194">
        <f>IF(Entity_Unit_Costs[[#This Row],[Closing social housing units managed]]&gt;0,Entity_Unit_Costs[[#This Row],[Management]]/Entity_Unit_Costs[[#This Row],[Closing social housing units managed]],"")</f>
        <v>0.97907324364723469</v>
      </c>
      <c r="H167" s="193">
        <v>3930</v>
      </c>
      <c r="I167" s="194">
        <f>IF(Entity_Unit_Costs[[#This Row],[Closing social housing units managed]]&gt;0,Entity_Unit_Costs[[#This Row],[Service charge costs]]/Entity_Unit_Costs[[#This Row],[Closing social housing units managed]],"")</f>
        <v>0.81390134529147984</v>
      </c>
      <c r="J167" s="193">
        <v>3267</v>
      </c>
      <c r="K167" s="194">
        <f>IF(Entity_Unit_Costs[[#This Row],[Closing social housing units managed]]&gt;0,(Entity_Unit_Costs[[#This Row],[Routine maintenance]]+Entity_Unit_Costs[[#This Row],[Planned maintenance]])/Entity_Unit_Costs[[#This Row],[Closing social housing units managed]],"")</f>
        <v>1.7012954658694568</v>
      </c>
      <c r="L167" s="193">
        <v>4831</v>
      </c>
      <c r="M167" s="193">
        <v>1998</v>
      </c>
      <c r="N167" s="194">
        <f>IF(Entity_Unit_Costs[[#This Row],[Closing social housing units managed]]&gt;0,(Entity_Unit_Costs[[#This Row],[Major repairs expenditure]]+Entity_Unit_Costs[[#This Row],[Capitalised major repairs expenditure for period]])/Entity_Unit_Costs[[#This Row],[Closing social housing units managed]],"")</f>
        <v>0.53662182361733934</v>
      </c>
      <c r="O167" s="193">
        <v>0</v>
      </c>
      <c r="P167" s="193">
        <v>2154</v>
      </c>
      <c r="Q16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7.1250622820129547E-2</v>
      </c>
      <c r="R167" s="193">
        <v>69</v>
      </c>
      <c r="S167" s="193">
        <v>0</v>
      </c>
      <c r="T167" s="193">
        <v>0</v>
      </c>
      <c r="U167" s="193">
        <v>70</v>
      </c>
      <c r="V167" s="195">
        <v>147</v>
      </c>
      <c r="W167" s="183">
        <v>0</v>
      </c>
      <c r="X167" s="183">
        <v>0.14562569213732005</v>
      </c>
      <c r="Y167" s="184" t="s">
        <v>1257</v>
      </c>
      <c r="Z167" s="185">
        <v>39384</v>
      </c>
      <c r="AA167" s="186" t="s">
        <v>1280</v>
      </c>
      <c r="AB167" s="187" t="s">
        <v>1259</v>
      </c>
      <c r="AC167" s="188">
        <v>1.0118524159776632</v>
      </c>
      <c r="AD167" s="186" t="s">
        <v>1228</v>
      </c>
      <c r="AE167" s="187" t="s">
        <v>300</v>
      </c>
    </row>
    <row r="168" spans="1:31" x14ac:dyDescent="0.2">
      <c r="A168" s="189" t="s">
        <v>521</v>
      </c>
      <c r="B168" s="190" t="s">
        <v>522</v>
      </c>
      <c r="C168" s="191" t="s">
        <v>200</v>
      </c>
      <c r="D168" s="192">
        <v>2775</v>
      </c>
      <c r="E16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9383</v>
      </c>
      <c r="F168" s="194">
        <f>IF(Entity_Unit_Costs[[#This Row],[Closing social housing units managed]]&gt;0,Entity_Unit_Costs[[#This Row],[Headline Social Housing Cost]]/Entity_Unit_Costs[[#This Row],[Closing social housing units managed]],"")</f>
        <v>3.3812612612612614</v>
      </c>
      <c r="G168" s="194">
        <f>IF(Entity_Unit_Costs[[#This Row],[Closing social housing units managed]]&gt;0,Entity_Unit_Costs[[#This Row],[Management]]/Entity_Unit_Costs[[#This Row],[Closing social housing units managed]],"")</f>
        <v>1.4511711711711712</v>
      </c>
      <c r="H168" s="193">
        <v>4027</v>
      </c>
      <c r="I168" s="194">
        <f>IF(Entity_Unit_Costs[[#This Row],[Closing social housing units managed]]&gt;0,Entity_Unit_Costs[[#This Row],[Service charge costs]]/Entity_Unit_Costs[[#This Row],[Closing social housing units managed]],"")</f>
        <v>0.13585585585585586</v>
      </c>
      <c r="J168" s="193">
        <v>377</v>
      </c>
      <c r="K168" s="194">
        <f>IF(Entity_Unit_Costs[[#This Row],[Closing social housing units managed]]&gt;0,(Entity_Unit_Costs[[#This Row],[Routine maintenance]]+Entity_Unit_Costs[[#This Row],[Planned maintenance]])/Entity_Unit_Costs[[#This Row],[Closing social housing units managed]],"")</f>
        <v>0.78954954954954959</v>
      </c>
      <c r="L168" s="193">
        <v>1432</v>
      </c>
      <c r="M168" s="193">
        <v>759</v>
      </c>
      <c r="N168" s="194">
        <f>IF(Entity_Unit_Costs[[#This Row],[Closing social housing units managed]]&gt;0,(Entity_Unit_Costs[[#This Row],[Major repairs expenditure]]+Entity_Unit_Costs[[#This Row],[Capitalised major repairs expenditure for period]])/Entity_Unit_Costs[[#This Row],[Closing social housing units managed]],"")</f>
        <v>0.88684684684684689</v>
      </c>
      <c r="O168" s="193">
        <v>207</v>
      </c>
      <c r="P168" s="193">
        <v>2254</v>
      </c>
      <c r="Q16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0.11783783783783784</v>
      </c>
      <c r="R168" s="193">
        <v>59</v>
      </c>
      <c r="S168" s="193">
        <v>0</v>
      </c>
      <c r="T168" s="193">
        <v>268</v>
      </c>
      <c r="U168" s="193">
        <v>0</v>
      </c>
      <c r="V168" s="195">
        <v>0</v>
      </c>
      <c r="W168" s="183">
        <v>4.9218297625940937E-3</v>
      </c>
      <c r="X168" s="183">
        <v>0.21713954834973942</v>
      </c>
      <c r="Y168" s="184" t="s">
        <v>1257</v>
      </c>
      <c r="Z168" s="185">
        <v>36945</v>
      </c>
      <c r="AA168" s="186" t="s">
        <v>1268</v>
      </c>
      <c r="AB168" s="187" t="s">
        <v>1260</v>
      </c>
      <c r="AC168" s="188">
        <v>0.91571477563556269</v>
      </c>
      <c r="AD168" s="186" t="s">
        <v>1255</v>
      </c>
      <c r="AE168" s="187" t="s">
        <v>861</v>
      </c>
    </row>
    <row r="169" spans="1:31" x14ac:dyDescent="0.2">
      <c r="A169" s="189" t="s">
        <v>523</v>
      </c>
      <c r="B169" s="190" t="s">
        <v>524</v>
      </c>
      <c r="C169" s="191" t="s">
        <v>200</v>
      </c>
      <c r="D169" s="192">
        <v>1238</v>
      </c>
      <c r="E16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2057</v>
      </c>
      <c r="F169" s="194">
        <f>IF(Entity_Unit_Costs[[#This Row],[Closing social housing units managed]]&gt;0,Entity_Unit_Costs[[#This Row],[Headline Social Housing Cost]]/Entity_Unit_Costs[[#This Row],[Closing social housing units managed]],"")</f>
        <v>1.6615508885298869</v>
      </c>
      <c r="G169" s="194">
        <f>IF(Entity_Unit_Costs[[#This Row],[Closing social housing units managed]]&gt;0,Entity_Unit_Costs[[#This Row],[Management]]/Entity_Unit_Costs[[#This Row],[Closing social housing units managed]],"")</f>
        <v>0.57350565428109856</v>
      </c>
      <c r="H169" s="193">
        <v>710</v>
      </c>
      <c r="I169" s="194">
        <f>IF(Entity_Unit_Costs[[#This Row],[Closing social housing units managed]]&gt;0,Entity_Unit_Costs[[#This Row],[Service charge costs]]/Entity_Unit_Costs[[#This Row],[Closing social housing units managed]],"")</f>
        <v>2.0193861066235864E-2</v>
      </c>
      <c r="J169" s="193">
        <v>25</v>
      </c>
      <c r="K169" s="194">
        <f>IF(Entity_Unit_Costs[[#This Row],[Closing social housing units managed]]&gt;0,(Entity_Unit_Costs[[#This Row],[Routine maintenance]]+Entity_Unit_Costs[[#This Row],[Planned maintenance]])/Entity_Unit_Costs[[#This Row],[Closing social housing units managed]],"")</f>
        <v>0.92245557350565432</v>
      </c>
      <c r="L169" s="193">
        <v>838</v>
      </c>
      <c r="M169" s="193">
        <v>304</v>
      </c>
      <c r="N169" s="194">
        <f>IF(Entity_Unit_Costs[[#This Row],[Closing social housing units managed]]&gt;0,(Entity_Unit_Costs[[#This Row],[Major repairs expenditure]]+Entity_Unit_Costs[[#This Row],[Capitalised major repairs expenditure for period]])/Entity_Unit_Costs[[#This Row],[Closing social housing units managed]],"")</f>
        <v>0.13166397415185785</v>
      </c>
      <c r="O169" s="193">
        <v>0</v>
      </c>
      <c r="P169" s="193">
        <v>163</v>
      </c>
      <c r="Q16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1.3731825525040387E-2</v>
      </c>
      <c r="R169" s="193">
        <v>17</v>
      </c>
      <c r="S169" s="193">
        <v>0</v>
      </c>
      <c r="T169" s="193">
        <v>0</v>
      </c>
      <c r="U169" s="193">
        <v>0</v>
      </c>
      <c r="V169" s="195">
        <v>0</v>
      </c>
      <c r="W169" s="183">
        <v>0</v>
      </c>
      <c r="X169" s="183">
        <v>0</v>
      </c>
      <c r="Y169" s="184" t="s">
        <v>1257</v>
      </c>
      <c r="Z169" s="185">
        <v>39552</v>
      </c>
      <c r="AA169" s="186" t="s">
        <v>1280</v>
      </c>
      <c r="AB169" s="187" t="s">
        <v>1262</v>
      </c>
      <c r="AC169" s="188">
        <v>0.91566538624456661</v>
      </c>
      <c r="AD169" s="186" t="s">
        <v>527</v>
      </c>
      <c r="AE169" s="187" t="s">
        <v>526</v>
      </c>
    </row>
    <row r="170" spans="1:31" x14ac:dyDescent="0.2">
      <c r="A170" s="189" t="s">
        <v>527</v>
      </c>
      <c r="B170" s="190" t="s">
        <v>526</v>
      </c>
      <c r="C170" s="196" t="s">
        <v>200</v>
      </c>
      <c r="D170" s="192">
        <v>3680</v>
      </c>
      <c r="E17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11781</v>
      </c>
      <c r="F170" s="194">
        <f>IF(Entity_Unit_Costs[[#This Row],[Closing social housing units managed]]&gt;0,Entity_Unit_Costs[[#This Row],[Headline Social Housing Cost]]/Entity_Unit_Costs[[#This Row],[Closing social housing units managed]],"")</f>
        <v>3.201358695652174</v>
      </c>
      <c r="G170" s="194">
        <f>IF(Entity_Unit_Costs[[#This Row],[Closing social housing units managed]]&gt;0,Entity_Unit_Costs[[#This Row],[Management]]/Entity_Unit_Costs[[#This Row],[Closing social housing units managed]],"")</f>
        <v>0.77961956521739129</v>
      </c>
      <c r="H170" s="193">
        <v>2869</v>
      </c>
      <c r="I170" s="194">
        <f>IF(Entity_Unit_Costs[[#This Row],[Closing social housing units managed]]&gt;0,Entity_Unit_Costs[[#This Row],[Service charge costs]]/Entity_Unit_Costs[[#This Row],[Closing social housing units managed]],"")</f>
        <v>0.33451086956521742</v>
      </c>
      <c r="J170" s="193">
        <v>1231</v>
      </c>
      <c r="K170" s="194">
        <f>IF(Entity_Unit_Costs[[#This Row],[Closing social housing units managed]]&gt;0,(Entity_Unit_Costs[[#This Row],[Routine maintenance]]+Entity_Unit_Costs[[#This Row],[Planned maintenance]])/Entity_Unit_Costs[[#This Row],[Closing social housing units managed]],"")</f>
        <v>1.2483695652173914</v>
      </c>
      <c r="L170" s="193">
        <v>3743</v>
      </c>
      <c r="M170" s="193">
        <v>851</v>
      </c>
      <c r="N170" s="194">
        <f>IF(Entity_Unit_Costs[[#This Row],[Closing social housing units managed]]&gt;0,(Entity_Unit_Costs[[#This Row],[Major repairs expenditure]]+Entity_Unit_Costs[[#This Row],[Capitalised major repairs expenditure for period]])/Entity_Unit_Costs[[#This Row],[Closing social housing units managed]],"")</f>
        <v>0.69402173913043474</v>
      </c>
      <c r="O170" s="193">
        <v>127</v>
      </c>
      <c r="P170" s="193">
        <v>2427</v>
      </c>
      <c r="Q17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0.14483695652173914</v>
      </c>
      <c r="R170" s="193">
        <v>155</v>
      </c>
      <c r="S170" s="193">
        <v>0</v>
      </c>
      <c r="T170" s="193">
        <v>378</v>
      </c>
      <c r="U170" s="193">
        <v>0</v>
      </c>
      <c r="V170" s="195">
        <v>0</v>
      </c>
      <c r="W170" s="183">
        <v>6.772255598033862E-2</v>
      </c>
      <c r="X170" s="183">
        <v>3.6045876570180227E-2</v>
      </c>
      <c r="Y170" s="184" t="s">
        <v>1256</v>
      </c>
      <c r="Z170" s="185"/>
      <c r="AA170" s="186" t="s">
        <v>1279</v>
      </c>
      <c r="AB170" s="187" t="s">
        <v>1262</v>
      </c>
      <c r="AC170" s="188">
        <v>0.9156653862445665</v>
      </c>
      <c r="AD170" s="186" t="s">
        <v>527</v>
      </c>
      <c r="AE170" s="187" t="s">
        <v>526</v>
      </c>
    </row>
    <row r="171" spans="1:31" x14ac:dyDescent="0.2">
      <c r="A171" s="189" t="s">
        <v>528</v>
      </c>
      <c r="B171" s="190" t="s">
        <v>529</v>
      </c>
      <c r="C171" s="196" t="s">
        <v>200</v>
      </c>
      <c r="D171" s="192">
        <v>1442</v>
      </c>
      <c r="E17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6268</v>
      </c>
      <c r="F171" s="194">
        <f>IF(Entity_Unit_Costs[[#This Row],[Closing social housing units managed]]&gt;0,Entity_Unit_Costs[[#This Row],[Headline Social Housing Cost]]/Entity_Unit_Costs[[#This Row],[Closing social housing units managed]],"")</f>
        <v>4.3467406380027738</v>
      </c>
      <c r="G171" s="194">
        <f>IF(Entity_Unit_Costs[[#This Row],[Closing social housing units managed]]&gt;0,Entity_Unit_Costs[[#This Row],[Management]]/Entity_Unit_Costs[[#This Row],[Closing social housing units managed]],"")</f>
        <v>1.153259361997226</v>
      </c>
      <c r="H171" s="193">
        <v>1663</v>
      </c>
      <c r="I171" s="194">
        <f>IF(Entity_Unit_Costs[[#This Row],[Closing social housing units managed]]&gt;0,Entity_Unit_Costs[[#This Row],[Service charge costs]]/Entity_Unit_Costs[[#This Row],[Closing social housing units managed]],"")</f>
        <v>0.67753120665742028</v>
      </c>
      <c r="J171" s="193">
        <v>977</v>
      </c>
      <c r="K171" s="194">
        <f>IF(Entity_Unit_Costs[[#This Row],[Closing social housing units managed]]&gt;0,(Entity_Unit_Costs[[#This Row],[Routine maintenance]]+Entity_Unit_Costs[[#This Row],[Planned maintenance]])/Entity_Unit_Costs[[#This Row],[Closing social housing units managed]],"")</f>
        <v>1.1470180305131761</v>
      </c>
      <c r="L171" s="193">
        <v>756</v>
      </c>
      <c r="M171" s="193">
        <v>898</v>
      </c>
      <c r="N171" s="194">
        <f>IF(Entity_Unit_Costs[[#This Row],[Closing social housing units managed]]&gt;0,(Entity_Unit_Costs[[#This Row],[Major repairs expenditure]]+Entity_Unit_Costs[[#This Row],[Capitalised major repairs expenditure for period]])/Entity_Unit_Costs[[#This Row],[Closing social housing units managed]],"")</f>
        <v>0.91678224687933429</v>
      </c>
      <c r="O171" s="193">
        <v>483</v>
      </c>
      <c r="P171" s="193">
        <v>839</v>
      </c>
      <c r="Q17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0.45214979195561722</v>
      </c>
      <c r="R171" s="193">
        <v>119</v>
      </c>
      <c r="S171" s="193">
        <v>135</v>
      </c>
      <c r="T171" s="193">
        <v>120</v>
      </c>
      <c r="U171" s="193">
        <v>278</v>
      </c>
      <c r="V171" s="195">
        <v>0</v>
      </c>
      <c r="W171" s="183">
        <v>2.0452885317750184E-2</v>
      </c>
      <c r="X171" s="183">
        <v>0.21256391526661797</v>
      </c>
      <c r="Y171" s="184" t="s">
        <v>1256</v>
      </c>
      <c r="Z171" s="185"/>
      <c r="AA171" s="186" t="s">
        <v>1279</v>
      </c>
      <c r="AB171" s="187" t="s">
        <v>1259</v>
      </c>
      <c r="AC171" s="188">
        <v>1.016884114747862</v>
      </c>
      <c r="AD171" s="186" t="s">
        <v>528</v>
      </c>
      <c r="AE171" s="187" t="s">
        <v>529</v>
      </c>
    </row>
    <row r="172" spans="1:31" x14ac:dyDescent="0.2">
      <c r="A172" s="189" t="s">
        <v>117</v>
      </c>
      <c r="B172" s="190" t="s">
        <v>115</v>
      </c>
      <c r="C172" s="196" t="s">
        <v>200</v>
      </c>
      <c r="D172" s="192">
        <v>5322</v>
      </c>
      <c r="E17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17893</v>
      </c>
      <c r="F172" s="194">
        <f>IF(Entity_Unit_Costs[[#This Row],[Closing social housing units managed]]&gt;0,Entity_Unit_Costs[[#This Row],[Headline Social Housing Cost]]/Entity_Unit_Costs[[#This Row],[Closing social housing units managed]],"")</f>
        <v>3.3620819240886886</v>
      </c>
      <c r="G172" s="194">
        <f>IF(Entity_Unit_Costs[[#This Row],[Closing social housing units managed]]&gt;0,Entity_Unit_Costs[[#This Row],[Management]]/Entity_Unit_Costs[[#This Row],[Closing social housing units managed]],"")</f>
        <v>0.86715520481022168</v>
      </c>
      <c r="H172" s="193">
        <v>4615</v>
      </c>
      <c r="I172" s="194">
        <f>IF(Entity_Unit_Costs[[#This Row],[Closing social housing units managed]]&gt;0,Entity_Unit_Costs[[#This Row],[Service charge costs]]/Entity_Unit_Costs[[#This Row],[Closing social housing units managed]],"")</f>
        <v>0.57515971439308533</v>
      </c>
      <c r="J172" s="193">
        <v>3061</v>
      </c>
      <c r="K172" s="194">
        <f>IF(Entity_Unit_Costs[[#This Row],[Closing social housing units managed]]&gt;0,(Entity_Unit_Costs[[#This Row],[Routine maintenance]]+Entity_Unit_Costs[[#This Row],[Planned maintenance]])/Entity_Unit_Costs[[#This Row],[Closing social housing units managed]],"")</f>
        <v>0.8438556933483653</v>
      </c>
      <c r="L172" s="193">
        <v>3675</v>
      </c>
      <c r="M172" s="193">
        <v>816</v>
      </c>
      <c r="N172" s="194">
        <f>IF(Entity_Unit_Costs[[#This Row],[Closing social housing units managed]]&gt;0,(Entity_Unit_Costs[[#This Row],[Major repairs expenditure]]+Entity_Unit_Costs[[#This Row],[Capitalised major repairs expenditure for period]])/Entity_Unit_Costs[[#This Row],[Closing social housing units managed]],"")</f>
        <v>0.95941375422773389</v>
      </c>
      <c r="O172" s="193">
        <v>2355</v>
      </c>
      <c r="P172" s="193">
        <v>2751</v>
      </c>
      <c r="Q17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0.11649755730928223</v>
      </c>
      <c r="R172" s="193">
        <v>33</v>
      </c>
      <c r="S172" s="193">
        <v>0</v>
      </c>
      <c r="T172" s="193">
        <v>79</v>
      </c>
      <c r="U172" s="193">
        <v>508</v>
      </c>
      <c r="V172" s="195">
        <v>0</v>
      </c>
      <c r="W172" s="183">
        <v>5.718060011322891E-2</v>
      </c>
      <c r="X172" s="183">
        <v>0.11964521607850538</v>
      </c>
      <c r="Y172" s="184" t="s">
        <v>1256</v>
      </c>
      <c r="Z172" s="185"/>
      <c r="AA172" s="186" t="s">
        <v>1279</v>
      </c>
      <c r="AB172" s="187" t="s">
        <v>1262</v>
      </c>
      <c r="AC172" s="188">
        <v>0.9312983134860281</v>
      </c>
      <c r="AD172" s="186" t="s">
        <v>117</v>
      </c>
      <c r="AE172" s="187" t="s">
        <v>115</v>
      </c>
    </row>
    <row r="173" spans="1:31" x14ac:dyDescent="0.2">
      <c r="A173" s="189" t="s">
        <v>530</v>
      </c>
      <c r="B173" s="190" t="s">
        <v>531</v>
      </c>
      <c r="C173" s="196" t="s">
        <v>200</v>
      </c>
      <c r="D173" s="192">
        <v>1083</v>
      </c>
      <c r="E17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4079</v>
      </c>
      <c r="F173" s="194">
        <f>IF(Entity_Unit_Costs[[#This Row],[Closing social housing units managed]]&gt;0,Entity_Unit_Costs[[#This Row],[Headline Social Housing Cost]]/Entity_Unit_Costs[[#This Row],[Closing social housing units managed]],"")</f>
        <v>3.7663896583564171</v>
      </c>
      <c r="G173" s="194">
        <f>IF(Entity_Unit_Costs[[#This Row],[Closing social housing units managed]]&gt;0,Entity_Unit_Costs[[#This Row],[Management]]/Entity_Unit_Costs[[#This Row],[Closing social housing units managed]],"")</f>
        <v>1.0987996306555863</v>
      </c>
      <c r="H173" s="193">
        <v>1190</v>
      </c>
      <c r="I173" s="194">
        <f>IF(Entity_Unit_Costs[[#This Row],[Closing social housing units managed]]&gt;0,Entity_Unit_Costs[[#This Row],[Service charge costs]]/Entity_Unit_Costs[[#This Row],[Closing social housing units managed]],"")</f>
        <v>0.78670360110803328</v>
      </c>
      <c r="J173" s="193">
        <v>852</v>
      </c>
      <c r="K173" s="194">
        <f>IF(Entity_Unit_Costs[[#This Row],[Closing social housing units managed]]&gt;0,(Entity_Unit_Costs[[#This Row],[Routine maintenance]]+Entity_Unit_Costs[[#This Row],[Planned maintenance]])/Entity_Unit_Costs[[#This Row],[Closing social housing units managed]],"")</f>
        <v>1.1237303785780239</v>
      </c>
      <c r="L173" s="193">
        <v>647</v>
      </c>
      <c r="M173" s="193">
        <v>570</v>
      </c>
      <c r="N173" s="194">
        <f>IF(Entity_Unit_Costs[[#This Row],[Closing social housing units managed]]&gt;0,(Entity_Unit_Costs[[#This Row],[Major repairs expenditure]]+Entity_Unit_Costs[[#This Row],[Capitalised major repairs expenditure for period]])/Entity_Unit_Costs[[#This Row],[Closing social housing units managed]],"")</f>
        <v>0.38965835641735919</v>
      </c>
      <c r="O173" s="193">
        <v>0</v>
      </c>
      <c r="P173" s="193">
        <v>422</v>
      </c>
      <c r="Q17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0.36749769159741458</v>
      </c>
      <c r="R173" s="193">
        <v>191</v>
      </c>
      <c r="S173" s="193">
        <v>0</v>
      </c>
      <c r="T173" s="193">
        <v>207</v>
      </c>
      <c r="U173" s="193">
        <v>0</v>
      </c>
      <c r="V173" s="195">
        <v>0</v>
      </c>
      <c r="W173" s="183">
        <v>3.2377428307123035E-2</v>
      </c>
      <c r="X173" s="183">
        <v>0.24514338575393155</v>
      </c>
      <c r="Y173" s="184" t="s">
        <v>1256</v>
      </c>
      <c r="Z173" s="185"/>
      <c r="AA173" s="186" t="s">
        <v>1279</v>
      </c>
      <c r="AB173" s="187" t="s">
        <v>1260</v>
      </c>
      <c r="AC173" s="188">
        <v>0.91571558169387279</v>
      </c>
      <c r="AD173" s="186" t="s">
        <v>530</v>
      </c>
      <c r="AE173" s="187" t="s">
        <v>531</v>
      </c>
    </row>
    <row r="174" spans="1:31" x14ac:dyDescent="0.2">
      <c r="A174" s="197">
        <v>4825</v>
      </c>
      <c r="B174" s="190" t="s">
        <v>533</v>
      </c>
      <c r="C174" s="196" t="s">
        <v>200</v>
      </c>
      <c r="D174" s="192">
        <v>18609</v>
      </c>
      <c r="E17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104026</v>
      </c>
      <c r="F174" s="194">
        <f>IF(Entity_Unit_Costs[[#This Row],[Closing social housing units managed]]&gt;0,Entity_Unit_Costs[[#This Row],[Headline Social Housing Cost]]/Entity_Unit_Costs[[#This Row],[Closing social housing units managed]],"")</f>
        <v>5.5900908162716965</v>
      </c>
      <c r="G174" s="194">
        <f>IF(Entity_Unit_Costs[[#This Row],[Closing social housing units managed]]&gt;0,Entity_Unit_Costs[[#This Row],[Management]]/Entity_Unit_Costs[[#This Row],[Closing social housing units managed]],"")</f>
        <v>1.587135257133645</v>
      </c>
      <c r="H174" s="193">
        <v>29535</v>
      </c>
      <c r="I174" s="194">
        <f>IF(Entity_Unit_Costs[[#This Row],[Closing social housing units managed]]&gt;0,Entity_Unit_Costs[[#This Row],[Service charge costs]]/Entity_Unit_Costs[[#This Row],[Closing social housing units managed]],"")</f>
        <v>0.64157128271266595</v>
      </c>
      <c r="J174" s="193">
        <v>11939</v>
      </c>
      <c r="K174" s="194">
        <f>IF(Entity_Unit_Costs[[#This Row],[Closing social housing units managed]]&gt;0,(Entity_Unit_Costs[[#This Row],[Routine maintenance]]+Entity_Unit_Costs[[#This Row],[Planned maintenance]])/Entity_Unit_Costs[[#This Row],[Closing social housing units managed]],"")</f>
        <v>0.79622763179106881</v>
      </c>
      <c r="L174" s="193">
        <v>14817</v>
      </c>
      <c r="M174" s="193">
        <v>0</v>
      </c>
      <c r="N174" s="194">
        <f>IF(Entity_Unit_Costs[[#This Row],[Closing social housing units managed]]&gt;0,(Entity_Unit_Costs[[#This Row],[Major repairs expenditure]]+Entity_Unit_Costs[[#This Row],[Capitalised major repairs expenditure for period]])/Entity_Unit_Costs[[#This Row],[Closing social housing units managed]],"")</f>
        <v>1.3151163415551614</v>
      </c>
      <c r="O174" s="193">
        <v>8233</v>
      </c>
      <c r="P174" s="193">
        <v>16240</v>
      </c>
      <c r="Q17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1.2500403030791551</v>
      </c>
      <c r="R174" s="193">
        <v>18223</v>
      </c>
      <c r="S174" s="193">
        <v>236</v>
      </c>
      <c r="T174" s="193">
        <v>0</v>
      </c>
      <c r="U174" s="193">
        <v>4140</v>
      </c>
      <c r="V174" s="195">
        <v>663</v>
      </c>
      <c r="W174" s="183">
        <v>2.986026555342958E-2</v>
      </c>
      <c r="X174" s="183">
        <v>8.2217197193714855E-2</v>
      </c>
      <c r="Y174" s="184" t="s">
        <v>1256</v>
      </c>
      <c r="Z174" s="185"/>
      <c r="AA174" s="186" t="s">
        <v>1279</v>
      </c>
      <c r="AB174" s="187" t="s">
        <v>1267</v>
      </c>
      <c r="AC174" s="188">
        <v>1.1833110758297798</v>
      </c>
      <c r="AD174" s="186">
        <v>4825</v>
      </c>
      <c r="AE174" s="187" t="s">
        <v>533</v>
      </c>
    </row>
    <row r="175" spans="1:31" x14ac:dyDescent="0.2">
      <c r="A175" s="189" t="s">
        <v>535</v>
      </c>
      <c r="B175" s="190" t="s">
        <v>536</v>
      </c>
      <c r="C175" s="191" t="s">
        <v>200</v>
      </c>
      <c r="D175" s="192">
        <v>15407</v>
      </c>
      <c r="E17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43594</v>
      </c>
      <c r="F175" s="194">
        <f>IF(Entity_Unit_Costs[[#This Row],[Closing social housing units managed]]&gt;0,Entity_Unit_Costs[[#This Row],[Headline Social Housing Cost]]/Entity_Unit_Costs[[#This Row],[Closing social housing units managed]],"")</f>
        <v>2.8294930875576036</v>
      </c>
      <c r="G175" s="194">
        <f>IF(Entity_Unit_Costs[[#This Row],[Closing social housing units managed]]&gt;0,Entity_Unit_Costs[[#This Row],[Management]]/Entity_Unit_Costs[[#This Row],[Closing social housing units managed]],"")</f>
        <v>1.0503667164275978</v>
      </c>
      <c r="H175" s="193">
        <v>16183</v>
      </c>
      <c r="I175" s="194">
        <f>IF(Entity_Unit_Costs[[#This Row],[Closing social housing units managed]]&gt;0,Entity_Unit_Costs[[#This Row],[Service charge costs]]/Entity_Unit_Costs[[#This Row],[Closing social housing units managed]],"")</f>
        <v>0.22249626793016161</v>
      </c>
      <c r="J175" s="193">
        <v>3428</v>
      </c>
      <c r="K175" s="194">
        <f>IF(Entity_Unit_Costs[[#This Row],[Closing social housing units managed]]&gt;0,(Entity_Unit_Costs[[#This Row],[Routine maintenance]]+Entity_Unit_Costs[[#This Row],[Planned maintenance]])/Entity_Unit_Costs[[#This Row],[Closing social housing units managed]],"")</f>
        <v>0.77620562082170441</v>
      </c>
      <c r="L175" s="193">
        <v>9942</v>
      </c>
      <c r="M175" s="193">
        <v>2017</v>
      </c>
      <c r="N175" s="194">
        <f>IF(Entity_Unit_Costs[[#This Row],[Closing social housing units managed]]&gt;0,(Entity_Unit_Costs[[#This Row],[Major repairs expenditure]]+Entity_Unit_Costs[[#This Row],[Capitalised major repairs expenditure for period]])/Entity_Unit_Costs[[#This Row],[Closing social housing units managed]],"")</f>
        <v>0.77088336470435515</v>
      </c>
      <c r="O175" s="193">
        <v>2321</v>
      </c>
      <c r="P175" s="193">
        <v>9556</v>
      </c>
      <c r="Q17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9.5411176737846427E-3</v>
      </c>
      <c r="R175" s="193">
        <v>147</v>
      </c>
      <c r="S175" s="193">
        <v>0</v>
      </c>
      <c r="T175" s="193">
        <v>0</v>
      </c>
      <c r="U175" s="193">
        <v>0</v>
      </c>
      <c r="V175" s="195">
        <v>0</v>
      </c>
      <c r="W175" s="183">
        <v>7.0549084858569054E-3</v>
      </c>
      <c r="X175" s="183">
        <v>4.5191347753743762E-2</v>
      </c>
      <c r="Y175" s="184" t="s">
        <v>1257</v>
      </c>
      <c r="Z175" s="185">
        <v>36612</v>
      </c>
      <c r="AA175" s="186" t="s">
        <v>1268</v>
      </c>
      <c r="AB175" s="187" t="s">
        <v>1262</v>
      </c>
      <c r="AC175" s="188">
        <v>0.9156653862445665</v>
      </c>
      <c r="AD175" s="186" t="s">
        <v>1239</v>
      </c>
      <c r="AE175" s="187" t="s">
        <v>538</v>
      </c>
    </row>
    <row r="176" spans="1:31" x14ac:dyDescent="0.2">
      <c r="A176" s="189" t="s">
        <v>539</v>
      </c>
      <c r="B176" s="190" t="s">
        <v>540</v>
      </c>
      <c r="C176" s="191" t="s">
        <v>200</v>
      </c>
      <c r="D176" s="192">
        <v>2224</v>
      </c>
      <c r="E17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7397</v>
      </c>
      <c r="F176" s="194">
        <f>IF(Entity_Unit_Costs[[#This Row],[Closing social housing units managed]]&gt;0,Entity_Unit_Costs[[#This Row],[Headline Social Housing Cost]]/Entity_Unit_Costs[[#This Row],[Closing social housing units managed]],"")</f>
        <v>3.3259892086330933</v>
      </c>
      <c r="G176" s="194">
        <f>IF(Entity_Unit_Costs[[#This Row],[Closing social housing units managed]]&gt;0,Entity_Unit_Costs[[#This Row],[Management]]/Entity_Unit_Costs[[#This Row],[Closing social housing units managed]],"")</f>
        <v>0.96133093525179858</v>
      </c>
      <c r="H176" s="193">
        <v>2138</v>
      </c>
      <c r="I176" s="194">
        <f>IF(Entity_Unit_Costs[[#This Row],[Closing social housing units managed]]&gt;0,Entity_Unit_Costs[[#This Row],[Service charge costs]]/Entity_Unit_Costs[[#This Row],[Closing social housing units managed]],"")</f>
        <v>0.53372302158273377</v>
      </c>
      <c r="J176" s="193">
        <v>1187</v>
      </c>
      <c r="K176" s="194">
        <f>IF(Entity_Unit_Costs[[#This Row],[Closing social housing units managed]]&gt;0,(Entity_Unit_Costs[[#This Row],[Routine maintenance]]+Entity_Unit_Costs[[#This Row],[Planned maintenance]])/Entity_Unit_Costs[[#This Row],[Closing social housing units managed]],"")</f>
        <v>0.97257194244604317</v>
      </c>
      <c r="L176" s="193">
        <v>1667</v>
      </c>
      <c r="M176" s="193">
        <v>496</v>
      </c>
      <c r="N176" s="194">
        <f>IF(Entity_Unit_Costs[[#This Row],[Closing social housing units managed]]&gt;0,(Entity_Unit_Costs[[#This Row],[Major repairs expenditure]]+Entity_Unit_Costs[[#This Row],[Capitalised major repairs expenditure for period]])/Entity_Unit_Costs[[#This Row],[Closing social housing units managed]],"")</f>
        <v>0.68660071942446044</v>
      </c>
      <c r="O176" s="193">
        <v>675</v>
      </c>
      <c r="P176" s="193">
        <v>852</v>
      </c>
      <c r="Q17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0.17176258992805754</v>
      </c>
      <c r="R176" s="193">
        <v>382</v>
      </c>
      <c r="S176" s="193">
        <v>0</v>
      </c>
      <c r="T176" s="193">
        <v>0</v>
      </c>
      <c r="U176" s="193">
        <v>0</v>
      </c>
      <c r="V176" s="195">
        <v>0</v>
      </c>
      <c r="W176" s="183">
        <v>7.1262226362366093E-2</v>
      </c>
      <c r="X176" s="183">
        <v>0.18910107126222636</v>
      </c>
      <c r="Y176" s="184" t="s">
        <v>1257</v>
      </c>
      <c r="Z176" s="185">
        <v>36801</v>
      </c>
      <c r="AA176" s="186" t="s">
        <v>1268</v>
      </c>
      <c r="AB176" s="187" t="s">
        <v>1262</v>
      </c>
      <c r="AC176" s="188">
        <v>0.9156653862445665</v>
      </c>
      <c r="AD176" s="186" t="s">
        <v>1245</v>
      </c>
      <c r="AE176" s="187" t="s">
        <v>621</v>
      </c>
    </row>
    <row r="177" spans="1:31" x14ac:dyDescent="0.2">
      <c r="A177" s="189" t="s">
        <v>541</v>
      </c>
      <c r="B177" s="190" t="s">
        <v>542</v>
      </c>
      <c r="C177" s="196" t="s">
        <v>200</v>
      </c>
      <c r="D177" s="192">
        <v>8157</v>
      </c>
      <c r="E17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15001</v>
      </c>
      <c r="F177" s="194">
        <f>IF(Entity_Unit_Costs[[#This Row],[Closing social housing units managed]]&gt;0,Entity_Unit_Costs[[#This Row],[Headline Social Housing Cost]]/Entity_Unit_Costs[[#This Row],[Closing social housing units managed]],"")</f>
        <v>1.8390339585631972</v>
      </c>
      <c r="G177" s="194">
        <f>IF(Entity_Unit_Costs[[#This Row],[Closing social housing units managed]]&gt;0,Entity_Unit_Costs[[#This Row],[Management]]/Entity_Unit_Costs[[#This Row],[Closing social housing units managed]],"")</f>
        <v>0.42785337746720609</v>
      </c>
      <c r="H177" s="193">
        <v>3490</v>
      </c>
      <c r="I177" s="194">
        <f>IF(Entity_Unit_Costs[[#This Row],[Closing social housing units managed]]&gt;0,Entity_Unit_Costs[[#This Row],[Service charge costs]]/Entity_Unit_Costs[[#This Row],[Closing social housing units managed]],"")</f>
        <v>0.25229863920559031</v>
      </c>
      <c r="J177" s="193">
        <v>2058</v>
      </c>
      <c r="K177" s="194">
        <f>IF(Entity_Unit_Costs[[#This Row],[Closing social housing units managed]]&gt;0,(Entity_Unit_Costs[[#This Row],[Routine maintenance]]+Entity_Unit_Costs[[#This Row],[Planned maintenance]])/Entity_Unit_Costs[[#This Row],[Closing social housing units managed]],"")</f>
        <v>0.68542356258428339</v>
      </c>
      <c r="L177" s="193">
        <v>4436</v>
      </c>
      <c r="M177" s="193">
        <v>1155</v>
      </c>
      <c r="N177" s="194">
        <f>IF(Entity_Unit_Costs[[#This Row],[Closing social housing units managed]]&gt;0,(Entity_Unit_Costs[[#This Row],[Major repairs expenditure]]+Entity_Unit_Costs[[#This Row],[Capitalised major repairs expenditure for period]])/Entity_Unit_Costs[[#This Row],[Closing social housing units managed]],"")</f>
        <v>0.36594336152997425</v>
      </c>
      <c r="O177" s="193">
        <v>1740</v>
      </c>
      <c r="P177" s="193">
        <v>1245</v>
      </c>
      <c r="Q17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0.1075150177761432</v>
      </c>
      <c r="R177" s="193">
        <v>70</v>
      </c>
      <c r="S177" s="193">
        <v>0</v>
      </c>
      <c r="T177" s="193">
        <v>344</v>
      </c>
      <c r="U177" s="193">
        <v>463</v>
      </c>
      <c r="V177" s="195">
        <v>0</v>
      </c>
      <c r="W177" s="183">
        <v>4.859086491739553E-3</v>
      </c>
      <c r="X177" s="183">
        <v>7.6166180758017496E-2</v>
      </c>
      <c r="Y177" s="184" t="s">
        <v>1257</v>
      </c>
      <c r="Z177" s="185">
        <v>36220</v>
      </c>
      <c r="AA177" s="186" t="s">
        <v>1268</v>
      </c>
      <c r="AB177" s="187" t="s">
        <v>1261</v>
      </c>
      <c r="AC177" s="188">
        <v>0.92037230061100028</v>
      </c>
      <c r="AD177" s="186" t="s">
        <v>1253</v>
      </c>
      <c r="AE177" s="187" t="s">
        <v>822</v>
      </c>
    </row>
    <row r="178" spans="1:31" x14ac:dyDescent="0.2">
      <c r="A178" s="189" t="s">
        <v>543</v>
      </c>
      <c r="B178" s="190" t="s">
        <v>544</v>
      </c>
      <c r="C178" s="191" t="s">
        <v>200</v>
      </c>
      <c r="D178" s="192">
        <v>4785</v>
      </c>
      <c r="E17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17741</v>
      </c>
      <c r="F178" s="194">
        <f>IF(Entity_Unit_Costs[[#This Row],[Closing social housing units managed]]&gt;0,Entity_Unit_Costs[[#This Row],[Headline Social Housing Cost]]/Entity_Unit_Costs[[#This Row],[Closing social housing units managed]],"")</f>
        <v>3.7076280041797283</v>
      </c>
      <c r="G178" s="194">
        <f>IF(Entity_Unit_Costs[[#This Row],[Closing social housing units managed]]&gt;0,Entity_Unit_Costs[[#This Row],[Management]]/Entity_Unit_Costs[[#This Row],[Closing social housing units managed]],"")</f>
        <v>1.1009404388714734</v>
      </c>
      <c r="H178" s="193">
        <v>5268</v>
      </c>
      <c r="I178" s="194">
        <f>IF(Entity_Unit_Costs[[#This Row],[Closing social housing units managed]]&gt;0,Entity_Unit_Costs[[#This Row],[Service charge costs]]/Entity_Unit_Costs[[#This Row],[Closing social housing units managed]],"")</f>
        <v>0.58829676071055381</v>
      </c>
      <c r="J178" s="193">
        <v>2815</v>
      </c>
      <c r="K178" s="194">
        <f>IF(Entity_Unit_Costs[[#This Row],[Closing social housing units managed]]&gt;0,(Entity_Unit_Costs[[#This Row],[Routine maintenance]]+Entity_Unit_Costs[[#This Row],[Planned maintenance]])/Entity_Unit_Costs[[#This Row],[Closing social housing units managed]],"")</f>
        <v>0.99268547544409613</v>
      </c>
      <c r="L178" s="193">
        <v>3851</v>
      </c>
      <c r="M178" s="193">
        <v>899</v>
      </c>
      <c r="N178" s="194">
        <f>IF(Entity_Unit_Costs[[#This Row],[Closing social housing units managed]]&gt;0,(Entity_Unit_Costs[[#This Row],[Major repairs expenditure]]+Entity_Unit_Costs[[#This Row],[Capitalised major repairs expenditure for period]])/Entity_Unit_Costs[[#This Row],[Closing social housing units managed]],"")</f>
        <v>0.62695924764890287</v>
      </c>
      <c r="O178" s="193">
        <v>1021</v>
      </c>
      <c r="P178" s="193">
        <v>1979</v>
      </c>
      <c r="Q17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0.3987460815047022</v>
      </c>
      <c r="R178" s="193">
        <v>1908</v>
      </c>
      <c r="S178" s="193">
        <v>0</v>
      </c>
      <c r="T178" s="193">
        <v>0</v>
      </c>
      <c r="U178" s="193">
        <v>0</v>
      </c>
      <c r="V178" s="195">
        <v>0</v>
      </c>
      <c r="W178" s="183">
        <v>0.12566673778536377</v>
      </c>
      <c r="X178" s="183">
        <v>0.19735438446767656</v>
      </c>
      <c r="Y178" s="184" t="s">
        <v>1257</v>
      </c>
      <c r="Z178" s="185">
        <v>34423</v>
      </c>
      <c r="AA178" s="186" t="s">
        <v>1268</v>
      </c>
      <c r="AB178" s="187" t="s">
        <v>1262</v>
      </c>
      <c r="AC178" s="188">
        <v>0.91799803978676964</v>
      </c>
      <c r="AD178" s="186" t="s">
        <v>1245</v>
      </c>
      <c r="AE178" s="187" t="s">
        <v>621</v>
      </c>
    </row>
    <row r="179" spans="1:31" x14ac:dyDescent="0.2">
      <c r="A179" s="189" t="s">
        <v>545</v>
      </c>
      <c r="B179" s="190" t="s">
        <v>118</v>
      </c>
      <c r="C179" s="196" t="s">
        <v>200</v>
      </c>
      <c r="D179" s="192">
        <v>7210</v>
      </c>
      <c r="E17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28359</v>
      </c>
      <c r="F179" s="194">
        <f>IF(Entity_Unit_Costs[[#This Row],[Closing social housing units managed]]&gt;0,Entity_Unit_Costs[[#This Row],[Headline Social Housing Cost]]/Entity_Unit_Costs[[#This Row],[Closing social housing units managed]],"")</f>
        <v>3.9332871012482662</v>
      </c>
      <c r="G179" s="194">
        <f>IF(Entity_Unit_Costs[[#This Row],[Closing social housing units managed]]&gt;0,Entity_Unit_Costs[[#This Row],[Management]]/Entity_Unit_Costs[[#This Row],[Closing social housing units managed]],"")</f>
        <v>0.93203883495145634</v>
      </c>
      <c r="H179" s="193">
        <v>6720</v>
      </c>
      <c r="I179" s="194">
        <f>IF(Entity_Unit_Costs[[#This Row],[Closing social housing units managed]]&gt;0,Entity_Unit_Costs[[#This Row],[Service charge costs]]/Entity_Unit_Costs[[#This Row],[Closing social housing units managed]],"")</f>
        <v>1.0778085991678226</v>
      </c>
      <c r="J179" s="193">
        <v>7771</v>
      </c>
      <c r="K179" s="194">
        <f>IF(Entity_Unit_Costs[[#This Row],[Closing social housing units managed]]&gt;0,(Entity_Unit_Costs[[#This Row],[Routine maintenance]]+Entity_Unit_Costs[[#This Row],[Planned maintenance]])/Entity_Unit_Costs[[#This Row],[Closing social housing units managed]],"")</f>
        <v>0.97739251040221919</v>
      </c>
      <c r="L179" s="193">
        <v>3663</v>
      </c>
      <c r="M179" s="193">
        <v>3384</v>
      </c>
      <c r="N179" s="194">
        <f>IF(Entity_Unit_Costs[[#This Row],[Closing social housing units managed]]&gt;0,(Entity_Unit_Costs[[#This Row],[Major repairs expenditure]]+Entity_Unit_Costs[[#This Row],[Capitalised major repairs expenditure for period]])/Entity_Unit_Costs[[#This Row],[Closing social housing units managed]],"")</f>
        <v>0.7711511789181692</v>
      </c>
      <c r="O179" s="193">
        <v>58</v>
      </c>
      <c r="P179" s="193">
        <v>5502</v>
      </c>
      <c r="Q17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0.17489597780859917</v>
      </c>
      <c r="R179" s="193">
        <v>0</v>
      </c>
      <c r="S179" s="193">
        <v>0</v>
      </c>
      <c r="T179" s="193">
        <v>859</v>
      </c>
      <c r="U179" s="193">
        <v>402</v>
      </c>
      <c r="V179" s="195">
        <v>0</v>
      </c>
      <c r="W179" s="183">
        <v>6.41304347826087E-2</v>
      </c>
      <c r="X179" s="183">
        <v>2.732919254658385E-2</v>
      </c>
      <c r="Y179" s="184" t="s">
        <v>1256</v>
      </c>
      <c r="Z179" s="185"/>
      <c r="AA179" s="186" t="s">
        <v>1279</v>
      </c>
      <c r="AB179" s="187" t="s">
        <v>1267</v>
      </c>
      <c r="AC179" s="188">
        <v>1.2488236508969328</v>
      </c>
      <c r="AD179" s="186" t="s">
        <v>545</v>
      </c>
      <c r="AE179" s="187" t="s">
        <v>118</v>
      </c>
    </row>
    <row r="180" spans="1:31" x14ac:dyDescent="0.2">
      <c r="A180" s="189" t="s">
        <v>548</v>
      </c>
      <c r="B180" s="190" t="s">
        <v>547</v>
      </c>
      <c r="C180" s="191" t="s">
        <v>200</v>
      </c>
      <c r="D180" s="192">
        <v>3247</v>
      </c>
      <c r="E18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9989</v>
      </c>
      <c r="F180" s="194">
        <f>IF(Entity_Unit_Costs[[#This Row],[Closing social housing units managed]]&gt;0,Entity_Unit_Costs[[#This Row],[Headline Social Housing Cost]]/Entity_Unit_Costs[[#This Row],[Closing social housing units managed]],"")</f>
        <v>3.0763781952571603</v>
      </c>
      <c r="G180" s="194">
        <f>IF(Entity_Unit_Costs[[#This Row],[Closing social housing units managed]]&gt;0,Entity_Unit_Costs[[#This Row],[Management]]/Entity_Unit_Costs[[#This Row],[Closing social housing units managed]],"")</f>
        <v>0.47613181398213733</v>
      </c>
      <c r="H180" s="193">
        <v>1546</v>
      </c>
      <c r="I180" s="194">
        <f>IF(Entity_Unit_Costs[[#This Row],[Closing social housing units managed]]&gt;0,Entity_Unit_Costs[[#This Row],[Service charge costs]]/Entity_Unit_Costs[[#This Row],[Closing social housing units managed]],"")</f>
        <v>0.20665229442562366</v>
      </c>
      <c r="J180" s="193">
        <v>671</v>
      </c>
      <c r="K180" s="194">
        <f>IF(Entity_Unit_Costs[[#This Row],[Closing social housing units managed]]&gt;0,(Entity_Unit_Costs[[#This Row],[Routine maintenance]]+Entity_Unit_Costs[[#This Row],[Planned maintenance]])/Entity_Unit_Costs[[#This Row],[Closing social housing units managed]],"")</f>
        <v>1.0412688635663689</v>
      </c>
      <c r="L180" s="193">
        <v>2211</v>
      </c>
      <c r="M180" s="193">
        <v>1170</v>
      </c>
      <c r="N180" s="194">
        <f>IF(Entity_Unit_Costs[[#This Row],[Closing social housing units managed]]&gt;0,(Entity_Unit_Costs[[#This Row],[Major repairs expenditure]]+Entity_Unit_Costs[[#This Row],[Capitalised major repairs expenditure for period]])/Entity_Unit_Costs[[#This Row],[Closing social housing units managed]],"")</f>
        <v>1.2433015090853095</v>
      </c>
      <c r="O180" s="193">
        <v>1846</v>
      </c>
      <c r="P180" s="193">
        <v>2191</v>
      </c>
      <c r="Q18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0.10902371419772097</v>
      </c>
      <c r="R180" s="193">
        <v>56</v>
      </c>
      <c r="S180" s="193">
        <v>298</v>
      </c>
      <c r="T180" s="193">
        <v>0</v>
      </c>
      <c r="U180" s="193">
        <v>0</v>
      </c>
      <c r="V180" s="195">
        <v>0</v>
      </c>
      <c r="W180" s="183">
        <v>0</v>
      </c>
      <c r="X180" s="183">
        <v>0.16415152448413919</v>
      </c>
      <c r="Y180" s="184" t="s">
        <v>1257</v>
      </c>
      <c r="Z180" s="185">
        <v>36577</v>
      </c>
      <c r="AA180" s="186" t="s">
        <v>1268</v>
      </c>
      <c r="AB180" s="187" t="s">
        <v>1265</v>
      </c>
      <c r="AC180" s="188">
        <v>0.96617455710897804</v>
      </c>
      <c r="AD180" s="186" t="s">
        <v>548</v>
      </c>
      <c r="AE180" s="187" t="s">
        <v>547</v>
      </c>
    </row>
    <row r="181" spans="1:31" x14ac:dyDescent="0.2">
      <c r="A181" s="189" t="s">
        <v>121</v>
      </c>
      <c r="B181" s="190" t="s">
        <v>120</v>
      </c>
      <c r="C181" s="196" t="s">
        <v>200</v>
      </c>
      <c r="D181" s="192">
        <v>9043</v>
      </c>
      <c r="E18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25258</v>
      </c>
      <c r="F181" s="194">
        <f>IF(Entity_Unit_Costs[[#This Row],[Closing social housing units managed]]&gt;0,Entity_Unit_Costs[[#This Row],[Headline Social Housing Cost]]/Entity_Unit_Costs[[#This Row],[Closing social housing units managed]],"")</f>
        <v>2.7930996350768549</v>
      </c>
      <c r="G181" s="194">
        <f>IF(Entity_Unit_Costs[[#This Row],[Closing social housing units managed]]&gt;0,Entity_Unit_Costs[[#This Row],[Management]]/Entity_Unit_Costs[[#This Row],[Closing social housing units managed]],"")</f>
        <v>0.97312838659736811</v>
      </c>
      <c r="H181" s="193">
        <v>8800</v>
      </c>
      <c r="I181" s="194">
        <f>IF(Entity_Unit_Costs[[#This Row],[Closing social housing units managed]]&gt;0,Entity_Unit_Costs[[#This Row],[Service charge costs]]/Entity_Unit_Costs[[#This Row],[Closing social housing units managed]],"")</f>
        <v>0.59349773305319031</v>
      </c>
      <c r="J181" s="193">
        <v>5367</v>
      </c>
      <c r="K181" s="194">
        <f>IF(Entity_Unit_Costs[[#This Row],[Closing social housing units managed]]&gt;0,(Entity_Unit_Costs[[#This Row],[Routine maintenance]]+Entity_Unit_Costs[[#This Row],[Planned maintenance]])/Entity_Unit_Costs[[#This Row],[Closing social housing units managed]],"")</f>
        <v>0.38803494415570056</v>
      </c>
      <c r="L181" s="193">
        <v>2161</v>
      </c>
      <c r="M181" s="193">
        <v>1348</v>
      </c>
      <c r="N181" s="194">
        <f>IF(Entity_Unit_Costs[[#This Row],[Closing social housing units managed]]&gt;0,(Entity_Unit_Costs[[#This Row],[Major repairs expenditure]]+Entity_Unit_Costs[[#This Row],[Capitalised major repairs expenditure for period]])/Entity_Unit_Costs[[#This Row],[Closing social housing units managed]],"")</f>
        <v>0.26307641269490212</v>
      </c>
      <c r="O181" s="193">
        <v>289</v>
      </c>
      <c r="P181" s="193">
        <v>2090</v>
      </c>
      <c r="Q18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0.57536215857569395</v>
      </c>
      <c r="R181" s="193">
        <v>5052</v>
      </c>
      <c r="S181" s="193">
        <v>0</v>
      </c>
      <c r="T181" s="193">
        <v>151</v>
      </c>
      <c r="U181" s="193">
        <v>0</v>
      </c>
      <c r="V181" s="195">
        <v>0</v>
      </c>
      <c r="W181" s="183">
        <v>1.2761432116270826E-2</v>
      </c>
      <c r="X181" s="183">
        <v>9.0866123124187639E-2</v>
      </c>
      <c r="Y181" s="184" t="s">
        <v>1257</v>
      </c>
      <c r="Z181" s="185">
        <v>37711</v>
      </c>
      <c r="AA181" s="186" t="s">
        <v>1268</v>
      </c>
      <c r="AB181" s="187" t="s">
        <v>1263</v>
      </c>
      <c r="AC181" s="188">
        <v>1.0022399874355168</v>
      </c>
      <c r="AD181" s="186" t="s">
        <v>121</v>
      </c>
      <c r="AE181" s="187" t="s">
        <v>120</v>
      </c>
    </row>
    <row r="182" spans="1:31" x14ac:dyDescent="0.2">
      <c r="A182" s="189" t="s">
        <v>123</v>
      </c>
      <c r="B182" s="190" t="s">
        <v>122</v>
      </c>
      <c r="C182" s="191" t="s">
        <v>200</v>
      </c>
      <c r="D182" s="192">
        <v>8109</v>
      </c>
      <c r="E18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22100</v>
      </c>
      <c r="F182" s="194">
        <f>IF(Entity_Unit_Costs[[#This Row],[Closing social housing units managed]]&gt;0,Entity_Unit_Costs[[#This Row],[Headline Social Housing Cost]]/Entity_Unit_Costs[[#This Row],[Closing social housing units managed]],"")</f>
        <v>2.7253668763102725</v>
      </c>
      <c r="G182" s="194">
        <f>IF(Entity_Unit_Costs[[#This Row],[Closing social housing units managed]]&gt;0,Entity_Unit_Costs[[#This Row],[Management]]/Entity_Unit_Costs[[#This Row],[Closing social housing units managed]],"")</f>
        <v>0.7769145394006659</v>
      </c>
      <c r="H182" s="193">
        <v>6300</v>
      </c>
      <c r="I182" s="194">
        <f>IF(Entity_Unit_Costs[[#This Row],[Closing social housing units managed]]&gt;0,Entity_Unit_Costs[[#This Row],[Service charge costs]]/Entity_Unit_Costs[[#This Row],[Closing social housing units managed]],"")</f>
        <v>1.2578616352201257</v>
      </c>
      <c r="J182" s="193">
        <v>10200</v>
      </c>
      <c r="K182" s="194">
        <f>IF(Entity_Unit_Costs[[#This Row],[Closing social housing units managed]]&gt;0,(Entity_Unit_Costs[[#This Row],[Routine maintenance]]+Entity_Unit_Costs[[#This Row],[Planned maintenance]])/Entity_Unit_Costs[[#This Row],[Closing social housing units managed]],"")</f>
        <v>8.6323837711185097E-2</v>
      </c>
      <c r="L182" s="193">
        <v>700</v>
      </c>
      <c r="M182" s="193">
        <v>0</v>
      </c>
      <c r="N182" s="194">
        <f>IF(Entity_Unit_Costs[[#This Row],[Closing social housing units managed]]&gt;0,(Entity_Unit_Costs[[#This Row],[Major repairs expenditure]]+Entity_Unit_Costs[[#This Row],[Capitalised major repairs expenditure for period]])/Entity_Unit_Costs[[#This Row],[Closing social housing units managed]],"")</f>
        <v>0</v>
      </c>
      <c r="O182" s="193">
        <v>0</v>
      </c>
      <c r="P182" s="193">
        <v>0</v>
      </c>
      <c r="Q18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0.60426686397829577</v>
      </c>
      <c r="R182" s="193">
        <v>0</v>
      </c>
      <c r="S182" s="193">
        <v>0</v>
      </c>
      <c r="T182" s="193">
        <v>3600</v>
      </c>
      <c r="U182" s="193">
        <v>1300</v>
      </c>
      <c r="V182" s="195">
        <v>0</v>
      </c>
      <c r="W182" s="183">
        <v>0</v>
      </c>
      <c r="X182" s="183">
        <v>0</v>
      </c>
      <c r="Y182" s="184" t="s">
        <v>1256</v>
      </c>
      <c r="Z182" s="185"/>
      <c r="AA182" s="186" t="s">
        <v>1279</v>
      </c>
      <c r="AB182" s="187" t="s">
        <v>1267</v>
      </c>
      <c r="AC182" s="188">
        <v>1.2370615934799833</v>
      </c>
      <c r="AD182" s="186" t="s">
        <v>126</v>
      </c>
      <c r="AE182" s="187" t="s">
        <v>124</v>
      </c>
    </row>
    <row r="183" spans="1:31" x14ac:dyDescent="0.2">
      <c r="A183" s="189" t="s">
        <v>126</v>
      </c>
      <c r="B183" s="190" t="s">
        <v>124</v>
      </c>
      <c r="C183" s="196" t="s">
        <v>200</v>
      </c>
      <c r="D183" s="192">
        <v>21759</v>
      </c>
      <c r="E18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117600</v>
      </c>
      <c r="F183" s="194">
        <f>IF(Entity_Unit_Costs[[#This Row],[Closing social housing units managed]]&gt;0,Entity_Unit_Costs[[#This Row],[Headline Social Housing Cost]]/Entity_Unit_Costs[[#This Row],[Closing social housing units managed]],"")</f>
        <v>5.4046601406314627</v>
      </c>
      <c r="G183" s="194">
        <f>IF(Entity_Unit_Costs[[#This Row],[Closing social housing units managed]]&gt;0,Entity_Unit_Costs[[#This Row],[Management]]/Entity_Unit_Costs[[#This Row],[Closing social housing units managed]],"")</f>
        <v>1.0294590744059928</v>
      </c>
      <c r="H183" s="193">
        <v>22400</v>
      </c>
      <c r="I183" s="194">
        <f>IF(Entity_Unit_Costs[[#This Row],[Closing social housing units managed]]&gt;0,Entity_Unit_Costs[[#This Row],[Service charge costs]]/Entity_Unit_Costs[[#This Row],[Closing social housing units managed]],"")</f>
        <v>0.45038834505262193</v>
      </c>
      <c r="J183" s="193">
        <v>9800</v>
      </c>
      <c r="K183" s="194">
        <f>IF(Entity_Unit_Costs[[#This Row],[Closing social housing units managed]]&gt;0,(Entity_Unit_Costs[[#This Row],[Routine maintenance]]+Entity_Unit_Costs[[#This Row],[Planned maintenance]])/Entity_Unit_Costs[[#This Row],[Closing social housing units managed]],"")</f>
        <v>1.5120180155338021</v>
      </c>
      <c r="L183" s="193">
        <v>23700</v>
      </c>
      <c r="M183" s="193">
        <v>9200</v>
      </c>
      <c r="N183" s="194">
        <f>IF(Entity_Unit_Costs[[#This Row],[Closing social housing units managed]]&gt;0,(Entity_Unit_Costs[[#This Row],[Major repairs expenditure]]+Entity_Unit_Costs[[#This Row],[Capitalised major repairs expenditure for period]])/Entity_Unit_Costs[[#This Row],[Closing social housing units managed]],"")</f>
        <v>0.91456408842318127</v>
      </c>
      <c r="O183" s="193">
        <v>11600</v>
      </c>
      <c r="P183" s="193">
        <v>8300</v>
      </c>
      <c r="Q18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1.4982306172158646</v>
      </c>
      <c r="R183" s="193">
        <v>22800</v>
      </c>
      <c r="S183" s="193">
        <v>8100</v>
      </c>
      <c r="T183" s="193">
        <v>700</v>
      </c>
      <c r="U183" s="193">
        <v>600</v>
      </c>
      <c r="V183" s="195">
        <v>400</v>
      </c>
      <c r="W183" s="183">
        <v>4.9947763792846128E-2</v>
      </c>
      <c r="X183" s="183">
        <v>4.0545246505148999E-2</v>
      </c>
      <c r="Y183" s="184" t="s">
        <v>1256</v>
      </c>
      <c r="Z183" s="185"/>
      <c r="AA183" s="186" t="s">
        <v>1279</v>
      </c>
      <c r="AB183" s="187" t="s">
        <v>1267</v>
      </c>
      <c r="AC183" s="188">
        <v>1.248388236016919</v>
      </c>
      <c r="AD183" s="186" t="s">
        <v>126</v>
      </c>
      <c r="AE183" s="187" t="s">
        <v>124</v>
      </c>
    </row>
    <row r="184" spans="1:31" x14ac:dyDescent="0.2">
      <c r="A184" s="197">
        <v>4817</v>
      </c>
      <c r="B184" s="190" t="s">
        <v>553</v>
      </c>
      <c r="C184" s="196" t="s">
        <v>200</v>
      </c>
      <c r="D184" s="192">
        <v>9003</v>
      </c>
      <c r="E18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44136</v>
      </c>
      <c r="F184" s="194">
        <f>IF(Entity_Unit_Costs[[#This Row],[Closing social housing units managed]]&gt;0,Entity_Unit_Costs[[#This Row],[Headline Social Housing Cost]]/Entity_Unit_Costs[[#This Row],[Closing social housing units managed]],"")</f>
        <v>4.9023658780406532</v>
      </c>
      <c r="G184" s="194">
        <f>IF(Entity_Unit_Costs[[#This Row],[Closing social housing units managed]]&gt;0,Entity_Unit_Costs[[#This Row],[Management]]/Entity_Unit_Costs[[#This Row],[Closing social housing units managed]],"")</f>
        <v>1</v>
      </c>
      <c r="H184" s="193">
        <v>9003</v>
      </c>
      <c r="I184" s="194">
        <f>IF(Entity_Unit_Costs[[#This Row],[Closing social housing units managed]]&gt;0,Entity_Unit_Costs[[#This Row],[Service charge costs]]/Entity_Unit_Costs[[#This Row],[Closing social housing units managed]],"")</f>
        <v>0.57569698989225815</v>
      </c>
      <c r="J184" s="193">
        <v>5183</v>
      </c>
      <c r="K184" s="194">
        <f>IF(Entity_Unit_Costs[[#This Row],[Closing social housing units managed]]&gt;0,(Entity_Unit_Costs[[#This Row],[Routine maintenance]]+Entity_Unit_Costs[[#This Row],[Planned maintenance]])/Entity_Unit_Costs[[#This Row],[Closing social housing units managed]],"")</f>
        <v>0.87915139397978448</v>
      </c>
      <c r="L184" s="193">
        <v>6780</v>
      </c>
      <c r="M184" s="193">
        <v>1135</v>
      </c>
      <c r="N184" s="194">
        <f>IF(Entity_Unit_Costs[[#This Row],[Closing social housing units managed]]&gt;0,(Entity_Unit_Costs[[#This Row],[Major repairs expenditure]]+Entity_Unit_Costs[[#This Row],[Capitalised major repairs expenditure for period]])/Entity_Unit_Costs[[#This Row],[Closing social housing units managed]],"")</f>
        <v>0.46895479284682884</v>
      </c>
      <c r="O184" s="193">
        <v>1726</v>
      </c>
      <c r="P184" s="193">
        <v>2496</v>
      </c>
      <c r="Q18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1.9785627013217817</v>
      </c>
      <c r="R184" s="193">
        <v>7835</v>
      </c>
      <c r="S184" s="193">
        <v>8106</v>
      </c>
      <c r="T184" s="193">
        <v>1289</v>
      </c>
      <c r="U184" s="193">
        <v>583</v>
      </c>
      <c r="V184" s="195">
        <v>0</v>
      </c>
      <c r="W184" s="183">
        <v>5.9961315280464215E-2</v>
      </c>
      <c r="X184" s="183">
        <v>9.022641938787121E-2</v>
      </c>
      <c r="Y184" s="184" t="s">
        <v>1256</v>
      </c>
      <c r="Z184" s="185"/>
      <c r="AA184" s="186" t="s">
        <v>1279</v>
      </c>
      <c r="AB184" s="187" t="s">
        <v>1261</v>
      </c>
      <c r="AC184" s="188">
        <v>0.92038375847935383</v>
      </c>
      <c r="AD184" s="186">
        <v>4817</v>
      </c>
      <c r="AE184" s="187" t="s">
        <v>553</v>
      </c>
    </row>
    <row r="185" spans="1:31" x14ac:dyDescent="0.2">
      <c r="A185" s="189" t="s">
        <v>557</v>
      </c>
      <c r="B185" s="190" t="s">
        <v>556</v>
      </c>
      <c r="C185" s="196" t="s">
        <v>200</v>
      </c>
      <c r="D185" s="192">
        <v>6424</v>
      </c>
      <c r="E18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24984</v>
      </c>
      <c r="F185" s="194">
        <f>IF(Entity_Unit_Costs[[#This Row],[Closing social housing units managed]]&gt;0,Entity_Unit_Costs[[#This Row],[Headline Social Housing Cost]]/Entity_Unit_Costs[[#This Row],[Closing social housing units managed]],"")</f>
        <v>3.8891656288916563</v>
      </c>
      <c r="G185" s="194">
        <f>IF(Entity_Unit_Costs[[#This Row],[Closing social housing units managed]]&gt;0,Entity_Unit_Costs[[#This Row],[Management]]/Entity_Unit_Costs[[#This Row],[Closing social housing units managed]],"")</f>
        <v>0.84215442092154424</v>
      </c>
      <c r="H185" s="193">
        <v>5410</v>
      </c>
      <c r="I185" s="194">
        <f>IF(Entity_Unit_Costs[[#This Row],[Closing social housing units managed]]&gt;0,Entity_Unit_Costs[[#This Row],[Service charge costs]]/Entity_Unit_Costs[[#This Row],[Closing social housing units managed]],"")</f>
        <v>0.25856164383561642</v>
      </c>
      <c r="J185" s="193">
        <v>1661</v>
      </c>
      <c r="K185" s="194">
        <f>IF(Entity_Unit_Costs[[#This Row],[Closing social housing units managed]]&gt;0,(Entity_Unit_Costs[[#This Row],[Routine maintenance]]+Entity_Unit_Costs[[#This Row],[Planned maintenance]])/Entity_Unit_Costs[[#This Row],[Closing social housing units managed]],"")</f>
        <v>0.96466376089663763</v>
      </c>
      <c r="L185" s="193">
        <v>3919</v>
      </c>
      <c r="M185" s="193">
        <v>2278</v>
      </c>
      <c r="N185" s="194">
        <f>IF(Entity_Unit_Costs[[#This Row],[Closing social housing units managed]]&gt;0,(Entity_Unit_Costs[[#This Row],[Major repairs expenditure]]+Entity_Unit_Costs[[#This Row],[Capitalised major repairs expenditure for period]])/Entity_Unit_Costs[[#This Row],[Closing social housing units managed]],"")</f>
        <v>1.2247820672478207</v>
      </c>
      <c r="O185" s="193">
        <v>4404</v>
      </c>
      <c r="P185" s="193">
        <v>3464</v>
      </c>
      <c r="Q18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0.59900373599003731</v>
      </c>
      <c r="R185" s="193">
        <v>0</v>
      </c>
      <c r="S185" s="193">
        <v>3771</v>
      </c>
      <c r="T185" s="193">
        <v>77</v>
      </c>
      <c r="U185" s="193">
        <v>0</v>
      </c>
      <c r="V185" s="195">
        <v>0</v>
      </c>
      <c r="W185" s="183">
        <v>1.5409309791332263E-2</v>
      </c>
      <c r="X185" s="183">
        <v>0</v>
      </c>
      <c r="Y185" s="184" t="s">
        <v>1257</v>
      </c>
      <c r="Z185" s="185">
        <v>38754</v>
      </c>
      <c r="AA185" s="186" t="s">
        <v>1280</v>
      </c>
      <c r="AB185" s="187" t="s">
        <v>1265</v>
      </c>
      <c r="AC185" s="188">
        <v>0.96617455710897804</v>
      </c>
      <c r="AD185" s="186" t="s">
        <v>557</v>
      </c>
      <c r="AE185" s="187" t="s">
        <v>556</v>
      </c>
    </row>
    <row r="186" spans="1:31" x14ac:dyDescent="0.2">
      <c r="A186" s="189" t="s">
        <v>560</v>
      </c>
      <c r="B186" s="190" t="s">
        <v>561</v>
      </c>
      <c r="C186" s="191" t="s">
        <v>200</v>
      </c>
      <c r="D186" s="192">
        <v>4515</v>
      </c>
      <c r="E18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8878</v>
      </c>
      <c r="F186" s="194">
        <f>IF(Entity_Unit_Costs[[#This Row],[Closing social housing units managed]]&gt;0,Entity_Unit_Costs[[#This Row],[Headline Social Housing Cost]]/Entity_Unit_Costs[[#This Row],[Closing social housing units managed]],"")</f>
        <v>1.9663344407530454</v>
      </c>
      <c r="G186" s="194">
        <f>IF(Entity_Unit_Costs[[#This Row],[Closing social housing units managed]]&gt;0,Entity_Unit_Costs[[#This Row],[Management]]/Entity_Unit_Costs[[#This Row],[Closing social housing units managed]],"")</f>
        <v>0.86954595791805089</v>
      </c>
      <c r="H186" s="193">
        <v>3926</v>
      </c>
      <c r="I186" s="194">
        <f>IF(Entity_Unit_Costs[[#This Row],[Closing social housing units managed]]&gt;0,Entity_Unit_Costs[[#This Row],[Service charge costs]]/Entity_Unit_Costs[[#This Row],[Closing social housing units managed]],"")</f>
        <v>0.14551495016611296</v>
      </c>
      <c r="J186" s="193">
        <v>657</v>
      </c>
      <c r="K186" s="194">
        <f>IF(Entity_Unit_Costs[[#This Row],[Closing social housing units managed]]&gt;0,(Entity_Unit_Costs[[#This Row],[Routine maintenance]]+Entity_Unit_Costs[[#This Row],[Planned maintenance]])/Entity_Unit_Costs[[#This Row],[Closing social housing units managed]],"")</f>
        <v>0.63433001107419718</v>
      </c>
      <c r="L186" s="193">
        <v>2084</v>
      </c>
      <c r="M186" s="193">
        <v>780</v>
      </c>
      <c r="N186" s="194">
        <f>IF(Entity_Unit_Costs[[#This Row],[Closing social housing units managed]]&gt;0,(Entity_Unit_Costs[[#This Row],[Major repairs expenditure]]+Entity_Unit_Costs[[#This Row],[Capitalised major repairs expenditure for period]])/Entity_Unit_Costs[[#This Row],[Closing social housing units managed]],"")</f>
        <v>0.31694352159468436</v>
      </c>
      <c r="O186" s="193">
        <v>185</v>
      </c>
      <c r="P186" s="193">
        <v>1246</v>
      </c>
      <c r="Q18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v>
      </c>
      <c r="R186" s="193">
        <v>0</v>
      </c>
      <c r="S186" s="193">
        <v>0</v>
      </c>
      <c r="T186" s="193">
        <v>0</v>
      </c>
      <c r="U186" s="193">
        <v>0</v>
      </c>
      <c r="V186" s="195">
        <v>0</v>
      </c>
      <c r="W186" s="183">
        <v>3.1927023945267957E-3</v>
      </c>
      <c r="X186" s="183">
        <v>0.17126567844925883</v>
      </c>
      <c r="Y186" s="184" t="s">
        <v>1257</v>
      </c>
      <c r="Z186" s="185">
        <v>36563</v>
      </c>
      <c r="AA186" s="186" t="s">
        <v>1268</v>
      </c>
      <c r="AB186" s="187" t="s">
        <v>1265</v>
      </c>
      <c r="AC186" s="188">
        <v>0.96617455710897804</v>
      </c>
      <c r="AD186" s="186" t="s">
        <v>1241</v>
      </c>
      <c r="AE186" s="187" t="s">
        <v>559</v>
      </c>
    </row>
    <row r="187" spans="1:31" x14ac:dyDescent="0.2">
      <c r="A187" s="189" t="s">
        <v>562</v>
      </c>
      <c r="B187" s="190" t="s">
        <v>563</v>
      </c>
      <c r="C187" s="196" t="s">
        <v>200</v>
      </c>
      <c r="D187" s="192">
        <v>4469</v>
      </c>
      <c r="E18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25437</v>
      </c>
      <c r="F187" s="194">
        <f>IF(Entity_Unit_Costs[[#This Row],[Closing social housing units managed]]&gt;0,Entity_Unit_Costs[[#This Row],[Headline Social Housing Cost]]/Entity_Unit_Costs[[#This Row],[Closing social housing units managed]],"")</f>
        <v>5.6918773774893712</v>
      </c>
      <c r="G187" s="194">
        <f>IF(Entity_Unit_Costs[[#This Row],[Closing social housing units managed]]&gt;0,Entity_Unit_Costs[[#This Row],[Management]]/Entity_Unit_Costs[[#This Row],[Closing social housing units managed]],"")</f>
        <v>1.2141418661893042</v>
      </c>
      <c r="H187" s="193">
        <v>5426</v>
      </c>
      <c r="I187" s="194">
        <f>IF(Entity_Unit_Costs[[#This Row],[Closing social housing units managed]]&gt;0,Entity_Unit_Costs[[#This Row],[Service charge costs]]/Entity_Unit_Costs[[#This Row],[Closing social housing units managed]],"")</f>
        <v>0.69321995972253303</v>
      </c>
      <c r="J187" s="193">
        <v>3098</v>
      </c>
      <c r="K187" s="194">
        <f>IF(Entity_Unit_Costs[[#This Row],[Closing social housing units managed]]&gt;0,(Entity_Unit_Costs[[#This Row],[Routine maintenance]]+Entity_Unit_Costs[[#This Row],[Planned maintenance]])/Entity_Unit_Costs[[#This Row],[Closing social housing units managed]],"")</f>
        <v>1.9494294025509062</v>
      </c>
      <c r="L187" s="193">
        <v>5439</v>
      </c>
      <c r="M187" s="193">
        <v>3273</v>
      </c>
      <c r="N187" s="194">
        <f>IF(Entity_Unit_Costs[[#This Row],[Closing social housing units managed]]&gt;0,(Entity_Unit_Costs[[#This Row],[Major repairs expenditure]]+Entity_Unit_Costs[[#This Row],[Capitalised major repairs expenditure for period]])/Entity_Unit_Costs[[#This Row],[Closing social housing units managed]],"")</f>
        <v>0.88051018124860148</v>
      </c>
      <c r="O187" s="193">
        <v>381</v>
      </c>
      <c r="P187" s="193">
        <v>3554</v>
      </c>
      <c r="Q18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0.95457596777802645</v>
      </c>
      <c r="R187" s="193">
        <v>3202</v>
      </c>
      <c r="S187" s="193">
        <v>128</v>
      </c>
      <c r="T187" s="193">
        <v>0</v>
      </c>
      <c r="U187" s="193">
        <v>936</v>
      </c>
      <c r="V187" s="195">
        <v>0</v>
      </c>
      <c r="W187" s="183">
        <v>5.7149467838963443E-2</v>
      </c>
      <c r="X187" s="183">
        <v>2.9615918556223971E-2</v>
      </c>
      <c r="Y187" s="184" t="s">
        <v>1256</v>
      </c>
      <c r="Z187" s="185"/>
      <c r="AA187" s="186" t="s">
        <v>1279</v>
      </c>
      <c r="AB187" s="187" t="s">
        <v>1267</v>
      </c>
      <c r="AC187" s="188">
        <v>1.2488627787394371</v>
      </c>
      <c r="AD187" s="186" t="s">
        <v>562</v>
      </c>
      <c r="AE187" s="187" t="s">
        <v>563</v>
      </c>
    </row>
    <row r="188" spans="1:31" x14ac:dyDescent="0.2">
      <c r="A188" s="189" t="s">
        <v>565</v>
      </c>
      <c r="B188" s="190" t="s">
        <v>566</v>
      </c>
      <c r="C188" s="196" t="s">
        <v>200</v>
      </c>
      <c r="D188" s="192">
        <v>5434</v>
      </c>
      <c r="E18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24993</v>
      </c>
      <c r="F188" s="194">
        <f>IF(Entity_Unit_Costs[[#This Row],[Closing social housing units managed]]&gt;0,Entity_Unit_Costs[[#This Row],[Headline Social Housing Cost]]/Entity_Unit_Costs[[#This Row],[Closing social housing units managed]],"")</f>
        <v>4.5993743099006261</v>
      </c>
      <c r="G188" s="194">
        <f>IF(Entity_Unit_Costs[[#This Row],[Closing social housing units managed]]&gt;0,Entity_Unit_Costs[[#This Row],[Management]]/Entity_Unit_Costs[[#This Row],[Closing social housing units managed]],"")</f>
        <v>0.46429885903570112</v>
      </c>
      <c r="H188" s="193">
        <v>2523</v>
      </c>
      <c r="I188" s="194">
        <f>IF(Entity_Unit_Costs[[#This Row],[Closing social housing units managed]]&gt;0,Entity_Unit_Costs[[#This Row],[Service charge costs]]/Entity_Unit_Costs[[#This Row],[Closing social housing units managed]],"")</f>
        <v>1.256716967243283</v>
      </c>
      <c r="J188" s="193">
        <v>6829</v>
      </c>
      <c r="K188" s="194">
        <f>IF(Entity_Unit_Costs[[#This Row],[Closing social housing units managed]]&gt;0,(Entity_Unit_Costs[[#This Row],[Routine maintenance]]+Entity_Unit_Costs[[#This Row],[Planned maintenance]])/Entity_Unit_Costs[[#This Row],[Closing social housing units managed]],"")</f>
        <v>1.6895472948104526</v>
      </c>
      <c r="L188" s="193">
        <v>6244</v>
      </c>
      <c r="M188" s="193">
        <v>2937</v>
      </c>
      <c r="N188" s="194">
        <f>IF(Entity_Unit_Costs[[#This Row],[Closing social housing units managed]]&gt;0,(Entity_Unit_Costs[[#This Row],[Major repairs expenditure]]+Entity_Unit_Costs[[#This Row],[Capitalised major repairs expenditure for period]])/Entity_Unit_Costs[[#This Row],[Closing social housing units managed]],"")</f>
        <v>1.1251380198748619</v>
      </c>
      <c r="O188" s="193">
        <v>0</v>
      </c>
      <c r="P188" s="193">
        <v>6114</v>
      </c>
      <c r="Q18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6.3673168936326838E-2</v>
      </c>
      <c r="R188" s="193">
        <v>9</v>
      </c>
      <c r="S188" s="193">
        <v>3</v>
      </c>
      <c r="T188" s="193">
        <v>0</v>
      </c>
      <c r="U188" s="193">
        <v>94</v>
      </c>
      <c r="V188" s="195">
        <v>240</v>
      </c>
      <c r="W188" s="183">
        <v>2.7413354219698455E-3</v>
      </c>
      <c r="X188" s="183">
        <v>5.8742901899353824E-3</v>
      </c>
      <c r="Y188" s="184" t="s">
        <v>1257</v>
      </c>
      <c r="Z188" s="185">
        <v>39293</v>
      </c>
      <c r="AA188" s="186" t="s">
        <v>1280</v>
      </c>
      <c r="AB188" s="187" t="s">
        <v>1267</v>
      </c>
      <c r="AC188" s="188">
        <v>1.2488627787394371</v>
      </c>
      <c r="AD188" s="186" t="s">
        <v>1228</v>
      </c>
      <c r="AE188" s="187" t="s">
        <v>300</v>
      </c>
    </row>
    <row r="189" spans="1:31" x14ac:dyDescent="0.2">
      <c r="A189" s="197">
        <v>4635</v>
      </c>
      <c r="B189" s="190" t="s">
        <v>568</v>
      </c>
      <c r="C189" s="196" t="s">
        <v>200</v>
      </c>
      <c r="D189" s="192">
        <v>1004</v>
      </c>
      <c r="E18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16969</v>
      </c>
      <c r="F189" s="194">
        <f>IF(Entity_Unit_Costs[[#This Row],[Closing social housing units managed]]&gt;0,Entity_Unit_Costs[[#This Row],[Headline Social Housing Cost]]/Entity_Unit_Costs[[#This Row],[Closing social housing units managed]],"")</f>
        <v>16.901394422310759</v>
      </c>
      <c r="G189" s="194">
        <f>IF(Entity_Unit_Costs[[#This Row],[Closing social housing units managed]]&gt;0,Entity_Unit_Costs[[#This Row],[Management]]/Entity_Unit_Costs[[#This Row],[Closing social housing units managed]],"")</f>
        <v>2.2908366533864542E-2</v>
      </c>
      <c r="H189" s="193">
        <v>23</v>
      </c>
      <c r="I189" s="194">
        <f>IF(Entity_Unit_Costs[[#This Row],[Closing social housing units managed]]&gt;0,Entity_Unit_Costs[[#This Row],[Service charge costs]]/Entity_Unit_Costs[[#This Row],[Closing social housing units managed]],"")</f>
        <v>0</v>
      </c>
      <c r="J189" s="193">
        <v>0</v>
      </c>
      <c r="K189" s="194">
        <f>IF(Entity_Unit_Costs[[#This Row],[Closing social housing units managed]]&gt;0,(Entity_Unit_Costs[[#This Row],[Routine maintenance]]+Entity_Unit_Costs[[#This Row],[Planned maintenance]])/Entity_Unit_Costs[[#This Row],[Closing social housing units managed]],"")</f>
        <v>0</v>
      </c>
      <c r="L189" s="193">
        <v>0</v>
      </c>
      <c r="M189" s="193">
        <v>0</v>
      </c>
      <c r="N189" s="194">
        <f>IF(Entity_Unit_Costs[[#This Row],[Closing social housing units managed]]&gt;0,(Entity_Unit_Costs[[#This Row],[Major repairs expenditure]]+Entity_Unit_Costs[[#This Row],[Capitalised major repairs expenditure for period]])/Entity_Unit_Costs[[#This Row],[Closing social housing units managed]],"")</f>
        <v>0</v>
      </c>
      <c r="O189" s="193">
        <v>0</v>
      </c>
      <c r="P189" s="193">
        <v>0</v>
      </c>
      <c r="Q18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16.878486055776893</v>
      </c>
      <c r="R189" s="193">
        <v>16946</v>
      </c>
      <c r="S189" s="193">
        <v>0</v>
      </c>
      <c r="T189" s="193">
        <v>0</v>
      </c>
      <c r="U189" s="193">
        <v>0</v>
      </c>
      <c r="V189" s="195">
        <v>0</v>
      </c>
      <c r="W189" s="183">
        <v>0</v>
      </c>
      <c r="X189" s="183">
        <v>0</v>
      </c>
      <c r="Y189" s="184" t="s">
        <v>1256</v>
      </c>
      <c r="Z189" s="185"/>
      <c r="AA189" s="186" t="s">
        <v>1279</v>
      </c>
      <c r="AB189" s="187" t="s">
        <v>1267</v>
      </c>
      <c r="AC189" s="188">
        <v>1.1077561463478063</v>
      </c>
      <c r="AD189" s="186">
        <v>4635</v>
      </c>
      <c r="AE189" s="187" t="s">
        <v>568</v>
      </c>
    </row>
    <row r="190" spans="1:31" x14ac:dyDescent="0.2">
      <c r="A190" s="189" t="s">
        <v>128</v>
      </c>
      <c r="B190" s="190" t="s">
        <v>127</v>
      </c>
      <c r="C190" s="191" t="s">
        <v>200</v>
      </c>
      <c r="D190" s="192">
        <v>13801</v>
      </c>
      <c r="E19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92944</v>
      </c>
      <c r="F190" s="194">
        <f>IF(Entity_Unit_Costs[[#This Row],[Closing social housing units managed]]&gt;0,Entity_Unit_Costs[[#This Row],[Headline Social Housing Cost]]/Entity_Unit_Costs[[#This Row],[Closing social housing units managed]],"")</f>
        <v>6.7345844504021448</v>
      </c>
      <c r="G190" s="194">
        <f>IF(Entity_Unit_Costs[[#This Row],[Closing social housing units managed]]&gt;0,Entity_Unit_Costs[[#This Row],[Management]]/Entity_Unit_Costs[[#This Row],[Closing social housing units managed]],"")</f>
        <v>1.3259184117092964</v>
      </c>
      <c r="H190" s="193">
        <v>18299</v>
      </c>
      <c r="I190" s="194">
        <f>IF(Entity_Unit_Costs[[#This Row],[Closing social housing units managed]]&gt;0,Entity_Unit_Costs[[#This Row],[Service charge costs]]/Entity_Unit_Costs[[#This Row],[Closing social housing units managed]],"")</f>
        <v>1.3681617274110571</v>
      </c>
      <c r="J190" s="193">
        <v>18882</v>
      </c>
      <c r="K190" s="194">
        <f>IF(Entity_Unit_Costs[[#This Row],[Closing social housing units managed]]&gt;0,(Entity_Unit_Costs[[#This Row],[Routine maintenance]]+Entity_Unit_Costs[[#This Row],[Planned maintenance]])/Entity_Unit_Costs[[#This Row],[Closing social housing units managed]],"")</f>
        <v>1.4451126729947106</v>
      </c>
      <c r="L190" s="193">
        <v>12443</v>
      </c>
      <c r="M190" s="193">
        <v>7501</v>
      </c>
      <c r="N190" s="194">
        <f>IF(Entity_Unit_Costs[[#This Row],[Closing social housing units managed]]&gt;0,(Entity_Unit_Costs[[#This Row],[Major repairs expenditure]]+Entity_Unit_Costs[[#This Row],[Capitalised major repairs expenditure for period]])/Entity_Unit_Costs[[#This Row],[Closing social housing units managed]],"")</f>
        <v>0.62509963046156081</v>
      </c>
      <c r="O190" s="193">
        <v>5814</v>
      </c>
      <c r="P190" s="193">
        <v>2813</v>
      </c>
      <c r="Q19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1.9702920078255199</v>
      </c>
      <c r="R190" s="193">
        <v>1749</v>
      </c>
      <c r="S190" s="193">
        <v>24163</v>
      </c>
      <c r="T190" s="193">
        <v>0</v>
      </c>
      <c r="U190" s="193">
        <v>1396</v>
      </c>
      <c r="V190" s="195">
        <v>-116</v>
      </c>
      <c r="W190" s="183">
        <v>0.12844909609895339</v>
      </c>
      <c r="X190" s="183">
        <v>2.3786869647954328E-2</v>
      </c>
      <c r="Y190" s="184" t="s">
        <v>1256</v>
      </c>
      <c r="Z190" s="185"/>
      <c r="AA190" s="186" t="s">
        <v>1279</v>
      </c>
      <c r="AB190" s="187" t="s">
        <v>1267</v>
      </c>
      <c r="AC190" s="188">
        <v>1.2254603754638602</v>
      </c>
      <c r="AD190" s="186" t="s">
        <v>128</v>
      </c>
      <c r="AE190" s="187" t="s">
        <v>127</v>
      </c>
    </row>
    <row r="191" spans="1:31" x14ac:dyDescent="0.2">
      <c r="A191" s="197">
        <v>4804</v>
      </c>
      <c r="B191" s="190" t="s">
        <v>131</v>
      </c>
      <c r="C191" s="196" t="s">
        <v>200</v>
      </c>
      <c r="D191" s="192">
        <v>12332</v>
      </c>
      <c r="E19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42551</v>
      </c>
      <c r="F191" s="194">
        <f>IF(Entity_Unit_Costs[[#This Row],[Closing social housing units managed]]&gt;0,Entity_Unit_Costs[[#This Row],[Headline Social Housing Cost]]/Entity_Unit_Costs[[#This Row],[Closing social housing units managed]],"")</f>
        <v>3.4504541031462859</v>
      </c>
      <c r="G191" s="194">
        <f>IF(Entity_Unit_Costs[[#This Row],[Closing social housing units managed]]&gt;0,Entity_Unit_Costs[[#This Row],[Management]]/Entity_Unit_Costs[[#This Row],[Closing social housing units managed]],"")</f>
        <v>0.93083036003892317</v>
      </c>
      <c r="H191" s="193">
        <v>11479</v>
      </c>
      <c r="I191" s="194">
        <f>IF(Entity_Unit_Costs[[#This Row],[Closing social housing units managed]]&gt;0,Entity_Unit_Costs[[#This Row],[Service charge costs]]/Entity_Unit_Costs[[#This Row],[Closing social housing units managed]],"")</f>
        <v>0.2645961725591956</v>
      </c>
      <c r="J191" s="193">
        <v>3263</v>
      </c>
      <c r="K191" s="194">
        <f>IF(Entity_Unit_Costs[[#This Row],[Closing social housing units managed]]&gt;0,(Entity_Unit_Costs[[#This Row],[Routine maintenance]]+Entity_Unit_Costs[[#This Row],[Planned maintenance]])/Entity_Unit_Costs[[#This Row],[Closing social housing units managed]],"")</f>
        <v>1.1160395718456049</v>
      </c>
      <c r="L191" s="193">
        <v>4286</v>
      </c>
      <c r="M191" s="193">
        <v>9477</v>
      </c>
      <c r="N191" s="194">
        <f>IF(Entity_Unit_Costs[[#This Row],[Closing social housing units managed]]&gt;0,(Entity_Unit_Costs[[#This Row],[Major repairs expenditure]]+Entity_Unit_Costs[[#This Row],[Capitalised major repairs expenditure for period]])/Entity_Unit_Costs[[#This Row],[Closing social housing units managed]],"")</f>
        <v>1.0861174180992539</v>
      </c>
      <c r="O191" s="193">
        <v>7800</v>
      </c>
      <c r="P191" s="193">
        <v>5594</v>
      </c>
      <c r="Q19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5.2870580603308466E-2</v>
      </c>
      <c r="R191" s="193">
        <v>652</v>
      </c>
      <c r="S191" s="193">
        <v>0</v>
      </c>
      <c r="T191" s="193">
        <v>0</v>
      </c>
      <c r="U191" s="193">
        <v>0</v>
      </c>
      <c r="V191" s="195">
        <v>0</v>
      </c>
      <c r="W191" s="183">
        <v>8.5955238404151799E-2</v>
      </c>
      <c r="X191" s="183">
        <v>0</v>
      </c>
      <c r="Y191" s="184" t="s">
        <v>1257</v>
      </c>
      <c r="Z191" s="185">
        <v>39020</v>
      </c>
      <c r="AA191" s="186" t="s">
        <v>1280</v>
      </c>
      <c r="AB191" s="187" t="s">
        <v>1262</v>
      </c>
      <c r="AC191" s="188">
        <v>0.9156653862445665</v>
      </c>
      <c r="AD191" s="186">
        <v>4804</v>
      </c>
      <c r="AE191" s="187" t="s">
        <v>131</v>
      </c>
    </row>
    <row r="192" spans="1:31" x14ac:dyDescent="0.2">
      <c r="A192" s="189" t="s">
        <v>573</v>
      </c>
      <c r="B192" s="190" t="s">
        <v>572</v>
      </c>
      <c r="C192" s="196" t="s">
        <v>200</v>
      </c>
      <c r="D192" s="192">
        <v>9981</v>
      </c>
      <c r="E19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28692</v>
      </c>
      <c r="F192" s="194">
        <f>IF(Entity_Unit_Costs[[#This Row],[Closing social housing units managed]]&gt;0,Entity_Unit_Costs[[#This Row],[Headline Social Housing Cost]]/Entity_Unit_Costs[[#This Row],[Closing social housing units managed]],"")</f>
        <v>2.8746618575293055</v>
      </c>
      <c r="G192" s="194">
        <f>IF(Entity_Unit_Costs[[#This Row],[Closing social housing units managed]]&gt;0,Entity_Unit_Costs[[#This Row],[Management]]/Entity_Unit_Costs[[#This Row],[Closing social housing units managed]],"")</f>
        <v>0.48822763250175333</v>
      </c>
      <c r="H192" s="193">
        <v>4873</v>
      </c>
      <c r="I192" s="194">
        <f>IF(Entity_Unit_Costs[[#This Row],[Closing social housing units managed]]&gt;0,Entity_Unit_Costs[[#This Row],[Service charge costs]]/Entity_Unit_Costs[[#This Row],[Closing social housing units managed]],"")</f>
        <v>0.17924055705841099</v>
      </c>
      <c r="J192" s="193">
        <v>1789</v>
      </c>
      <c r="K192" s="194">
        <f>IF(Entity_Unit_Costs[[#This Row],[Closing social housing units managed]]&gt;0,(Entity_Unit_Costs[[#This Row],[Routine maintenance]]+Entity_Unit_Costs[[#This Row],[Planned maintenance]])/Entity_Unit_Costs[[#This Row],[Closing social housing units managed]],"")</f>
        <v>0.68490131249373809</v>
      </c>
      <c r="L192" s="193">
        <v>5310</v>
      </c>
      <c r="M192" s="193">
        <v>1526</v>
      </c>
      <c r="N192" s="194">
        <f>IF(Entity_Unit_Costs[[#This Row],[Closing social housing units managed]]&gt;0,(Entity_Unit_Costs[[#This Row],[Major repairs expenditure]]+Entity_Unit_Costs[[#This Row],[Capitalised major repairs expenditure for period]])/Entity_Unit_Costs[[#This Row],[Closing social housing units managed]],"")</f>
        <v>0.89239555154794103</v>
      </c>
      <c r="O192" s="193">
        <v>2499</v>
      </c>
      <c r="P192" s="193">
        <v>6408</v>
      </c>
      <c r="Q19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0.62989680392746217</v>
      </c>
      <c r="R192" s="193">
        <v>6287</v>
      </c>
      <c r="S192" s="193">
        <v>0</v>
      </c>
      <c r="T192" s="193">
        <v>0</v>
      </c>
      <c r="U192" s="193">
        <v>0</v>
      </c>
      <c r="V192" s="195">
        <v>0</v>
      </c>
      <c r="W192" s="183">
        <v>0</v>
      </c>
      <c r="X192" s="183">
        <v>0</v>
      </c>
      <c r="Y192" s="184" t="s">
        <v>1257</v>
      </c>
      <c r="Z192" s="185">
        <v>39139</v>
      </c>
      <c r="AA192" s="186" t="s">
        <v>1280</v>
      </c>
      <c r="AB192" s="187" t="s">
        <v>1264</v>
      </c>
      <c r="AC192" s="188">
        <v>0.94806196649645436</v>
      </c>
      <c r="AD192" s="186" t="s">
        <v>573</v>
      </c>
      <c r="AE192" s="187" t="s">
        <v>572</v>
      </c>
    </row>
    <row r="193" spans="1:31" x14ac:dyDescent="0.2">
      <c r="A193" s="189" t="s">
        <v>134</v>
      </c>
      <c r="B193" s="190" t="s">
        <v>133</v>
      </c>
      <c r="C193" s="196" t="s">
        <v>200</v>
      </c>
      <c r="D193" s="192">
        <v>5176</v>
      </c>
      <c r="E19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9566</v>
      </c>
      <c r="F193" s="194">
        <f>IF(Entity_Unit_Costs[[#This Row],[Closing social housing units managed]]&gt;0,Entity_Unit_Costs[[#This Row],[Headline Social Housing Cost]]/Entity_Unit_Costs[[#This Row],[Closing social housing units managed]],"")</f>
        <v>1.8481452859350851</v>
      </c>
      <c r="G193" s="194">
        <f>IF(Entity_Unit_Costs[[#This Row],[Closing social housing units managed]]&gt;0,Entity_Unit_Costs[[#This Row],[Management]]/Entity_Unit_Costs[[#This Row],[Closing social housing units managed]],"")</f>
        <v>0.37635239567233386</v>
      </c>
      <c r="H193" s="193">
        <v>1948</v>
      </c>
      <c r="I193" s="194">
        <f>IF(Entity_Unit_Costs[[#This Row],[Closing social housing units managed]]&gt;0,Entity_Unit_Costs[[#This Row],[Service charge costs]]/Entity_Unit_Costs[[#This Row],[Closing social housing units managed]],"")</f>
        <v>0.25347758887171562</v>
      </c>
      <c r="J193" s="193">
        <v>1312</v>
      </c>
      <c r="K193" s="194">
        <f>IF(Entity_Unit_Costs[[#This Row],[Closing social housing units managed]]&gt;0,(Entity_Unit_Costs[[#This Row],[Routine maintenance]]+Entity_Unit_Costs[[#This Row],[Planned maintenance]])/Entity_Unit_Costs[[#This Row],[Closing social housing units managed]],"")</f>
        <v>0.84196290571870169</v>
      </c>
      <c r="L193" s="193">
        <v>3300</v>
      </c>
      <c r="M193" s="193">
        <v>1058</v>
      </c>
      <c r="N193" s="194">
        <f>IF(Entity_Unit_Costs[[#This Row],[Closing social housing units managed]]&gt;0,(Entity_Unit_Costs[[#This Row],[Major repairs expenditure]]+Entity_Unit_Costs[[#This Row],[Capitalised major repairs expenditure for period]])/Entity_Unit_Costs[[#This Row],[Closing social housing units managed]],"")</f>
        <v>0.33790571870170016</v>
      </c>
      <c r="O193" s="193">
        <v>303</v>
      </c>
      <c r="P193" s="193">
        <v>1446</v>
      </c>
      <c r="Q19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3.8446676970633691E-2</v>
      </c>
      <c r="R193" s="193">
        <v>0</v>
      </c>
      <c r="S193" s="193">
        <v>0</v>
      </c>
      <c r="T193" s="193">
        <v>0</v>
      </c>
      <c r="U193" s="193">
        <v>62</v>
      </c>
      <c r="V193" s="195">
        <v>137</v>
      </c>
      <c r="W193" s="183">
        <v>4.554326610279766E-3</v>
      </c>
      <c r="X193" s="183">
        <v>1.5181088700932552E-2</v>
      </c>
      <c r="Y193" s="184" t="s">
        <v>1257</v>
      </c>
      <c r="Z193" s="185">
        <v>36332</v>
      </c>
      <c r="AA193" s="186" t="s">
        <v>1268</v>
      </c>
      <c r="AB193" s="187" t="s">
        <v>1260</v>
      </c>
      <c r="AC193" s="188">
        <v>0.91571558169387279</v>
      </c>
      <c r="AD193" s="186" t="s">
        <v>1254</v>
      </c>
      <c r="AE193" s="187" t="s">
        <v>194</v>
      </c>
    </row>
    <row r="194" spans="1:31" x14ac:dyDescent="0.2">
      <c r="A194" s="189" t="s">
        <v>576</v>
      </c>
      <c r="B194" s="190" t="s">
        <v>575</v>
      </c>
      <c r="C194" s="196" t="s">
        <v>200</v>
      </c>
      <c r="D194" s="192">
        <v>4945</v>
      </c>
      <c r="E19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21539</v>
      </c>
      <c r="F194" s="194">
        <f>IF(Entity_Unit_Costs[[#This Row],[Closing social housing units managed]]&gt;0,Entity_Unit_Costs[[#This Row],[Headline Social Housing Cost]]/Entity_Unit_Costs[[#This Row],[Closing social housing units managed]],"")</f>
        <v>4.3557128412537915</v>
      </c>
      <c r="G194" s="194">
        <f>IF(Entity_Unit_Costs[[#This Row],[Closing social housing units managed]]&gt;0,Entity_Unit_Costs[[#This Row],[Management]]/Entity_Unit_Costs[[#This Row],[Closing social housing units managed]],"")</f>
        <v>0.30414560161779575</v>
      </c>
      <c r="H194" s="193">
        <v>1504</v>
      </c>
      <c r="I194" s="194">
        <f>IF(Entity_Unit_Costs[[#This Row],[Closing social housing units managed]]&gt;0,Entity_Unit_Costs[[#This Row],[Service charge costs]]/Entity_Unit_Costs[[#This Row],[Closing social housing units managed]],"")</f>
        <v>0.31506572295247726</v>
      </c>
      <c r="J194" s="193">
        <v>1558</v>
      </c>
      <c r="K194" s="194">
        <f>IF(Entity_Unit_Costs[[#This Row],[Closing social housing units managed]]&gt;0,(Entity_Unit_Costs[[#This Row],[Routine maintenance]]+Entity_Unit_Costs[[#This Row],[Planned maintenance]])/Entity_Unit_Costs[[#This Row],[Closing social housing units managed]],"")</f>
        <v>2.6289180990899897E-3</v>
      </c>
      <c r="L194" s="193">
        <v>15</v>
      </c>
      <c r="M194" s="193">
        <v>-2</v>
      </c>
      <c r="N194" s="194">
        <f>IF(Entity_Unit_Costs[[#This Row],[Closing social housing units managed]]&gt;0,(Entity_Unit_Costs[[#This Row],[Major repairs expenditure]]+Entity_Unit_Costs[[#This Row],[Capitalised major repairs expenditure for period]])/Entity_Unit_Costs[[#This Row],[Closing social housing units managed]],"")</f>
        <v>0</v>
      </c>
      <c r="O194" s="193">
        <v>0</v>
      </c>
      <c r="P194" s="193">
        <v>0</v>
      </c>
      <c r="Q19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3.7338725985844285</v>
      </c>
      <c r="R194" s="193">
        <v>0</v>
      </c>
      <c r="S194" s="193">
        <v>0</v>
      </c>
      <c r="T194" s="193">
        <v>18464</v>
      </c>
      <c r="U194" s="193">
        <v>0</v>
      </c>
      <c r="V194" s="195">
        <v>0</v>
      </c>
      <c r="W194" s="183">
        <v>0</v>
      </c>
      <c r="X194" s="183">
        <v>0</v>
      </c>
      <c r="Y194" s="184" t="s">
        <v>1256</v>
      </c>
      <c r="Z194" s="185"/>
      <c r="AA194" s="186" t="s">
        <v>1279</v>
      </c>
      <c r="AB194" s="187" t="s">
        <v>1258</v>
      </c>
      <c r="AC194" s="188">
        <v>0.99301666989244064</v>
      </c>
      <c r="AD194" s="186" t="s">
        <v>576</v>
      </c>
      <c r="AE194" s="187" t="s">
        <v>575</v>
      </c>
    </row>
    <row r="195" spans="1:31" x14ac:dyDescent="0.2">
      <c r="A195" s="189" t="s">
        <v>577</v>
      </c>
      <c r="B195" s="190" t="s">
        <v>578</v>
      </c>
      <c r="C195" s="196" t="s">
        <v>200</v>
      </c>
      <c r="D195" s="192">
        <v>18618</v>
      </c>
      <c r="E19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66011</v>
      </c>
      <c r="F195" s="194">
        <f>IF(Entity_Unit_Costs[[#This Row],[Closing social housing units managed]]&gt;0,Entity_Unit_Costs[[#This Row],[Headline Social Housing Cost]]/Entity_Unit_Costs[[#This Row],[Closing social housing units managed]],"")</f>
        <v>3.5455473197980449</v>
      </c>
      <c r="G195" s="194">
        <f>IF(Entity_Unit_Costs[[#This Row],[Closing social housing units managed]]&gt;0,Entity_Unit_Costs[[#This Row],[Management]]/Entity_Unit_Costs[[#This Row],[Closing social housing units managed]],"")</f>
        <v>0.58701256848211403</v>
      </c>
      <c r="H195" s="193">
        <v>10929</v>
      </c>
      <c r="I195" s="194">
        <f>IF(Entity_Unit_Costs[[#This Row],[Closing social housing units managed]]&gt;0,Entity_Unit_Costs[[#This Row],[Service charge costs]]/Entity_Unit_Costs[[#This Row],[Closing social housing units managed]],"")</f>
        <v>0.53244172306370174</v>
      </c>
      <c r="J195" s="193">
        <v>9913</v>
      </c>
      <c r="K195" s="194">
        <f>IF(Entity_Unit_Costs[[#This Row],[Closing social housing units managed]]&gt;0,(Entity_Unit_Costs[[#This Row],[Routine maintenance]]+Entity_Unit_Costs[[#This Row],[Planned maintenance]])/Entity_Unit_Costs[[#This Row],[Closing social housing units managed]],"")</f>
        <v>1.4572456762273069</v>
      </c>
      <c r="L195" s="193">
        <v>14344</v>
      </c>
      <c r="M195" s="193">
        <v>12787</v>
      </c>
      <c r="N195" s="194">
        <f>IF(Entity_Unit_Costs[[#This Row],[Closing social housing units managed]]&gt;0,(Entity_Unit_Costs[[#This Row],[Major repairs expenditure]]+Entity_Unit_Costs[[#This Row],[Capitalised major repairs expenditure for period]])/Entity_Unit_Costs[[#This Row],[Closing social housing units managed]],"")</f>
        <v>0.48512192501879903</v>
      </c>
      <c r="O195" s="193">
        <v>0</v>
      </c>
      <c r="P195" s="193">
        <v>9032</v>
      </c>
      <c r="Q19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0.48372542700612309</v>
      </c>
      <c r="R195" s="193">
        <v>165</v>
      </c>
      <c r="S195" s="193">
        <v>1306</v>
      </c>
      <c r="T195" s="193">
        <v>7535</v>
      </c>
      <c r="U195" s="193">
        <v>0</v>
      </c>
      <c r="V195" s="195">
        <v>0</v>
      </c>
      <c r="W195" s="183">
        <v>1.8167330677290837E-2</v>
      </c>
      <c r="X195" s="183">
        <v>6.9694555112881806E-2</v>
      </c>
      <c r="Y195" s="184" t="s">
        <v>1256</v>
      </c>
      <c r="Z195" s="185"/>
      <c r="AA195" s="186" t="s">
        <v>1279</v>
      </c>
      <c r="AB195" s="187" t="s">
        <v>1258</v>
      </c>
      <c r="AC195" s="188">
        <v>1.0744480625543704</v>
      </c>
      <c r="AD195" s="186" t="s">
        <v>576</v>
      </c>
      <c r="AE195" s="187" t="s">
        <v>575</v>
      </c>
    </row>
    <row r="196" spans="1:31" x14ac:dyDescent="0.2">
      <c r="A196" s="189" t="s">
        <v>581</v>
      </c>
      <c r="B196" s="190" t="s">
        <v>580</v>
      </c>
      <c r="C196" s="196" t="s">
        <v>200</v>
      </c>
      <c r="D196" s="192">
        <v>5415</v>
      </c>
      <c r="E19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36918</v>
      </c>
      <c r="F196" s="194">
        <f>IF(Entity_Unit_Costs[[#This Row],[Closing social housing units managed]]&gt;0,Entity_Unit_Costs[[#This Row],[Headline Social Housing Cost]]/Entity_Unit_Costs[[#This Row],[Closing social housing units managed]],"")</f>
        <v>6.8177285318559555</v>
      </c>
      <c r="G196" s="194">
        <f>IF(Entity_Unit_Costs[[#This Row],[Closing social housing units managed]]&gt;0,Entity_Unit_Costs[[#This Row],[Management]]/Entity_Unit_Costs[[#This Row],[Closing social housing units managed]],"")</f>
        <v>0.88014773776546629</v>
      </c>
      <c r="H196" s="193">
        <v>4766</v>
      </c>
      <c r="I196" s="194">
        <f>IF(Entity_Unit_Costs[[#This Row],[Closing social housing units managed]]&gt;0,Entity_Unit_Costs[[#This Row],[Service charge costs]]/Entity_Unit_Costs[[#This Row],[Closing social housing units managed]],"")</f>
        <v>0.99501385041551249</v>
      </c>
      <c r="J196" s="193">
        <v>5388</v>
      </c>
      <c r="K196" s="194">
        <f>IF(Entity_Unit_Costs[[#This Row],[Closing social housing units managed]]&gt;0,(Entity_Unit_Costs[[#This Row],[Routine maintenance]]+Entity_Unit_Costs[[#This Row],[Planned maintenance]])/Entity_Unit_Costs[[#This Row],[Closing social housing units managed]],"")</f>
        <v>1.2928901200369345</v>
      </c>
      <c r="L196" s="193">
        <v>3657</v>
      </c>
      <c r="M196" s="193">
        <v>3344</v>
      </c>
      <c r="N196" s="194">
        <f>IF(Entity_Unit_Costs[[#This Row],[Closing social housing units managed]]&gt;0,(Entity_Unit_Costs[[#This Row],[Major repairs expenditure]]+Entity_Unit_Costs[[#This Row],[Capitalised major repairs expenditure for period]])/Entity_Unit_Costs[[#This Row],[Closing social housing units managed]],"")</f>
        <v>2.1686057248384119</v>
      </c>
      <c r="O196" s="193">
        <v>0</v>
      </c>
      <c r="P196" s="193">
        <v>11743</v>
      </c>
      <c r="Q19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1.4810710987996307</v>
      </c>
      <c r="R196" s="193">
        <v>6011</v>
      </c>
      <c r="S196" s="193">
        <v>1451</v>
      </c>
      <c r="T196" s="193">
        <v>0</v>
      </c>
      <c r="U196" s="193">
        <v>244</v>
      </c>
      <c r="V196" s="195">
        <v>314</v>
      </c>
      <c r="W196" s="183">
        <v>5.2214891611687089E-2</v>
      </c>
      <c r="X196" s="183">
        <v>7.163053722902922E-2</v>
      </c>
      <c r="Y196" s="184" t="s">
        <v>1256</v>
      </c>
      <c r="Z196" s="185"/>
      <c r="AA196" s="186" t="s">
        <v>1279</v>
      </c>
      <c r="AB196" s="187" t="s">
        <v>1267</v>
      </c>
      <c r="AC196" s="188">
        <v>1.1954917684941311</v>
      </c>
      <c r="AD196" s="186" t="s">
        <v>581</v>
      </c>
      <c r="AE196" s="187" t="s">
        <v>580</v>
      </c>
    </row>
    <row r="197" spans="1:31" x14ac:dyDescent="0.2">
      <c r="A197" s="189" t="s">
        <v>136</v>
      </c>
      <c r="B197" s="190" t="s">
        <v>135</v>
      </c>
      <c r="C197" s="196" t="s">
        <v>201</v>
      </c>
      <c r="D197" s="192">
        <v>3693</v>
      </c>
      <c r="E19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18056</v>
      </c>
      <c r="F197" s="194">
        <f>IF(Entity_Unit_Costs[[#This Row],[Closing social housing units managed]]&gt;0,Entity_Unit_Costs[[#This Row],[Headline Social Housing Cost]]/Entity_Unit_Costs[[#This Row],[Closing social housing units managed]],"")</f>
        <v>4.8892499323043594</v>
      </c>
      <c r="G197" s="194">
        <f>IF(Entity_Unit_Costs[[#This Row],[Closing social housing units managed]]&gt;0,Entity_Unit_Costs[[#This Row],[Management]]/Entity_Unit_Costs[[#This Row],[Closing social housing units managed]],"")</f>
        <v>1.2209585702680747</v>
      </c>
      <c r="H197" s="193">
        <v>4509</v>
      </c>
      <c r="I197" s="194">
        <f>IF(Entity_Unit_Costs[[#This Row],[Closing social housing units managed]]&gt;0,Entity_Unit_Costs[[#This Row],[Service charge costs]]/Entity_Unit_Costs[[#This Row],[Closing social housing units managed]],"")</f>
        <v>0.49580287029515302</v>
      </c>
      <c r="J197" s="193">
        <v>1831</v>
      </c>
      <c r="K197" s="194">
        <f>IF(Entity_Unit_Costs[[#This Row],[Closing social housing units managed]]&gt;0,(Entity_Unit_Costs[[#This Row],[Routine maintenance]]+Entity_Unit_Costs[[#This Row],[Planned maintenance]])/Entity_Unit_Costs[[#This Row],[Closing social housing units managed]],"")</f>
        <v>1.0243704305442729</v>
      </c>
      <c r="L197" s="193">
        <v>2225</v>
      </c>
      <c r="M197" s="193">
        <v>1558</v>
      </c>
      <c r="N197" s="194">
        <f>IF(Entity_Unit_Costs[[#This Row],[Closing social housing units managed]]&gt;0,(Entity_Unit_Costs[[#This Row],[Major repairs expenditure]]+Entity_Unit_Costs[[#This Row],[Capitalised major repairs expenditure for period]])/Entity_Unit_Costs[[#This Row],[Closing social housing units managed]],"")</f>
        <v>0.41402653669103712</v>
      </c>
      <c r="O197" s="193">
        <v>0</v>
      </c>
      <c r="P197" s="193">
        <v>1529</v>
      </c>
      <c r="Q19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1.7340915245058219</v>
      </c>
      <c r="R197" s="193">
        <v>316</v>
      </c>
      <c r="S197" s="193">
        <v>2747</v>
      </c>
      <c r="T197" s="193">
        <v>3341</v>
      </c>
      <c r="U197" s="193">
        <v>0</v>
      </c>
      <c r="V197" s="195">
        <v>0</v>
      </c>
      <c r="W197" s="183">
        <v>9.5410292072322669E-2</v>
      </c>
      <c r="X197" s="183">
        <v>0.12906815020862308</v>
      </c>
      <c r="Y197" s="184" t="s">
        <v>1256</v>
      </c>
      <c r="Z197" s="185"/>
      <c r="AA197" s="186" t="s">
        <v>1279</v>
      </c>
      <c r="AB197" s="187" t="s">
        <v>1263</v>
      </c>
      <c r="AC197" s="188">
        <v>1.0022399874355168</v>
      </c>
      <c r="AD197" s="186" t="s">
        <v>136</v>
      </c>
      <c r="AE197" s="187" t="s">
        <v>135</v>
      </c>
    </row>
    <row r="198" spans="1:31" x14ac:dyDescent="0.2">
      <c r="A198" s="189" t="s">
        <v>139</v>
      </c>
      <c r="B198" s="190" t="s">
        <v>138</v>
      </c>
      <c r="C198" s="191" t="s">
        <v>200</v>
      </c>
      <c r="D198" s="192">
        <v>13956</v>
      </c>
      <c r="E19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38321</v>
      </c>
      <c r="F198" s="194">
        <f>IF(Entity_Unit_Costs[[#This Row],[Closing social housing units managed]]&gt;0,Entity_Unit_Costs[[#This Row],[Headline Social Housing Cost]]/Entity_Unit_Costs[[#This Row],[Closing social housing units managed]],"")</f>
        <v>2.7458440813986815</v>
      </c>
      <c r="G198" s="194">
        <f>IF(Entity_Unit_Costs[[#This Row],[Closing social housing units managed]]&gt;0,Entity_Unit_Costs[[#This Row],[Management]]/Entity_Unit_Costs[[#This Row],[Closing social housing units managed]],"")</f>
        <v>0.44067067927773002</v>
      </c>
      <c r="H198" s="193">
        <v>6150</v>
      </c>
      <c r="I198" s="194">
        <f>IF(Entity_Unit_Costs[[#This Row],[Closing social housing units managed]]&gt;0,Entity_Unit_Costs[[#This Row],[Service charge costs]]/Entity_Unit_Costs[[#This Row],[Closing social housing units managed]],"")</f>
        <v>0.3015190599025509</v>
      </c>
      <c r="J198" s="193">
        <v>4208</v>
      </c>
      <c r="K198" s="194">
        <f>IF(Entity_Unit_Costs[[#This Row],[Closing social housing units managed]]&gt;0,(Entity_Unit_Costs[[#This Row],[Routine maintenance]]+Entity_Unit_Costs[[#This Row],[Planned maintenance]])/Entity_Unit_Costs[[#This Row],[Closing social housing units managed]],"")</f>
        <v>0.99362281456004586</v>
      </c>
      <c r="L198" s="193">
        <v>7993</v>
      </c>
      <c r="M198" s="193">
        <v>5874</v>
      </c>
      <c r="N198" s="194">
        <f>IF(Entity_Unit_Costs[[#This Row],[Closing social housing units managed]]&gt;0,(Entity_Unit_Costs[[#This Row],[Major repairs expenditure]]+Entity_Unit_Costs[[#This Row],[Capitalised major repairs expenditure for period]])/Entity_Unit_Costs[[#This Row],[Closing social housing units managed]],"")</f>
        <v>0.39194611636572085</v>
      </c>
      <c r="O198" s="193">
        <v>0</v>
      </c>
      <c r="P198" s="193">
        <v>5470</v>
      </c>
      <c r="Q19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0.61808541129263395</v>
      </c>
      <c r="R198" s="193">
        <v>7454</v>
      </c>
      <c r="S198" s="193">
        <v>0</v>
      </c>
      <c r="T198" s="193">
        <v>1172</v>
      </c>
      <c r="U198" s="193">
        <v>0</v>
      </c>
      <c r="V198" s="195">
        <v>0</v>
      </c>
      <c r="W198" s="183">
        <v>1.3547574039067423E-2</v>
      </c>
      <c r="X198" s="183">
        <v>3.780718336483932E-3</v>
      </c>
      <c r="Y198" s="184" t="s">
        <v>1256</v>
      </c>
      <c r="Z198" s="185"/>
      <c r="AA198" s="186" t="s">
        <v>1279</v>
      </c>
      <c r="AB198" s="187" t="s">
        <v>1259</v>
      </c>
      <c r="AC198" s="188">
        <v>1.0428765040522134</v>
      </c>
      <c r="AD198" s="186" t="s">
        <v>1242</v>
      </c>
      <c r="AE198" s="187" t="s">
        <v>140</v>
      </c>
    </row>
    <row r="199" spans="1:31" x14ac:dyDescent="0.2">
      <c r="A199" s="189" t="s">
        <v>584</v>
      </c>
      <c r="B199" s="190" t="s">
        <v>583</v>
      </c>
      <c r="C199" s="191" t="s">
        <v>200</v>
      </c>
      <c r="D199" s="192">
        <v>8798</v>
      </c>
      <c r="E19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33983</v>
      </c>
      <c r="F199" s="194">
        <f>IF(Entity_Unit_Costs[[#This Row],[Closing social housing units managed]]&gt;0,Entity_Unit_Costs[[#This Row],[Headline Social Housing Cost]]/Entity_Unit_Costs[[#This Row],[Closing social housing units managed]],"")</f>
        <v>3.8625824050920663</v>
      </c>
      <c r="G199" s="194">
        <f>IF(Entity_Unit_Costs[[#This Row],[Closing social housing units managed]]&gt;0,Entity_Unit_Costs[[#This Row],[Management]]/Entity_Unit_Costs[[#This Row],[Closing social housing units managed]],"")</f>
        <v>1.2458513298476928</v>
      </c>
      <c r="H199" s="193">
        <v>10961</v>
      </c>
      <c r="I199" s="194">
        <f>IF(Entity_Unit_Costs[[#This Row],[Closing social housing units managed]]&gt;0,Entity_Unit_Costs[[#This Row],[Service charge costs]]/Entity_Unit_Costs[[#This Row],[Closing social housing units managed]],"")</f>
        <v>0.52671061604910208</v>
      </c>
      <c r="J199" s="193">
        <v>4634</v>
      </c>
      <c r="K199" s="194">
        <f>IF(Entity_Unit_Costs[[#This Row],[Closing social housing units managed]]&gt;0,(Entity_Unit_Costs[[#This Row],[Routine maintenance]]+Entity_Unit_Costs[[#This Row],[Planned maintenance]])/Entity_Unit_Costs[[#This Row],[Closing social housing units managed]],"")</f>
        <v>1.6978858831552626</v>
      </c>
      <c r="L199" s="193">
        <v>8299</v>
      </c>
      <c r="M199" s="193">
        <v>6639</v>
      </c>
      <c r="N199" s="194">
        <f>IF(Entity_Unit_Costs[[#This Row],[Closing social housing units managed]]&gt;0,(Entity_Unit_Costs[[#This Row],[Major repairs expenditure]]+Entity_Unit_Costs[[#This Row],[Capitalised major repairs expenditure for period]])/Entity_Unit_Costs[[#This Row],[Closing social housing units managed]],"")</f>
        <v>0.28824732893839511</v>
      </c>
      <c r="O199" s="193">
        <v>0</v>
      </c>
      <c r="P199" s="193">
        <v>2536</v>
      </c>
      <c r="Q19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0.103887247101614</v>
      </c>
      <c r="R199" s="193">
        <v>771</v>
      </c>
      <c r="S199" s="193">
        <v>0</v>
      </c>
      <c r="T199" s="193">
        <v>143</v>
      </c>
      <c r="U199" s="193">
        <v>0</v>
      </c>
      <c r="V199" s="195">
        <v>0</v>
      </c>
      <c r="W199" s="183">
        <v>2.7345709984947314E-2</v>
      </c>
      <c r="X199" s="183">
        <v>0.13760662318113398</v>
      </c>
      <c r="Y199" s="184" t="s">
        <v>1257</v>
      </c>
      <c r="Z199" s="185">
        <v>36612</v>
      </c>
      <c r="AA199" s="186" t="s">
        <v>1268</v>
      </c>
      <c r="AB199" s="187" t="s">
        <v>1259</v>
      </c>
      <c r="AC199" s="188">
        <v>1.1005667945682009</v>
      </c>
      <c r="AD199" s="186" t="s">
        <v>584</v>
      </c>
      <c r="AE199" s="187" t="s">
        <v>583</v>
      </c>
    </row>
    <row r="200" spans="1:31" x14ac:dyDescent="0.2">
      <c r="A200" s="189" t="s">
        <v>585</v>
      </c>
      <c r="B200" s="190" t="s">
        <v>586</v>
      </c>
      <c r="C200" s="196" t="s">
        <v>200</v>
      </c>
      <c r="D200" s="192">
        <v>5621</v>
      </c>
      <c r="E20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15898</v>
      </c>
      <c r="F200" s="194">
        <f>IF(Entity_Unit_Costs[[#This Row],[Closing social housing units managed]]&gt;0,Entity_Unit_Costs[[#This Row],[Headline Social Housing Cost]]/Entity_Unit_Costs[[#This Row],[Closing social housing units managed]],"")</f>
        <v>2.828322362568938</v>
      </c>
      <c r="G200" s="194">
        <f>IF(Entity_Unit_Costs[[#This Row],[Closing social housing units managed]]&gt;0,Entity_Unit_Costs[[#This Row],[Management]]/Entity_Unit_Costs[[#This Row],[Closing social housing units managed]],"")</f>
        <v>0.73332147304750039</v>
      </c>
      <c r="H200" s="193">
        <v>4122</v>
      </c>
      <c r="I200" s="194">
        <f>IF(Entity_Unit_Costs[[#This Row],[Closing social housing units managed]]&gt;0,Entity_Unit_Costs[[#This Row],[Service charge costs]]/Entity_Unit_Costs[[#This Row],[Closing social housing units managed]],"")</f>
        <v>0.44493862302081483</v>
      </c>
      <c r="J200" s="193">
        <v>2501</v>
      </c>
      <c r="K200" s="194">
        <f>IF(Entity_Unit_Costs[[#This Row],[Closing social housing units managed]]&gt;0,(Entity_Unit_Costs[[#This Row],[Routine maintenance]]+Entity_Unit_Costs[[#This Row],[Planned maintenance]])/Entity_Unit_Costs[[#This Row],[Closing social housing units managed]],"")</f>
        <v>0.84593488703077746</v>
      </c>
      <c r="L200" s="193">
        <v>3350</v>
      </c>
      <c r="M200" s="193">
        <v>1405</v>
      </c>
      <c r="N200" s="194">
        <f>IF(Entity_Unit_Costs[[#This Row],[Closing social housing units managed]]&gt;0,(Entity_Unit_Costs[[#This Row],[Major repairs expenditure]]+Entity_Unit_Costs[[#This Row],[Capitalised major repairs expenditure for period]])/Entity_Unit_Costs[[#This Row],[Closing social housing units managed]],"")</f>
        <v>0.61394769613947697</v>
      </c>
      <c r="O200" s="193">
        <v>1468</v>
      </c>
      <c r="P200" s="193">
        <v>1983</v>
      </c>
      <c r="Q20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0.19017968333036825</v>
      </c>
      <c r="R200" s="193">
        <v>1069</v>
      </c>
      <c r="S200" s="193">
        <v>0</v>
      </c>
      <c r="T200" s="193">
        <v>0</v>
      </c>
      <c r="U200" s="193">
        <v>0</v>
      </c>
      <c r="V200" s="195">
        <v>0</v>
      </c>
      <c r="W200" s="183">
        <v>0</v>
      </c>
      <c r="X200" s="183">
        <v>5.3342816500711234E-3</v>
      </c>
      <c r="Y200" s="184" t="s">
        <v>1257</v>
      </c>
      <c r="Z200" s="185">
        <v>39020</v>
      </c>
      <c r="AA200" s="186" t="s">
        <v>1280</v>
      </c>
      <c r="AB200" s="187" t="s">
        <v>1262</v>
      </c>
      <c r="AC200" s="188">
        <v>0.9156653862445665</v>
      </c>
      <c r="AD200" s="186">
        <v>4755</v>
      </c>
      <c r="AE200" s="187" t="s">
        <v>851</v>
      </c>
    </row>
    <row r="201" spans="1:31" x14ac:dyDescent="0.2">
      <c r="A201" s="197">
        <v>4834</v>
      </c>
      <c r="B201" s="190" t="s">
        <v>588</v>
      </c>
      <c r="C201" s="196" t="s">
        <v>200</v>
      </c>
      <c r="D201" s="192">
        <v>19387</v>
      </c>
      <c r="E20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52508</v>
      </c>
      <c r="F201" s="194">
        <f>IF(Entity_Unit_Costs[[#This Row],[Closing social housing units managed]]&gt;0,Entity_Unit_Costs[[#This Row],[Headline Social Housing Cost]]/Entity_Unit_Costs[[#This Row],[Closing social housing units managed]],"")</f>
        <v>2.7084128539743126</v>
      </c>
      <c r="G201" s="194">
        <f>IF(Entity_Unit_Costs[[#This Row],[Closing social housing units managed]]&gt;0,Entity_Unit_Costs[[#This Row],[Management]]/Entity_Unit_Costs[[#This Row],[Closing social housing units managed]],"")</f>
        <v>0.48940011347810386</v>
      </c>
      <c r="H201" s="193">
        <v>9488</v>
      </c>
      <c r="I201" s="194">
        <f>IF(Entity_Unit_Costs[[#This Row],[Closing social housing units managed]]&gt;0,Entity_Unit_Costs[[#This Row],[Service charge costs]]/Entity_Unit_Costs[[#This Row],[Closing social housing units managed]],"")</f>
        <v>0.71444782586269151</v>
      </c>
      <c r="J201" s="193">
        <v>13851</v>
      </c>
      <c r="K201" s="194">
        <f>IF(Entity_Unit_Costs[[#This Row],[Closing social housing units managed]]&gt;0,(Entity_Unit_Costs[[#This Row],[Routine maintenance]]+Entity_Unit_Costs[[#This Row],[Planned maintenance]])/Entity_Unit_Costs[[#This Row],[Closing social housing units managed]],"")</f>
        <v>0.63939753443028835</v>
      </c>
      <c r="L201" s="193">
        <v>6292</v>
      </c>
      <c r="M201" s="193">
        <v>6104</v>
      </c>
      <c r="N201" s="194">
        <f>IF(Entity_Unit_Costs[[#This Row],[Closing social housing units managed]]&gt;0,(Entity_Unit_Costs[[#This Row],[Major repairs expenditure]]+Entity_Unit_Costs[[#This Row],[Capitalised major repairs expenditure for period]])/Entity_Unit_Costs[[#This Row],[Closing social housing units managed]],"")</f>
        <v>0.82710063444576265</v>
      </c>
      <c r="O201" s="193">
        <v>0</v>
      </c>
      <c r="P201" s="193">
        <v>16035</v>
      </c>
      <c r="Q20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3.8066745757466346E-2</v>
      </c>
      <c r="R201" s="193">
        <v>0</v>
      </c>
      <c r="S201" s="193">
        <v>0</v>
      </c>
      <c r="T201" s="193">
        <v>738</v>
      </c>
      <c r="U201" s="193">
        <v>0</v>
      </c>
      <c r="V201" s="195">
        <v>0</v>
      </c>
      <c r="W201" s="183">
        <v>1.6521264994547438E-2</v>
      </c>
      <c r="X201" s="183">
        <v>2.3173391494002181E-2</v>
      </c>
      <c r="Y201" s="184" t="s">
        <v>1256</v>
      </c>
      <c r="Z201" s="185"/>
      <c r="AA201" s="186" t="s">
        <v>1279</v>
      </c>
      <c r="AB201" s="187" t="s">
        <v>1267</v>
      </c>
      <c r="AC201" s="188">
        <v>1.2488627787394371</v>
      </c>
      <c r="AD201" s="186">
        <v>4834</v>
      </c>
      <c r="AE201" s="187" t="s">
        <v>590</v>
      </c>
    </row>
    <row r="202" spans="1:31" x14ac:dyDescent="0.2">
      <c r="A202" s="189" t="s">
        <v>591</v>
      </c>
      <c r="B202" s="190" t="s">
        <v>592</v>
      </c>
      <c r="C202" s="196" t="s">
        <v>200</v>
      </c>
      <c r="D202" s="192">
        <v>1464</v>
      </c>
      <c r="E20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4824</v>
      </c>
      <c r="F202" s="194">
        <f>IF(Entity_Unit_Costs[[#This Row],[Closing social housing units managed]]&gt;0,Entity_Unit_Costs[[#This Row],[Headline Social Housing Cost]]/Entity_Unit_Costs[[#This Row],[Closing social housing units managed]],"")</f>
        <v>3.2950819672131146</v>
      </c>
      <c r="G202" s="194">
        <f>IF(Entity_Unit_Costs[[#This Row],[Closing social housing units managed]]&gt;0,Entity_Unit_Costs[[#This Row],[Management]]/Entity_Unit_Costs[[#This Row],[Closing social housing units managed]],"")</f>
        <v>1.1345628415300546</v>
      </c>
      <c r="H202" s="193">
        <v>1661</v>
      </c>
      <c r="I202" s="194">
        <f>IF(Entity_Unit_Costs[[#This Row],[Closing social housing units managed]]&gt;0,Entity_Unit_Costs[[#This Row],[Service charge costs]]/Entity_Unit_Costs[[#This Row],[Closing social housing units managed]],"")</f>
        <v>0.19740437158469945</v>
      </c>
      <c r="J202" s="193">
        <v>289</v>
      </c>
      <c r="K202" s="194">
        <f>IF(Entity_Unit_Costs[[#This Row],[Closing social housing units managed]]&gt;0,(Entity_Unit_Costs[[#This Row],[Routine maintenance]]+Entity_Unit_Costs[[#This Row],[Planned maintenance]])/Entity_Unit_Costs[[#This Row],[Closing social housing units managed]],"")</f>
        <v>1.1816939890710383</v>
      </c>
      <c r="L202" s="193">
        <v>1231</v>
      </c>
      <c r="M202" s="193">
        <v>499</v>
      </c>
      <c r="N202" s="194">
        <f>IF(Entity_Unit_Costs[[#This Row],[Closing social housing units managed]]&gt;0,(Entity_Unit_Costs[[#This Row],[Major repairs expenditure]]+Entity_Unit_Costs[[#This Row],[Capitalised major repairs expenditure for period]])/Entity_Unit_Costs[[#This Row],[Closing social housing units managed]],"")</f>
        <v>0.55396174863387981</v>
      </c>
      <c r="O202" s="193">
        <v>0</v>
      </c>
      <c r="P202" s="193">
        <v>811</v>
      </c>
      <c r="Q20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0.22745901639344263</v>
      </c>
      <c r="R202" s="193">
        <v>57</v>
      </c>
      <c r="S202" s="193">
        <v>0</v>
      </c>
      <c r="T202" s="193">
        <v>276</v>
      </c>
      <c r="U202" s="193">
        <v>0</v>
      </c>
      <c r="V202" s="195">
        <v>0</v>
      </c>
      <c r="W202" s="183">
        <v>0</v>
      </c>
      <c r="X202" s="183">
        <v>9.1530054644808748E-2</v>
      </c>
      <c r="Y202" s="184" t="s">
        <v>1257</v>
      </c>
      <c r="Z202" s="185">
        <v>38985</v>
      </c>
      <c r="AA202" s="186" t="s">
        <v>1280</v>
      </c>
      <c r="AB202" s="187" t="s">
        <v>1262</v>
      </c>
      <c r="AC202" s="188">
        <v>0.91566538624456639</v>
      </c>
      <c r="AD202" s="186">
        <v>4649</v>
      </c>
      <c r="AE202" s="187" t="s">
        <v>864</v>
      </c>
    </row>
    <row r="203" spans="1:31" x14ac:dyDescent="0.2">
      <c r="A203" s="189" t="s">
        <v>595</v>
      </c>
      <c r="B203" s="190" t="s">
        <v>594</v>
      </c>
      <c r="C203" s="196" t="s">
        <v>200</v>
      </c>
      <c r="D203" s="192">
        <v>5357</v>
      </c>
      <c r="E20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27225</v>
      </c>
      <c r="F203" s="194">
        <f>IF(Entity_Unit_Costs[[#This Row],[Closing social housing units managed]]&gt;0,Entity_Unit_Costs[[#This Row],[Headline Social Housing Cost]]/Entity_Unit_Costs[[#This Row],[Closing social housing units managed]],"")</f>
        <v>5.0821355236139629</v>
      </c>
      <c r="G203" s="194">
        <f>IF(Entity_Unit_Costs[[#This Row],[Closing social housing units managed]]&gt;0,Entity_Unit_Costs[[#This Row],[Management]]/Entity_Unit_Costs[[#This Row],[Closing social housing units managed]],"")</f>
        <v>0.91357102856076167</v>
      </c>
      <c r="H203" s="193">
        <v>4894</v>
      </c>
      <c r="I203" s="194">
        <f>IF(Entity_Unit_Costs[[#This Row],[Closing social housing units managed]]&gt;0,Entity_Unit_Costs[[#This Row],[Service charge costs]]/Entity_Unit_Costs[[#This Row],[Closing social housing units managed]],"")</f>
        <v>0.73361956318835164</v>
      </c>
      <c r="J203" s="193">
        <v>3930</v>
      </c>
      <c r="K203" s="194">
        <f>IF(Entity_Unit_Costs[[#This Row],[Closing social housing units managed]]&gt;0,(Entity_Unit_Costs[[#This Row],[Routine maintenance]]+Entity_Unit_Costs[[#This Row],[Planned maintenance]])/Entity_Unit_Costs[[#This Row],[Closing social housing units managed]],"")</f>
        <v>1.4116109762927012</v>
      </c>
      <c r="L203" s="193">
        <v>5244</v>
      </c>
      <c r="M203" s="193">
        <v>2318</v>
      </c>
      <c r="N203" s="194">
        <f>IF(Entity_Unit_Costs[[#This Row],[Closing social housing units managed]]&gt;0,(Entity_Unit_Costs[[#This Row],[Major repairs expenditure]]+Entity_Unit_Costs[[#This Row],[Capitalised major repairs expenditure for period]])/Entity_Unit_Costs[[#This Row],[Closing social housing units managed]],"")</f>
        <v>1.5462012320328542</v>
      </c>
      <c r="O203" s="193">
        <v>1745</v>
      </c>
      <c r="P203" s="193">
        <v>6538</v>
      </c>
      <c r="Q20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0.47713272353929437</v>
      </c>
      <c r="R203" s="193">
        <v>1077</v>
      </c>
      <c r="S203" s="193">
        <v>0</v>
      </c>
      <c r="T203" s="193">
        <v>930</v>
      </c>
      <c r="U203" s="193">
        <v>549</v>
      </c>
      <c r="V203" s="195">
        <v>0</v>
      </c>
      <c r="W203" s="183">
        <v>0</v>
      </c>
      <c r="X203" s="183">
        <v>0</v>
      </c>
      <c r="Y203" s="184" t="s">
        <v>1257</v>
      </c>
      <c r="Z203" s="185">
        <v>39419</v>
      </c>
      <c r="AA203" s="186" t="s">
        <v>1280</v>
      </c>
      <c r="AB203" s="187" t="s">
        <v>1267</v>
      </c>
      <c r="AC203" s="188">
        <v>1.2488627787394371</v>
      </c>
      <c r="AD203" s="186" t="s">
        <v>595</v>
      </c>
      <c r="AE203" s="187" t="s">
        <v>1277</v>
      </c>
    </row>
    <row r="204" spans="1:31" x14ac:dyDescent="0.2">
      <c r="A204" s="189" t="s">
        <v>143</v>
      </c>
      <c r="B204" s="190" t="s">
        <v>142</v>
      </c>
      <c r="C204" s="196" t="s">
        <v>200</v>
      </c>
      <c r="D204" s="192">
        <v>1278</v>
      </c>
      <c r="E20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5565</v>
      </c>
      <c r="F204" s="194">
        <f>IF(Entity_Unit_Costs[[#This Row],[Closing social housing units managed]]&gt;0,Entity_Unit_Costs[[#This Row],[Headline Social Housing Cost]]/Entity_Unit_Costs[[#This Row],[Closing social housing units managed]],"")</f>
        <v>4.354460093896714</v>
      </c>
      <c r="G204" s="194">
        <f>IF(Entity_Unit_Costs[[#This Row],[Closing social housing units managed]]&gt;0,Entity_Unit_Costs[[#This Row],[Management]]/Entity_Unit_Costs[[#This Row],[Closing social housing units managed]],"")</f>
        <v>1.2981220657276995</v>
      </c>
      <c r="H204" s="193">
        <v>1659</v>
      </c>
      <c r="I204" s="194">
        <f>IF(Entity_Unit_Costs[[#This Row],[Closing social housing units managed]]&gt;0,Entity_Unit_Costs[[#This Row],[Service charge costs]]/Entity_Unit_Costs[[#This Row],[Closing social housing units managed]],"")</f>
        <v>0.9859154929577465</v>
      </c>
      <c r="J204" s="193">
        <v>1260</v>
      </c>
      <c r="K204" s="194">
        <f>IF(Entity_Unit_Costs[[#This Row],[Closing social housing units managed]]&gt;0,(Entity_Unit_Costs[[#This Row],[Routine maintenance]]+Entity_Unit_Costs[[#This Row],[Planned maintenance]])/Entity_Unit_Costs[[#This Row],[Closing social housing units managed]],"")</f>
        <v>1.0258215962441315</v>
      </c>
      <c r="L204" s="193">
        <v>688</v>
      </c>
      <c r="M204" s="193">
        <v>623</v>
      </c>
      <c r="N204" s="194">
        <f>IF(Entity_Unit_Costs[[#This Row],[Closing social housing units managed]]&gt;0,(Entity_Unit_Costs[[#This Row],[Major repairs expenditure]]+Entity_Unit_Costs[[#This Row],[Capitalised major repairs expenditure for period]])/Entity_Unit_Costs[[#This Row],[Closing social housing units managed]],"")</f>
        <v>0.99061032863849763</v>
      </c>
      <c r="O204" s="193">
        <v>331</v>
      </c>
      <c r="P204" s="193">
        <v>935</v>
      </c>
      <c r="Q20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5.39906103286385E-2</v>
      </c>
      <c r="R204" s="193">
        <v>77</v>
      </c>
      <c r="S204" s="193">
        <v>0</v>
      </c>
      <c r="T204" s="193">
        <v>-8</v>
      </c>
      <c r="U204" s="193">
        <v>0</v>
      </c>
      <c r="V204" s="195">
        <v>0</v>
      </c>
      <c r="W204" s="183">
        <v>0</v>
      </c>
      <c r="X204" s="183">
        <v>1</v>
      </c>
      <c r="Y204" s="184" t="s">
        <v>1256</v>
      </c>
      <c r="Z204" s="185"/>
      <c r="AA204" s="186" t="s">
        <v>1279</v>
      </c>
      <c r="AB204" s="187" t="s">
        <v>1264</v>
      </c>
      <c r="AC204" s="188">
        <v>0.94807909763407583</v>
      </c>
      <c r="AD204" s="186" t="s">
        <v>143</v>
      </c>
      <c r="AE204" s="187" t="s">
        <v>142</v>
      </c>
    </row>
    <row r="205" spans="1:31" x14ac:dyDescent="0.2">
      <c r="A205" s="189" t="s">
        <v>596</v>
      </c>
      <c r="B205" s="190" t="s">
        <v>597</v>
      </c>
      <c r="C205" s="196" t="s">
        <v>200</v>
      </c>
      <c r="D205" s="192">
        <v>1555</v>
      </c>
      <c r="E20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4701</v>
      </c>
      <c r="F205" s="194">
        <f>IF(Entity_Unit_Costs[[#This Row],[Closing social housing units managed]]&gt;0,Entity_Unit_Costs[[#This Row],[Headline Social Housing Cost]]/Entity_Unit_Costs[[#This Row],[Closing social housing units managed]],"")</f>
        <v>3.0231511254019292</v>
      </c>
      <c r="G205" s="194">
        <f>IF(Entity_Unit_Costs[[#This Row],[Closing social housing units managed]]&gt;0,Entity_Unit_Costs[[#This Row],[Management]]/Entity_Unit_Costs[[#This Row],[Closing social housing units managed]],"")</f>
        <v>0.74469453376205785</v>
      </c>
      <c r="H205" s="193">
        <v>1158</v>
      </c>
      <c r="I205" s="194">
        <f>IF(Entity_Unit_Costs[[#This Row],[Closing social housing units managed]]&gt;0,Entity_Unit_Costs[[#This Row],[Service charge costs]]/Entity_Unit_Costs[[#This Row],[Closing social housing units managed]],"")</f>
        <v>0.27974276527331188</v>
      </c>
      <c r="J205" s="193">
        <v>435</v>
      </c>
      <c r="K205" s="194">
        <f>IF(Entity_Unit_Costs[[#This Row],[Closing social housing units managed]]&gt;0,(Entity_Unit_Costs[[#This Row],[Routine maintenance]]+Entity_Unit_Costs[[#This Row],[Planned maintenance]])/Entity_Unit_Costs[[#This Row],[Closing social housing units managed]],"")</f>
        <v>0.9948553054662379</v>
      </c>
      <c r="L205" s="193">
        <v>1547</v>
      </c>
      <c r="M205" s="193">
        <v>0</v>
      </c>
      <c r="N205" s="194">
        <f>IF(Entity_Unit_Costs[[#This Row],[Closing social housing units managed]]&gt;0,(Entity_Unit_Costs[[#This Row],[Major repairs expenditure]]+Entity_Unit_Costs[[#This Row],[Capitalised major repairs expenditure for period]])/Entity_Unit_Costs[[#This Row],[Closing social housing units managed]],"")</f>
        <v>1.0006430868167202</v>
      </c>
      <c r="O205" s="193">
        <v>1063</v>
      </c>
      <c r="P205" s="193">
        <v>493</v>
      </c>
      <c r="Q20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3.2154340836012861E-3</v>
      </c>
      <c r="R205" s="193">
        <v>5</v>
      </c>
      <c r="S205" s="193">
        <v>0</v>
      </c>
      <c r="T205" s="193">
        <v>0</v>
      </c>
      <c r="U205" s="193">
        <v>0</v>
      </c>
      <c r="V205" s="195">
        <v>0</v>
      </c>
      <c r="W205" s="183">
        <v>3.6774193548387096E-2</v>
      </c>
      <c r="X205" s="183">
        <v>0.13290322580645161</v>
      </c>
      <c r="Y205" s="184" t="s">
        <v>1256</v>
      </c>
      <c r="Z205" s="185"/>
      <c r="AA205" s="186" t="s">
        <v>1279</v>
      </c>
      <c r="AB205" s="187" t="s">
        <v>1262</v>
      </c>
      <c r="AC205" s="188">
        <v>0.9156653862445665</v>
      </c>
      <c r="AD205" s="186" t="s">
        <v>596</v>
      </c>
      <c r="AE205" s="187" t="s">
        <v>597</v>
      </c>
    </row>
    <row r="206" spans="1:31" x14ac:dyDescent="0.2">
      <c r="A206" s="189" t="s">
        <v>600</v>
      </c>
      <c r="B206" s="190" t="s">
        <v>601</v>
      </c>
      <c r="C206" s="196" t="s">
        <v>200</v>
      </c>
      <c r="D206" s="192">
        <v>36232</v>
      </c>
      <c r="E20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115950</v>
      </c>
      <c r="F206" s="194">
        <f>IF(Entity_Unit_Costs[[#This Row],[Closing social housing units managed]]&gt;0,Entity_Unit_Costs[[#This Row],[Headline Social Housing Cost]]/Entity_Unit_Costs[[#This Row],[Closing social housing units managed]],"")</f>
        <v>3.2002097593287702</v>
      </c>
      <c r="G206" s="194">
        <f>IF(Entity_Unit_Costs[[#This Row],[Closing social housing units managed]]&gt;0,Entity_Unit_Costs[[#This Row],[Management]]/Entity_Unit_Costs[[#This Row],[Closing social housing units managed]],"")</f>
        <v>0.63286597482888052</v>
      </c>
      <c r="H206" s="193">
        <v>22930</v>
      </c>
      <c r="I206" s="194">
        <f>IF(Entity_Unit_Costs[[#This Row],[Closing social housing units managed]]&gt;0,Entity_Unit_Costs[[#This Row],[Service charge costs]]/Entity_Unit_Costs[[#This Row],[Closing social housing units managed]],"")</f>
        <v>0.39448553764627953</v>
      </c>
      <c r="J206" s="193">
        <v>14293</v>
      </c>
      <c r="K206" s="194">
        <f>IF(Entity_Unit_Costs[[#This Row],[Closing social housing units managed]]&gt;0,(Entity_Unit_Costs[[#This Row],[Routine maintenance]]+Entity_Unit_Costs[[#This Row],[Planned maintenance]])/Entity_Unit_Costs[[#This Row],[Closing social housing units managed]],"")</f>
        <v>0.90949988960035333</v>
      </c>
      <c r="L206" s="193">
        <v>25005</v>
      </c>
      <c r="M206" s="193">
        <v>7948</v>
      </c>
      <c r="N206" s="194">
        <f>IF(Entity_Unit_Costs[[#This Row],[Closing social housing units managed]]&gt;0,(Entity_Unit_Costs[[#This Row],[Major repairs expenditure]]+Entity_Unit_Costs[[#This Row],[Capitalised major repairs expenditure for period]])/Entity_Unit_Costs[[#This Row],[Closing social housing units managed]],"")</f>
        <v>0.71743210421726655</v>
      </c>
      <c r="O206" s="193">
        <v>2157</v>
      </c>
      <c r="P206" s="193">
        <v>23837</v>
      </c>
      <c r="Q20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0.54592625303599029</v>
      </c>
      <c r="R206" s="193">
        <v>18329</v>
      </c>
      <c r="S206" s="193">
        <v>498</v>
      </c>
      <c r="T206" s="193">
        <v>953</v>
      </c>
      <c r="U206" s="193">
        <v>0</v>
      </c>
      <c r="V206" s="195">
        <v>0</v>
      </c>
      <c r="W206" s="183">
        <v>2.1642299428810984E-2</v>
      </c>
      <c r="X206" s="183">
        <v>1.414871875491275E-3</v>
      </c>
      <c r="Y206" s="184" t="s">
        <v>1256</v>
      </c>
      <c r="Z206" s="185"/>
      <c r="AA206" s="186" t="s">
        <v>1279</v>
      </c>
      <c r="AB206" s="187" t="s">
        <v>1258</v>
      </c>
      <c r="AC206" s="188">
        <v>0.9573026576812329</v>
      </c>
      <c r="AD206" s="186" t="s">
        <v>1243</v>
      </c>
      <c r="AE206" s="187" t="s">
        <v>599</v>
      </c>
    </row>
    <row r="207" spans="1:31" x14ac:dyDescent="0.2">
      <c r="A207" s="189" t="s">
        <v>602</v>
      </c>
      <c r="B207" s="190" t="s">
        <v>603</v>
      </c>
      <c r="C207" s="191" t="s">
        <v>200</v>
      </c>
      <c r="D207" s="192">
        <v>2086</v>
      </c>
      <c r="E20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27779</v>
      </c>
      <c r="F207" s="194">
        <f>IF(Entity_Unit_Costs[[#This Row],[Closing social housing units managed]]&gt;0,Entity_Unit_Costs[[#This Row],[Headline Social Housing Cost]]/Entity_Unit_Costs[[#This Row],[Closing social housing units managed]],"")</f>
        <v>13.316874400767018</v>
      </c>
      <c r="G207" s="194">
        <f>IF(Entity_Unit_Costs[[#This Row],[Closing social housing units managed]]&gt;0,Entity_Unit_Costs[[#This Row],[Management]]/Entity_Unit_Costs[[#This Row],[Closing social housing units managed]],"")</f>
        <v>2.6212847555129435</v>
      </c>
      <c r="H207" s="193">
        <v>5468</v>
      </c>
      <c r="I207" s="194">
        <f>IF(Entity_Unit_Costs[[#This Row],[Closing social housing units managed]]&gt;0,Entity_Unit_Costs[[#This Row],[Service charge costs]]/Entity_Unit_Costs[[#This Row],[Closing social housing units managed]],"")</f>
        <v>3.2905081495685522</v>
      </c>
      <c r="J207" s="193">
        <v>6864</v>
      </c>
      <c r="K207" s="194">
        <f>IF(Entity_Unit_Costs[[#This Row],[Closing social housing units managed]]&gt;0,(Entity_Unit_Costs[[#This Row],[Routine maintenance]]+Entity_Unit_Costs[[#This Row],[Planned maintenance]])/Entity_Unit_Costs[[#This Row],[Closing social housing units managed]],"")</f>
        <v>1.2703739213806329</v>
      </c>
      <c r="L207" s="193">
        <v>1871</v>
      </c>
      <c r="M207" s="193">
        <v>779</v>
      </c>
      <c r="N207" s="194">
        <f>IF(Entity_Unit_Costs[[#This Row],[Closing social housing units managed]]&gt;0,(Entity_Unit_Costs[[#This Row],[Major repairs expenditure]]+Entity_Unit_Costs[[#This Row],[Capitalised major repairs expenditure for period]])/Entity_Unit_Costs[[#This Row],[Closing social housing units managed]],"")</f>
        <v>2.8806327900287632</v>
      </c>
      <c r="O207" s="193">
        <v>173</v>
      </c>
      <c r="P207" s="193">
        <v>5836</v>
      </c>
      <c r="Q20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3.2540747842761264</v>
      </c>
      <c r="R207" s="193">
        <v>2914</v>
      </c>
      <c r="S207" s="193">
        <v>3736</v>
      </c>
      <c r="T207" s="193">
        <v>138</v>
      </c>
      <c r="U207" s="193">
        <v>0</v>
      </c>
      <c r="V207" s="195">
        <v>0</v>
      </c>
      <c r="W207" s="183">
        <v>0.31627828436339073</v>
      </c>
      <c r="X207" s="183">
        <v>0.17173252279635259</v>
      </c>
      <c r="Y207" s="184" t="s">
        <v>1256</v>
      </c>
      <c r="Z207" s="185"/>
      <c r="AA207" s="186" t="s">
        <v>1279</v>
      </c>
      <c r="AB207" s="187" t="s">
        <v>1258</v>
      </c>
      <c r="AC207" s="188">
        <v>0.99779723659857689</v>
      </c>
      <c r="AD207" s="186" t="s">
        <v>1243</v>
      </c>
      <c r="AE207" s="187" t="s">
        <v>599</v>
      </c>
    </row>
    <row r="208" spans="1:31" x14ac:dyDescent="0.2">
      <c r="A208" s="189" t="s">
        <v>604</v>
      </c>
      <c r="B208" s="190" t="s">
        <v>605</v>
      </c>
      <c r="C208" s="191" t="s">
        <v>200</v>
      </c>
      <c r="D208" s="192">
        <v>1915</v>
      </c>
      <c r="E20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3114</v>
      </c>
      <c r="F208" s="194">
        <f>IF(Entity_Unit_Costs[[#This Row],[Closing social housing units managed]]&gt;0,Entity_Unit_Costs[[#This Row],[Headline Social Housing Cost]]/Entity_Unit_Costs[[#This Row],[Closing social housing units managed]],"")</f>
        <v>1.6261096605744125</v>
      </c>
      <c r="G208" s="194">
        <f>IF(Entity_Unit_Costs[[#This Row],[Closing social housing units managed]]&gt;0,Entity_Unit_Costs[[#This Row],[Management]]/Entity_Unit_Costs[[#This Row],[Closing social housing units managed]],"")</f>
        <v>0.43133159268929505</v>
      </c>
      <c r="H208" s="193">
        <v>826</v>
      </c>
      <c r="I208" s="194">
        <f>IF(Entity_Unit_Costs[[#This Row],[Closing social housing units managed]]&gt;0,Entity_Unit_Costs[[#This Row],[Service charge costs]]/Entity_Unit_Costs[[#This Row],[Closing social housing units managed]],"")</f>
        <v>9.8694516971279372E-2</v>
      </c>
      <c r="J208" s="193">
        <v>189</v>
      </c>
      <c r="K208" s="194">
        <f>IF(Entity_Unit_Costs[[#This Row],[Closing social housing units managed]]&gt;0,(Entity_Unit_Costs[[#This Row],[Routine maintenance]]+Entity_Unit_Costs[[#This Row],[Planned maintenance]])/Entity_Unit_Costs[[#This Row],[Closing social housing units managed]],"")</f>
        <v>0.10496083550913839</v>
      </c>
      <c r="L208" s="193">
        <v>173</v>
      </c>
      <c r="M208" s="193">
        <v>28</v>
      </c>
      <c r="N208" s="194">
        <f>IF(Entity_Unit_Costs[[#This Row],[Closing social housing units managed]]&gt;0,(Entity_Unit_Costs[[#This Row],[Major repairs expenditure]]+Entity_Unit_Costs[[#This Row],[Capitalised major repairs expenditure for period]])/Entity_Unit_Costs[[#This Row],[Closing social housing units managed]],"")</f>
        <v>0</v>
      </c>
      <c r="O208" s="193">
        <v>0</v>
      </c>
      <c r="P208" s="193">
        <v>0</v>
      </c>
      <c r="Q20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0.99112271540469976</v>
      </c>
      <c r="R208" s="193">
        <v>958</v>
      </c>
      <c r="S208" s="193">
        <v>0</v>
      </c>
      <c r="T208" s="193">
        <v>940</v>
      </c>
      <c r="U208" s="193">
        <v>0</v>
      </c>
      <c r="V208" s="195">
        <v>0</v>
      </c>
      <c r="W208" s="183">
        <v>0</v>
      </c>
      <c r="X208" s="183">
        <v>0</v>
      </c>
      <c r="Y208" s="184" t="s">
        <v>1256</v>
      </c>
      <c r="Z208" s="185"/>
      <c r="AA208" s="186" t="s">
        <v>1279</v>
      </c>
      <c r="AB208" s="187" t="s">
        <v>1275</v>
      </c>
      <c r="AC208" s="188"/>
      <c r="AD208" s="186" t="s">
        <v>1234</v>
      </c>
      <c r="AE208" s="187" t="s">
        <v>85</v>
      </c>
    </row>
    <row r="209" spans="1:31" x14ac:dyDescent="0.2">
      <c r="A209" s="189" t="s">
        <v>606</v>
      </c>
      <c r="B209" s="190" t="s">
        <v>607</v>
      </c>
      <c r="C209" s="191" t="s">
        <v>200</v>
      </c>
      <c r="D209" s="192">
        <v>5425</v>
      </c>
      <c r="E20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17486</v>
      </c>
      <c r="F209" s="194">
        <f>IF(Entity_Unit_Costs[[#This Row],[Closing social housing units managed]]&gt;0,Entity_Unit_Costs[[#This Row],[Headline Social Housing Cost]]/Entity_Unit_Costs[[#This Row],[Closing social housing units managed]],"")</f>
        <v>3.2232258064516128</v>
      </c>
      <c r="G209" s="194">
        <f>IF(Entity_Unit_Costs[[#This Row],[Closing social housing units managed]]&gt;0,Entity_Unit_Costs[[#This Row],[Management]]/Entity_Unit_Costs[[#This Row],[Closing social housing units managed]],"")</f>
        <v>1.1437788018433179</v>
      </c>
      <c r="H209" s="193">
        <v>6205</v>
      </c>
      <c r="I209" s="194">
        <f>IF(Entity_Unit_Costs[[#This Row],[Closing social housing units managed]]&gt;0,Entity_Unit_Costs[[#This Row],[Service charge costs]]/Entity_Unit_Costs[[#This Row],[Closing social housing units managed]],"")</f>
        <v>0.328110599078341</v>
      </c>
      <c r="J209" s="193">
        <v>1780</v>
      </c>
      <c r="K209" s="194">
        <f>IF(Entity_Unit_Costs[[#This Row],[Closing social housing units managed]]&gt;0,(Entity_Unit_Costs[[#This Row],[Routine maintenance]]+Entity_Unit_Costs[[#This Row],[Planned maintenance]])/Entity_Unit_Costs[[#This Row],[Closing social housing units managed]],"")</f>
        <v>0.65290322580645166</v>
      </c>
      <c r="L209" s="193">
        <v>2879</v>
      </c>
      <c r="M209" s="193">
        <v>663</v>
      </c>
      <c r="N209" s="194">
        <f>IF(Entity_Unit_Costs[[#This Row],[Closing social housing units managed]]&gt;0,(Entity_Unit_Costs[[#This Row],[Major repairs expenditure]]+Entity_Unit_Costs[[#This Row],[Capitalised major repairs expenditure for period]])/Entity_Unit_Costs[[#This Row],[Closing social housing units managed]],"")</f>
        <v>0.71594470046082948</v>
      </c>
      <c r="O209" s="193">
        <v>1493</v>
      </c>
      <c r="P209" s="193">
        <v>2391</v>
      </c>
      <c r="Q20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0.38248847926267282</v>
      </c>
      <c r="R209" s="193">
        <v>1838</v>
      </c>
      <c r="S209" s="193">
        <v>217</v>
      </c>
      <c r="T209" s="193">
        <v>20</v>
      </c>
      <c r="U209" s="193">
        <v>0</v>
      </c>
      <c r="V209" s="195">
        <v>0</v>
      </c>
      <c r="W209" s="183">
        <v>2.4535930895056055E-2</v>
      </c>
      <c r="X209" s="183">
        <v>0.11753354162837713</v>
      </c>
      <c r="Y209" s="184" t="s">
        <v>1257</v>
      </c>
      <c r="Z209" s="185">
        <v>35856</v>
      </c>
      <c r="AA209" s="186" t="s">
        <v>1268</v>
      </c>
      <c r="AB209" s="187" t="s">
        <v>1262</v>
      </c>
      <c r="AC209" s="188">
        <v>0.915665561947134</v>
      </c>
      <c r="AD209" s="186" t="s">
        <v>1244</v>
      </c>
      <c r="AE209" s="187" t="s">
        <v>611</v>
      </c>
    </row>
    <row r="210" spans="1:31" x14ac:dyDescent="0.2">
      <c r="A210" s="189" t="s">
        <v>608</v>
      </c>
      <c r="B210" s="190" t="s">
        <v>609</v>
      </c>
      <c r="C210" s="196" t="s">
        <v>200</v>
      </c>
      <c r="D210" s="192">
        <v>7521</v>
      </c>
      <c r="E21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22540</v>
      </c>
      <c r="F210" s="194">
        <f>IF(Entity_Unit_Costs[[#This Row],[Closing social housing units managed]]&gt;0,Entity_Unit_Costs[[#This Row],[Headline Social Housing Cost]]/Entity_Unit_Costs[[#This Row],[Closing social housing units managed]],"")</f>
        <v>2.9969418960244649</v>
      </c>
      <c r="G210" s="194">
        <f>IF(Entity_Unit_Costs[[#This Row],[Closing social housing units managed]]&gt;0,Entity_Unit_Costs[[#This Row],[Management]]/Entity_Unit_Costs[[#This Row],[Closing social housing units managed]],"")</f>
        <v>0.72915835660151573</v>
      </c>
      <c r="H210" s="193">
        <v>5484</v>
      </c>
      <c r="I210" s="194">
        <f>IF(Entity_Unit_Costs[[#This Row],[Closing social housing units managed]]&gt;0,Entity_Unit_Costs[[#This Row],[Service charge costs]]/Entity_Unit_Costs[[#This Row],[Closing social housing units managed]],"")</f>
        <v>0.18946948544076586</v>
      </c>
      <c r="J210" s="193">
        <v>1425</v>
      </c>
      <c r="K210" s="194">
        <f>IF(Entity_Unit_Costs[[#This Row],[Closing social housing units managed]]&gt;0,(Entity_Unit_Costs[[#This Row],[Routine maintenance]]+Entity_Unit_Costs[[#This Row],[Planned maintenance]])/Entity_Unit_Costs[[#This Row],[Closing social housing units managed]],"")</f>
        <v>1.2402606036431325</v>
      </c>
      <c r="L210" s="193">
        <v>9328</v>
      </c>
      <c r="M210" s="193">
        <v>0</v>
      </c>
      <c r="N210" s="194">
        <f>IF(Entity_Unit_Costs[[#This Row],[Closing social housing units managed]]&gt;0,(Entity_Unit_Costs[[#This Row],[Major repairs expenditure]]+Entity_Unit_Costs[[#This Row],[Capitalised major repairs expenditure for period]])/Entity_Unit_Costs[[#This Row],[Closing social housing units managed]],"")</f>
        <v>0.64858396489828485</v>
      </c>
      <c r="O210" s="193">
        <v>1001</v>
      </c>
      <c r="P210" s="193">
        <v>3877</v>
      </c>
      <c r="Q21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0.18946948544076586</v>
      </c>
      <c r="R210" s="193">
        <v>40</v>
      </c>
      <c r="S210" s="193">
        <v>361</v>
      </c>
      <c r="T210" s="193">
        <v>1024</v>
      </c>
      <c r="U210" s="193">
        <v>0</v>
      </c>
      <c r="V210" s="195">
        <v>0</v>
      </c>
      <c r="W210" s="183">
        <v>1.9025772500337337E-2</v>
      </c>
      <c r="X210" s="183">
        <v>3.9670759681554445E-2</v>
      </c>
      <c r="Y210" s="184" t="s">
        <v>1256</v>
      </c>
      <c r="Z210" s="185"/>
      <c r="AA210" s="186" t="s">
        <v>1279</v>
      </c>
      <c r="AB210" s="187" t="s">
        <v>1262</v>
      </c>
      <c r="AC210" s="188">
        <v>0.9156653862445665</v>
      </c>
      <c r="AD210" s="186" t="s">
        <v>1244</v>
      </c>
      <c r="AE210" s="187" t="s">
        <v>611</v>
      </c>
    </row>
    <row r="211" spans="1:31" x14ac:dyDescent="0.2">
      <c r="A211" s="189" t="s">
        <v>145</v>
      </c>
      <c r="B211" s="190" t="s">
        <v>144</v>
      </c>
      <c r="C211" s="196" t="s">
        <v>200</v>
      </c>
      <c r="D211" s="192">
        <v>14183</v>
      </c>
      <c r="E21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47030</v>
      </c>
      <c r="F211" s="194">
        <f>IF(Entity_Unit_Costs[[#This Row],[Closing social housing units managed]]&gt;0,Entity_Unit_Costs[[#This Row],[Headline Social Housing Cost]]/Entity_Unit_Costs[[#This Row],[Closing social housing units managed]],"")</f>
        <v>3.3159416202495944</v>
      </c>
      <c r="G211" s="194">
        <f>IF(Entity_Unit_Costs[[#This Row],[Closing social housing units managed]]&gt;0,Entity_Unit_Costs[[#This Row],[Management]]/Entity_Unit_Costs[[#This Row],[Closing social housing units managed]],"")</f>
        <v>0.57695833039554401</v>
      </c>
      <c r="H211" s="193">
        <v>8183</v>
      </c>
      <c r="I211" s="194">
        <f>IF(Entity_Unit_Costs[[#This Row],[Closing social housing units managed]]&gt;0,Entity_Unit_Costs[[#This Row],[Service charge costs]]/Entity_Unit_Costs[[#This Row],[Closing social housing units managed]],"")</f>
        <v>0.29387294648522877</v>
      </c>
      <c r="J211" s="193">
        <v>4168</v>
      </c>
      <c r="K211" s="194">
        <f>IF(Entity_Unit_Costs[[#This Row],[Closing social housing units managed]]&gt;0,(Entity_Unit_Costs[[#This Row],[Routine maintenance]]+Entity_Unit_Costs[[#This Row],[Planned maintenance]])/Entity_Unit_Costs[[#This Row],[Closing social housing units managed]],"")</f>
        <v>1.0464640767115561</v>
      </c>
      <c r="L211" s="193">
        <v>9616</v>
      </c>
      <c r="M211" s="193">
        <v>5226</v>
      </c>
      <c r="N211" s="194">
        <f>IF(Entity_Unit_Costs[[#This Row],[Closing social housing units managed]]&gt;0,(Entity_Unit_Costs[[#This Row],[Major repairs expenditure]]+Entity_Unit_Costs[[#This Row],[Capitalised major repairs expenditure for period]])/Entity_Unit_Costs[[#This Row],[Closing social housing units managed]],"")</f>
        <v>1.1142212507932032</v>
      </c>
      <c r="O211" s="193">
        <v>8120</v>
      </c>
      <c r="P211" s="193">
        <v>7683</v>
      </c>
      <c r="Q21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0.2844250158640626</v>
      </c>
      <c r="R211" s="193">
        <v>2454</v>
      </c>
      <c r="S211" s="193">
        <v>0</v>
      </c>
      <c r="T211" s="193">
        <v>253</v>
      </c>
      <c r="U211" s="193">
        <v>613</v>
      </c>
      <c r="V211" s="195">
        <v>714</v>
      </c>
      <c r="W211" s="183">
        <v>0.11259959105971938</v>
      </c>
      <c r="X211" s="183">
        <v>0</v>
      </c>
      <c r="Y211" s="184" t="s">
        <v>1257</v>
      </c>
      <c r="Z211" s="185">
        <v>40137</v>
      </c>
      <c r="AA211" s="186" t="s">
        <v>1280</v>
      </c>
      <c r="AB211" s="187" t="s">
        <v>1265</v>
      </c>
      <c r="AC211" s="188">
        <v>0.96617455710897815</v>
      </c>
      <c r="AD211" s="186" t="s">
        <v>145</v>
      </c>
      <c r="AE211" s="187" t="s">
        <v>144</v>
      </c>
    </row>
    <row r="212" spans="1:31" x14ac:dyDescent="0.2">
      <c r="A212" s="189" t="s">
        <v>615</v>
      </c>
      <c r="B212" s="190" t="s">
        <v>614</v>
      </c>
      <c r="C212" s="196" t="s">
        <v>200</v>
      </c>
      <c r="D212" s="192">
        <v>8720</v>
      </c>
      <c r="E21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27311</v>
      </c>
      <c r="F212" s="194">
        <f>IF(Entity_Unit_Costs[[#This Row],[Closing social housing units managed]]&gt;0,Entity_Unit_Costs[[#This Row],[Headline Social Housing Cost]]/Entity_Unit_Costs[[#This Row],[Closing social housing units managed]],"")</f>
        <v>3.1319954128440366</v>
      </c>
      <c r="G212" s="194">
        <f>IF(Entity_Unit_Costs[[#This Row],[Closing social housing units managed]]&gt;0,Entity_Unit_Costs[[#This Row],[Management]]/Entity_Unit_Costs[[#This Row],[Closing social housing units managed]],"")</f>
        <v>1.0692660550458715</v>
      </c>
      <c r="H212" s="193">
        <v>9324</v>
      </c>
      <c r="I212" s="194">
        <f>IF(Entity_Unit_Costs[[#This Row],[Closing social housing units managed]]&gt;0,Entity_Unit_Costs[[#This Row],[Service charge costs]]/Entity_Unit_Costs[[#This Row],[Closing social housing units managed]],"")</f>
        <v>0.86490825688073392</v>
      </c>
      <c r="J212" s="193">
        <v>7542</v>
      </c>
      <c r="K212" s="194">
        <f>IF(Entity_Unit_Costs[[#This Row],[Closing social housing units managed]]&gt;0,(Entity_Unit_Costs[[#This Row],[Routine maintenance]]+Entity_Unit_Costs[[#This Row],[Planned maintenance]])/Entity_Unit_Costs[[#This Row],[Closing social housing units managed]],"")</f>
        <v>0.8519495412844037</v>
      </c>
      <c r="L212" s="193">
        <v>7417</v>
      </c>
      <c r="M212" s="193">
        <v>12</v>
      </c>
      <c r="N212" s="194">
        <f>IF(Entity_Unit_Costs[[#This Row],[Closing social housing units managed]]&gt;0,(Entity_Unit_Costs[[#This Row],[Major repairs expenditure]]+Entity_Unit_Costs[[#This Row],[Capitalised major repairs expenditure for period]])/Entity_Unit_Costs[[#This Row],[Closing social housing units managed]],"")</f>
        <v>0.34587155963302751</v>
      </c>
      <c r="O212" s="193">
        <v>1881</v>
      </c>
      <c r="P212" s="193">
        <v>1135</v>
      </c>
      <c r="Q21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v>
      </c>
      <c r="R212" s="193">
        <v>0</v>
      </c>
      <c r="S212" s="193">
        <v>0</v>
      </c>
      <c r="T212" s="193">
        <v>0</v>
      </c>
      <c r="U212" s="193">
        <v>0</v>
      </c>
      <c r="V212" s="195">
        <v>0</v>
      </c>
      <c r="W212" s="183">
        <v>0</v>
      </c>
      <c r="X212" s="183">
        <v>0</v>
      </c>
      <c r="Y212" s="184" t="s">
        <v>1257</v>
      </c>
      <c r="Z212" s="185">
        <v>36136</v>
      </c>
      <c r="AA212" s="186" t="s">
        <v>1268</v>
      </c>
      <c r="AB212" s="187" t="s">
        <v>1267</v>
      </c>
      <c r="AC212" s="188">
        <v>1.2488627787394371</v>
      </c>
      <c r="AD212" s="186" t="s">
        <v>615</v>
      </c>
      <c r="AE212" s="187" t="s">
        <v>614</v>
      </c>
    </row>
    <row r="213" spans="1:31" x14ac:dyDescent="0.2">
      <c r="A213" s="189" t="s">
        <v>616</v>
      </c>
      <c r="B213" s="190" t="s">
        <v>617</v>
      </c>
      <c r="C213" s="191" t="s">
        <v>200</v>
      </c>
      <c r="D213" s="192">
        <v>2820</v>
      </c>
      <c r="E21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6927</v>
      </c>
      <c r="F213" s="194">
        <f>IF(Entity_Unit_Costs[[#This Row],[Closing social housing units managed]]&gt;0,Entity_Unit_Costs[[#This Row],[Headline Social Housing Cost]]/Entity_Unit_Costs[[#This Row],[Closing social housing units managed]],"")</f>
        <v>2.4563829787234042</v>
      </c>
      <c r="G213" s="194">
        <f>IF(Entity_Unit_Costs[[#This Row],[Closing social housing units managed]]&gt;0,Entity_Unit_Costs[[#This Row],[Management]]/Entity_Unit_Costs[[#This Row],[Closing social housing units managed]],"")</f>
        <v>0.86170212765957444</v>
      </c>
      <c r="H213" s="193">
        <v>2430</v>
      </c>
      <c r="I213" s="194">
        <f>IF(Entity_Unit_Costs[[#This Row],[Closing social housing units managed]]&gt;0,Entity_Unit_Costs[[#This Row],[Service charge costs]]/Entity_Unit_Costs[[#This Row],[Closing social housing units managed]],"")</f>
        <v>8.723404255319149E-2</v>
      </c>
      <c r="J213" s="193">
        <v>246</v>
      </c>
      <c r="K213" s="194">
        <f>IF(Entity_Unit_Costs[[#This Row],[Closing social housing units managed]]&gt;0,(Entity_Unit_Costs[[#This Row],[Routine maintenance]]+Entity_Unit_Costs[[#This Row],[Planned maintenance]])/Entity_Unit_Costs[[#This Row],[Closing social housing units managed]],"")</f>
        <v>0.74326241134751769</v>
      </c>
      <c r="L213" s="193">
        <v>1496</v>
      </c>
      <c r="M213" s="193">
        <v>600</v>
      </c>
      <c r="N213" s="194">
        <f>IF(Entity_Unit_Costs[[#This Row],[Closing social housing units managed]]&gt;0,(Entity_Unit_Costs[[#This Row],[Major repairs expenditure]]+Entity_Unit_Costs[[#This Row],[Capitalised major repairs expenditure for period]])/Entity_Unit_Costs[[#This Row],[Closing social housing units managed]],"")</f>
        <v>0.79361702127659572</v>
      </c>
      <c r="O213" s="193">
        <v>1253</v>
      </c>
      <c r="P213" s="193">
        <v>985</v>
      </c>
      <c r="Q21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-2.9432624113475178E-2</v>
      </c>
      <c r="R213" s="193">
        <v>-83</v>
      </c>
      <c r="S213" s="193">
        <v>0</v>
      </c>
      <c r="T213" s="193">
        <v>0</v>
      </c>
      <c r="U213" s="193">
        <v>0</v>
      </c>
      <c r="V213" s="195">
        <v>0</v>
      </c>
      <c r="W213" s="183">
        <v>2.398589065255732E-2</v>
      </c>
      <c r="X213" s="183">
        <v>2.8924162257495591E-2</v>
      </c>
      <c r="Y213" s="184" t="s">
        <v>1256</v>
      </c>
      <c r="Z213" s="185"/>
      <c r="AA213" s="186" t="s">
        <v>1279</v>
      </c>
      <c r="AB213" s="187" t="s">
        <v>1259</v>
      </c>
      <c r="AC213" s="188">
        <v>1.0086720037793462</v>
      </c>
      <c r="AD213" s="186" t="s">
        <v>1246</v>
      </c>
      <c r="AE213" s="187" t="s">
        <v>623</v>
      </c>
    </row>
    <row r="214" spans="1:31" x14ac:dyDescent="0.2">
      <c r="A214" s="189" t="s">
        <v>618</v>
      </c>
      <c r="B214" s="190" t="s">
        <v>619</v>
      </c>
      <c r="C214" s="191" t="s">
        <v>200</v>
      </c>
      <c r="D214" s="192">
        <v>2561</v>
      </c>
      <c r="E21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19648</v>
      </c>
      <c r="F214" s="194">
        <f>IF(Entity_Unit_Costs[[#This Row],[Closing social housing units managed]]&gt;0,Entity_Unit_Costs[[#This Row],[Headline Social Housing Cost]]/Entity_Unit_Costs[[#This Row],[Closing social housing units managed]],"")</f>
        <v>7.6720031237797732</v>
      </c>
      <c r="G214" s="194">
        <f>IF(Entity_Unit_Costs[[#This Row],[Closing social housing units managed]]&gt;0,Entity_Unit_Costs[[#This Row],[Management]]/Entity_Unit_Costs[[#This Row],[Closing social housing units managed]],"")</f>
        <v>0.94377196407653263</v>
      </c>
      <c r="H214" s="193">
        <v>2417</v>
      </c>
      <c r="I214" s="194">
        <f>IF(Entity_Unit_Costs[[#This Row],[Closing social housing units managed]]&gt;0,Entity_Unit_Costs[[#This Row],[Service charge costs]]/Entity_Unit_Costs[[#This Row],[Closing social housing units managed]],"")</f>
        <v>2.0398281921124561</v>
      </c>
      <c r="J214" s="193">
        <v>5224</v>
      </c>
      <c r="K214" s="194">
        <f>IF(Entity_Unit_Costs[[#This Row],[Closing social housing units managed]]&gt;0,(Entity_Unit_Costs[[#This Row],[Routine maintenance]]+Entity_Unit_Costs[[#This Row],[Planned maintenance]])/Entity_Unit_Costs[[#This Row],[Closing social housing units managed]],"")</f>
        <v>1.8766106989457243</v>
      </c>
      <c r="L214" s="193">
        <v>4109</v>
      </c>
      <c r="M214" s="193">
        <v>697</v>
      </c>
      <c r="N214" s="194">
        <f>IF(Entity_Unit_Costs[[#This Row],[Closing social housing units managed]]&gt;0,(Entity_Unit_Costs[[#This Row],[Major repairs expenditure]]+Entity_Unit_Costs[[#This Row],[Capitalised major repairs expenditure for period]])/Entity_Unit_Costs[[#This Row],[Closing social housing units managed]],"")</f>
        <v>0.66224131198750491</v>
      </c>
      <c r="O214" s="193">
        <v>1069</v>
      </c>
      <c r="P214" s="193">
        <v>627</v>
      </c>
      <c r="Q21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2.1495509566575555</v>
      </c>
      <c r="R214" s="193">
        <v>5329</v>
      </c>
      <c r="S214" s="193">
        <v>176</v>
      </c>
      <c r="T214" s="193">
        <v>0</v>
      </c>
      <c r="U214" s="193">
        <v>0</v>
      </c>
      <c r="V214" s="195">
        <v>0</v>
      </c>
      <c r="W214" s="183">
        <v>0.99028371550719008</v>
      </c>
      <c r="X214" s="183">
        <v>0</v>
      </c>
      <c r="Y214" s="184" t="s">
        <v>1256</v>
      </c>
      <c r="Z214" s="185"/>
      <c r="AA214" s="186" t="s">
        <v>1279</v>
      </c>
      <c r="AB214" s="187" t="s">
        <v>1258</v>
      </c>
      <c r="AC214" s="188">
        <v>0.93825488692981251</v>
      </c>
      <c r="AD214" s="186" t="s">
        <v>1245</v>
      </c>
      <c r="AE214" s="187" t="s">
        <v>621</v>
      </c>
    </row>
    <row r="215" spans="1:31" x14ac:dyDescent="0.2">
      <c r="A215" s="189" t="s">
        <v>147</v>
      </c>
      <c r="B215" s="190" t="s">
        <v>146</v>
      </c>
      <c r="C215" s="196" t="s">
        <v>200</v>
      </c>
      <c r="D215" s="192">
        <v>1504</v>
      </c>
      <c r="E21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4634</v>
      </c>
      <c r="F215" s="194">
        <f>IF(Entity_Unit_Costs[[#This Row],[Closing social housing units managed]]&gt;0,Entity_Unit_Costs[[#This Row],[Headline Social Housing Cost]]/Entity_Unit_Costs[[#This Row],[Closing social housing units managed]],"")</f>
        <v>3.0811170212765959</v>
      </c>
      <c r="G215" s="194">
        <f>IF(Entity_Unit_Costs[[#This Row],[Closing social housing units managed]]&gt;0,Entity_Unit_Costs[[#This Row],[Management]]/Entity_Unit_Costs[[#This Row],[Closing social housing units managed]],"")</f>
        <v>0.62632978723404253</v>
      </c>
      <c r="H215" s="193">
        <v>942</v>
      </c>
      <c r="I215" s="194">
        <f>IF(Entity_Unit_Costs[[#This Row],[Closing social housing units managed]]&gt;0,Entity_Unit_Costs[[#This Row],[Service charge costs]]/Entity_Unit_Costs[[#This Row],[Closing social housing units managed]],"")</f>
        <v>0.57114361702127658</v>
      </c>
      <c r="J215" s="193">
        <v>859</v>
      </c>
      <c r="K215" s="194">
        <f>IF(Entity_Unit_Costs[[#This Row],[Closing social housing units managed]]&gt;0,(Entity_Unit_Costs[[#This Row],[Routine maintenance]]+Entity_Unit_Costs[[#This Row],[Planned maintenance]])/Entity_Unit_Costs[[#This Row],[Closing social housing units managed]],"")</f>
        <v>1.0033244680851063</v>
      </c>
      <c r="L215" s="193">
        <v>1385</v>
      </c>
      <c r="M215" s="193">
        <v>124</v>
      </c>
      <c r="N215" s="194">
        <f>IF(Entity_Unit_Costs[[#This Row],[Closing social housing units managed]]&gt;0,(Entity_Unit_Costs[[#This Row],[Major repairs expenditure]]+Entity_Unit_Costs[[#This Row],[Capitalised major repairs expenditure for period]])/Entity_Unit_Costs[[#This Row],[Closing social housing units managed]],"")</f>
        <v>0.79853723404255317</v>
      </c>
      <c r="O215" s="193">
        <v>0</v>
      </c>
      <c r="P215" s="193">
        <v>1201</v>
      </c>
      <c r="Q21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8.1781914893617025E-2</v>
      </c>
      <c r="R215" s="193">
        <v>26</v>
      </c>
      <c r="S215" s="193">
        <v>0</v>
      </c>
      <c r="T215" s="193">
        <v>97</v>
      </c>
      <c r="U215" s="193">
        <v>0</v>
      </c>
      <c r="V215" s="195">
        <v>0</v>
      </c>
      <c r="W215" s="183">
        <v>0.32734530938123751</v>
      </c>
      <c r="X215" s="183">
        <v>0.28542914171656686</v>
      </c>
      <c r="Y215" s="184" t="s">
        <v>1256</v>
      </c>
      <c r="Z215" s="185"/>
      <c r="AA215" s="186" t="s">
        <v>1279</v>
      </c>
      <c r="AB215" s="187" t="s">
        <v>1266</v>
      </c>
      <c r="AC215" s="188">
        <v>0.92237131291942354</v>
      </c>
      <c r="AD215" s="186" t="s">
        <v>147</v>
      </c>
      <c r="AE215" s="187" t="s">
        <v>146</v>
      </c>
    </row>
    <row r="216" spans="1:31" x14ac:dyDescent="0.2">
      <c r="A216" s="189" t="s">
        <v>624</v>
      </c>
      <c r="B216" s="190" t="s">
        <v>148</v>
      </c>
      <c r="C216" s="196" t="s">
        <v>200</v>
      </c>
      <c r="D216" s="192">
        <v>5775</v>
      </c>
      <c r="E21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23403</v>
      </c>
      <c r="F216" s="194">
        <f>IF(Entity_Unit_Costs[[#This Row],[Closing social housing units managed]]&gt;0,Entity_Unit_Costs[[#This Row],[Headline Social Housing Cost]]/Entity_Unit_Costs[[#This Row],[Closing social housing units managed]],"")</f>
        <v>4.0524675324675323</v>
      </c>
      <c r="G216" s="194">
        <f>IF(Entity_Unit_Costs[[#This Row],[Closing social housing units managed]]&gt;0,Entity_Unit_Costs[[#This Row],[Management]]/Entity_Unit_Costs[[#This Row],[Closing social housing units managed]],"")</f>
        <v>0.88484848484848488</v>
      </c>
      <c r="H216" s="193">
        <v>5110</v>
      </c>
      <c r="I216" s="194">
        <f>IF(Entity_Unit_Costs[[#This Row],[Closing social housing units managed]]&gt;0,Entity_Unit_Costs[[#This Row],[Service charge costs]]/Entity_Unit_Costs[[#This Row],[Closing social housing units managed]],"")</f>
        <v>0.34770562770562768</v>
      </c>
      <c r="J216" s="193">
        <v>2008</v>
      </c>
      <c r="K216" s="194">
        <f>IF(Entity_Unit_Costs[[#This Row],[Closing social housing units managed]]&gt;0,(Entity_Unit_Costs[[#This Row],[Routine maintenance]]+Entity_Unit_Costs[[#This Row],[Planned maintenance]])/Entity_Unit_Costs[[#This Row],[Closing social housing units managed]],"")</f>
        <v>1.1236363636363635</v>
      </c>
      <c r="L216" s="193">
        <v>3931</v>
      </c>
      <c r="M216" s="193">
        <v>2558</v>
      </c>
      <c r="N216" s="194">
        <f>IF(Entity_Unit_Costs[[#This Row],[Closing social housing units managed]]&gt;0,(Entity_Unit_Costs[[#This Row],[Major repairs expenditure]]+Entity_Unit_Costs[[#This Row],[Capitalised major repairs expenditure for period]])/Entity_Unit_Costs[[#This Row],[Closing social housing units managed]],"")</f>
        <v>0.58926406926406927</v>
      </c>
      <c r="O216" s="193">
        <v>1920</v>
      </c>
      <c r="P216" s="193">
        <v>1483</v>
      </c>
      <c r="Q21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1.107012987012987</v>
      </c>
      <c r="R216" s="193">
        <v>4465</v>
      </c>
      <c r="S216" s="193">
        <v>394</v>
      </c>
      <c r="T216" s="193">
        <v>765</v>
      </c>
      <c r="U216" s="193">
        <v>0</v>
      </c>
      <c r="V216" s="195">
        <v>769</v>
      </c>
      <c r="W216" s="183">
        <v>0</v>
      </c>
      <c r="X216" s="183">
        <v>6.1351819757365686E-2</v>
      </c>
      <c r="Y216" s="184" t="s">
        <v>1257</v>
      </c>
      <c r="Z216" s="185">
        <v>37340</v>
      </c>
      <c r="AA216" s="186" t="s">
        <v>1268</v>
      </c>
      <c r="AB216" s="187" t="s">
        <v>1259</v>
      </c>
      <c r="AC216" s="188">
        <v>1.0130582581741705</v>
      </c>
      <c r="AD216" s="186" t="s">
        <v>624</v>
      </c>
      <c r="AE216" s="187" t="s">
        <v>148</v>
      </c>
    </row>
    <row r="217" spans="1:31" x14ac:dyDescent="0.2">
      <c r="A217" s="197">
        <v>4682</v>
      </c>
      <c r="B217" s="190" t="s">
        <v>150</v>
      </c>
      <c r="C217" s="196" t="s">
        <v>200</v>
      </c>
      <c r="D217" s="192">
        <v>5840</v>
      </c>
      <c r="E21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30794</v>
      </c>
      <c r="F217" s="194">
        <f>IF(Entity_Unit_Costs[[#This Row],[Closing social housing units managed]]&gt;0,Entity_Unit_Costs[[#This Row],[Headline Social Housing Cost]]/Entity_Unit_Costs[[#This Row],[Closing social housing units managed]],"")</f>
        <v>5.2729452054794521</v>
      </c>
      <c r="G217" s="194">
        <f>IF(Entity_Unit_Costs[[#This Row],[Closing social housing units managed]]&gt;0,Entity_Unit_Costs[[#This Row],[Management]]/Entity_Unit_Costs[[#This Row],[Closing social housing units managed]],"")</f>
        <v>1.1368150684931506</v>
      </c>
      <c r="H217" s="193">
        <v>6639</v>
      </c>
      <c r="I217" s="194">
        <f>IF(Entity_Unit_Costs[[#This Row],[Closing social housing units managed]]&gt;0,Entity_Unit_Costs[[#This Row],[Service charge costs]]/Entity_Unit_Costs[[#This Row],[Closing social housing units managed]],"")</f>
        <v>0.261472602739726</v>
      </c>
      <c r="J217" s="193">
        <v>1527</v>
      </c>
      <c r="K217" s="194">
        <f>IF(Entity_Unit_Costs[[#This Row],[Closing social housing units managed]]&gt;0,(Entity_Unit_Costs[[#This Row],[Routine maintenance]]+Entity_Unit_Costs[[#This Row],[Planned maintenance]])/Entity_Unit_Costs[[#This Row],[Closing social housing units managed]],"")</f>
        <v>0.97448630136986303</v>
      </c>
      <c r="L217" s="193">
        <v>3198</v>
      </c>
      <c r="M217" s="193">
        <v>2493</v>
      </c>
      <c r="N217" s="194">
        <f>IF(Entity_Unit_Costs[[#This Row],[Closing social housing units managed]]&gt;0,(Entity_Unit_Costs[[#This Row],[Major repairs expenditure]]+Entity_Unit_Costs[[#This Row],[Capitalised major repairs expenditure for period]])/Entity_Unit_Costs[[#This Row],[Closing social housing units managed]],"")</f>
        <v>3.1422945205479453</v>
      </c>
      <c r="O217" s="193">
        <v>10046</v>
      </c>
      <c r="P217" s="193">
        <v>8305</v>
      </c>
      <c r="Q21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-0.24212328767123287</v>
      </c>
      <c r="R217" s="193">
        <v>-1419</v>
      </c>
      <c r="S217" s="193">
        <v>5</v>
      </c>
      <c r="T217" s="193">
        <v>0</v>
      </c>
      <c r="U217" s="193">
        <v>0</v>
      </c>
      <c r="V217" s="195">
        <v>0</v>
      </c>
      <c r="W217" s="183">
        <v>0</v>
      </c>
      <c r="X217" s="183">
        <v>0.30171232876712328</v>
      </c>
      <c r="Y217" s="184" t="s">
        <v>1257</v>
      </c>
      <c r="Z217" s="185">
        <v>40889</v>
      </c>
      <c r="AA217" s="186" t="s">
        <v>1269</v>
      </c>
      <c r="AB217" s="187" t="s">
        <v>1259</v>
      </c>
      <c r="AC217" s="188">
        <v>1.0118524159776632</v>
      </c>
      <c r="AD217" s="186">
        <v>4682</v>
      </c>
      <c r="AE217" s="187" t="s">
        <v>150</v>
      </c>
    </row>
    <row r="218" spans="1:31" x14ac:dyDescent="0.2">
      <c r="A218" s="189" t="s">
        <v>625</v>
      </c>
      <c r="B218" s="190" t="s">
        <v>626</v>
      </c>
      <c r="C218" s="196" t="s">
        <v>200</v>
      </c>
      <c r="D218" s="192">
        <v>2339</v>
      </c>
      <c r="E21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3632</v>
      </c>
      <c r="F218" s="194">
        <f>IF(Entity_Unit_Costs[[#This Row],[Closing social housing units managed]]&gt;0,Entity_Unit_Costs[[#This Row],[Headline Social Housing Cost]]/Entity_Unit_Costs[[#This Row],[Closing social housing units managed]],"")</f>
        <v>1.5528003420265071</v>
      </c>
      <c r="G218" s="194">
        <f>IF(Entity_Unit_Costs[[#This Row],[Closing social housing units managed]]&gt;0,Entity_Unit_Costs[[#This Row],[Management]]/Entity_Unit_Costs[[#This Row],[Closing social housing units managed]],"")</f>
        <v>0.28388200085506626</v>
      </c>
      <c r="H218" s="193">
        <v>664</v>
      </c>
      <c r="I218" s="194">
        <f>IF(Entity_Unit_Costs[[#This Row],[Closing social housing units managed]]&gt;0,Entity_Unit_Costs[[#This Row],[Service charge costs]]/Entity_Unit_Costs[[#This Row],[Closing social housing units managed]],"")</f>
        <v>0.52116289012398465</v>
      </c>
      <c r="J218" s="193">
        <v>1219</v>
      </c>
      <c r="K218" s="194">
        <f>IF(Entity_Unit_Costs[[#This Row],[Closing social housing units managed]]&gt;0,(Entity_Unit_Costs[[#This Row],[Routine maintenance]]+Entity_Unit_Costs[[#This Row],[Planned maintenance]])/Entity_Unit_Costs[[#This Row],[Closing social housing units managed]],"")</f>
        <v>0.44335185976913211</v>
      </c>
      <c r="L218" s="193">
        <v>679</v>
      </c>
      <c r="M218" s="193">
        <v>358</v>
      </c>
      <c r="N218" s="194">
        <f>IF(Entity_Unit_Costs[[#This Row],[Closing social housing units managed]]&gt;0,(Entity_Unit_Costs[[#This Row],[Major repairs expenditure]]+Entity_Unit_Costs[[#This Row],[Capitalised major repairs expenditure for period]])/Entity_Unit_Costs[[#This Row],[Closing social housing units managed]],"")</f>
        <v>0.24796921761436511</v>
      </c>
      <c r="O218" s="193">
        <v>25</v>
      </c>
      <c r="P218" s="193">
        <v>555</v>
      </c>
      <c r="Q21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5.643437366395896E-2</v>
      </c>
      <c r="R218" s="193">
        <v>21</v>
      </c>
      <c r="S218" s="193">
        <v>0</v>
      </c>
      <c r="T218" s="193">
        <v>50</v>
      </c>
      <c r="U218" s="193">
        <v>1</v>
      </c>
      <c r="V218" s="195">
        <v>60</v>
      </c>
      <c r="W218" s="183">
        <v>6.7873303167420809E-2</v>
      </c>
      <c r="X218" s="183">
        <v>8.9743589743589744E-2</v>
      </c>
      <c r="Y218" s="184" t="s">
        <v>1256</v>
      </c>
      <c r="Z218" s="185"/>
      <c r="AA218" s="186" t="s">
        <v>1279</v>
      </c>
      <c r="AB218" s="187" t="s">
        <v>1262</v>
      </c>
      <c r="AC218" s="188">
        <v>0.9156653862445665</v>
      </c>
      <c r="AD218" s="186">
        <v>4653</v>
      </c>
      <c r="AE218" s="187" t="s">
        <v>628</v>
      </c>
    </row>
    <row r="219" spans="1:31" x14ac:dyDescent="0.2">
      <c r="A219" s="197">
        <v>4653</v>
      </c>
      <c r="B219" s="190" t="s">
        <v>628</v>
      </c>
      <c r="C219" s="196" t="s">
        <v>200</v>
      </c>
      <c r="D219" s="192">
        <v>10590</v>
      </c>
      <c r="E21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33652</v>
      </c>
      <c r="F219" s="194">
        <f>IF(Entity_Unit_Costs[[#This Row],[Closing social housing units managed]]&gt;0,Entity_Unit_Costs[[#This Row],[Headline Social Housing Cost]]/Entity_Unit_Costs[[#This Row],[Closing social housing units managed]],"")</f>
        <v>3.1777148253068934</v>
      </c>
      <c r="G219" s="194">
        <f>IF(Entity_Unit_Costs[[#This Row],[Closing social housing units managed]]&gt;0,Entity_Unit_Costs[[#This Row],[Management]]/Entity_Unit_Costs[[#This Row],[Closing social housing units managed]],"")</f>
        <v>0.76496694995278569</v>
      </c>
      <c r="H219" s="193">
        <v>8101</v>
      </c>
      <c r="I219" s="194">
        <f>IF(Entity_Unit_Costs[[#This Row],[Closing social housing units managed]]&gt;0,Entity_Unit_Costs[[#This Row],[Service charge costs]]/Entity_Unit_Costs[[#This Row],[Closing social housing units managed]],"")</f>
        <v>0.33267233238904625</v>
      </c>
      <c r="J219" s="193">
        <v>3523</v>
      </c>
      <c r="K219" s="194">
        <f>IF(Entity_Unit_Costs[[#This Row],[Closing social housing units managed]]&gt;0,(Entity_Unit_Costs[[#This Row],[Routine maintenance]]+Entity_Unit_Costs[[#This Row],[Planned maintenance]])/Entity_Unit_Costs[[#This Row],[Closing social housing units managed]],"")</f>
        <v>1.2862134088762984</v>
      </c>
      <c r="L219" s="193">
        <v>8098</v>
      </c>
      <c r="M219" s="193">
        <v>5523</v>
      </c>
      <c r="N219" s="194">
        <f>IF(Entity_Unit_Costs[[#This Row],[Closing social housing units managed]]&gt;0,(Entity_Unit_Costs[[#This Row],[Major repairs expenditure]]+Entity_Unit_Costs[[#This Row],[Capitalised major repairs expenditure for period]])/Entity_Unit_Costs[[#This Row],[Closing social housing units managed]],"")</f>
        <v>0.56052880075542966</v>
      </c>
      <c r="O219" s="193">
        <v>299</v>
      </c>
      <c r="P219" s="193">
        <v>5637</v>
      </c>
      <c r="Q21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0.23333333333333334</v>
      </c>
      <c r="R219" s="193">
        <v>560</v>
      </c>
      <c r="S219" s="193">
        <v>234</v>
      </c>
      <c r="T219" s="193">
        <v>217</v>
      </c>
      <c r="U219" s="193">
        <v>0</v>
      </c>
      <c r="V219" s="195">
        <v>1460</v>
      </c>
      <c r="W219" s="183">
        <v>7.8681653648313962E-2</v>
      </c>
      <c r="X219" s="183">
        <v>8.1253572108973132E-2</v>
      </c>
      <c r="Y219" s="184" t="s">
        <v>1256</v>
      </c>
      <c r="Z219" s="185"/>
      <c r="AA219" s="186" t="s">
        <v>1279</v>
      </c>
      <c r="AB219" s="187" t="s">
        <v>1262</v>
      </c>
      <c r="AC219" s="188">
        <v>0.9156653862445665</v>
      </c>
      <c r="AD219" s="186">
        <v>4653</v>
      </c>
      <c r="AE219" s="187" t="s">
        <v>628</v>
      </c>
    </row>
    <row r="220" spans="1:31" x14ac:dyDescent="0.2">
      <c r="A220" s="197">
        <v>4745</v>
      </c>
      <c r="B220" s="190" t="s">
        <v>152</v>
      </c>
      <c r="C220" s="196" t="s">
        <v>200</v>
      </c>
      <c r="D220" s="192">
        <v>1155</v>
      </c>
      <c r="E22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10775</v>
      </c>
      <c r="F220" s="194">
        <f>IF(Entity_Unit_Costs[[#This Row],[Closing social housing units managed]]&gt;0,Entity_Unit_Costs[[#This Row],[Headline Social Housing Cost]]/Entity_Unit_Costs[[#This Row],[Closing social housing units managed]],"")</f>
        <v>9.329004329004329</v>
      </c>
      <c r="G220" s="194">
        <f>IF(Entity_Unit_Costs[[#This Row],[Closing social housing units managed]]&gt;0,Entity_Unit_Costs[[#This Row],[Management]]/Entity_Unit_Costs[[#This Row],[Closing social housing units managed]],"")</f>
        <v>1.2744588744588745</v>
      </c>
      <c r="H220" s="193">
        <v>1472</v>
      </c>
      <c r="I220" s="194">
        <f>IF(Entity_Unit_Costs[[#This Row],[Closing social housing units managed]]&gt;0,Entity_Unit_Costs[[#This Row],[Service charge costs]]/Entity_Unit_Costs[[#This Row],[Closing social housing units managed]],"")</f>
        <v>0.59307359307359309</v>
      </c>
      <c r="J220" s="193">
        <v>685</v>
      </c>
      <c r="K220" s="194">
        <f>IF(Entity_Unit_Costs[[#This Row],[Closing social housing units managed]]&gt;0,(Entity_Unit_Costs[[#This Row],[Routine maintenance]]+Entity_Unit_Costs[[#This Row],[Planned maintenance]])/Entity_Unit_Costs[[#This Row],[Closing social housing units managed]],"")</f>
        <v>0.59307359307359309</v>
      </c>
      <c r="L220" s="193">
        <v>685</v>
      </c>
      <c r="M220" s="193">
        <v>0</v>
      </c>
      <c r="N220" s="194">
        <f>IF(Entity_Unit_Costs[[#This Row],[Closing social housing units managed]]&gt;0,(Entity_Unit_Costs[[#This Row],[Major repairs expenditure]]+Entity_Unit_Costs[[#This Row],[Capitalised major repairs expenditure for period]])/Entity_Unit_Costs[[#This Row],[Closing social housing units managed]],"")</f>
        <v>3.4632034632034632E-2</v>
      </c>
      <c r="O220" s="193">
        <v>40</v>
      </c>
      <c r="P220" s="193">
        <v>0</v>
      </c>
      <c r="Q22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6.8337662337662337</v>
      </c>
      <c r="R220" s="193">
        <v>7509</v>
      </c>
      <c r="S220" s="193">
        <v>384</v>
      </c>
      <c r="T220" s="193">
        <v>0</v>
      </c>
      <c r="U220" s="193">
        <v>0</v>
      </c>
      <c r="V220" s="195">
        <v>0</v>
      </c>
      <c r="W220" s="183">
        <v>0.9948051948051948</v>
      </c>
      <c r="X220" s="183">
        <v>5.1948051948051948E-3</v>
      </c>
      <c r="Y220" s="184" t="s">
        <v>1256</v>
      </c>
      <c r="Z220" s="185"/>
      <c r="AA220" s="186" t="s">
        <v>1279</v>
      </c>
      <c r="AB220" s="187" t="s">
        <v>1258</v>
      </c>
      <c r="AC220" s="188">
        <v>0.99936295989746249</v>
      </c>
      <c r="AD220" s="186">
        <v>4745</v>
      </c>
      <c r="AE220" s="187" t="s">
        <v>152</v>
      </c>
    </row>
    <row r="221" spans="1:31" x14ac:dyDescent="0.2">
      <c r="A221" s="189" t="s">
        <v>630</v>
      </c>
      <c r="B221" s="190" t="s">
        <v>631</v>
      </c>
      <c r="C221" s="196" t="s">
        <v>200</v>
      </c>
      <c r="D221" s="192">
        <v>1179</v>
      </c>
      <c r="E22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4522</v>
      </c>
      <c r="F221" s="194">
        <f>IF(Entity_Unit_Costs[[#This Row],[Closing social housing units managed]]&gt;0,Entity_Unit_Costs[[#This Row],[Headline Social Housing Cost]]/Entity_Unit_Costs[[#This Row],[Closing social housing units managed]],"")</f>
        <v>3.8354537743850723</v>
      </c>
      <c r="G221" s="194">
        <f>IF(Entity_Unit_Costs[[#This Row],[Closing social housing units managed]]&gt;0,Entity_Unit_Costs[[#This Row],[Management]]/Entity_Unit_Costs[[#This Row],[Closing social housing units managed]],"")</f>
        <v>0.33502968617472434</v>
      </c>
      <c r="H221" s="193">
        <v>395</v>
      </c>
      <c r="I221" s="194">
        <f>IF(Entity_Unit_Costs[[#This Row],[Closing social housing units managed]]&gt;0,Entity_Unit_Costs[[#This Row],[Service charge costs]]/Entity_Unit_Costs[[#This Row],[Closing social housing units managed]],"")</f>
        <v>0.47073791348600508</v>
      </c>
      <c r="J221" s="193">
        <v>555</v>
      </c>
      <c r="K221" s="194">
        <f>IF(Entity_Unit_Costs[[#This Row],[Closing social housing units managed]]&gt;0,(Entity_Unit_Costs[[#This Row],[Routine maintenance]]+Entity_Unit_Costs[[#This Row],[Planned maintenance]])/Entity_Unit_Costs[[#This Row],[Closing social housing units managed]],"")</f>
        <v>1.3910093299406276</v>
      </c>
      <c r="L221" s="193">
        <v>854</v>
      </c>
      <c r="M221" s="193">
        <v>786</v>
      </c>
      <c r="N221" s="194">
        <f>IF(Entity_Unit_Costs[[#This Row],[Closing social housing units managed]]&gt;0,(Entity_Unit_Costs[[#This Row],[Major repairs expenditure]]+Entity_Unit_Costs[[#This Row],[Capitalised major repairs expenditure for period]])/Entity_Unit_Costs[[#This Row],[Closing social housing units managed]],"")</f>
        <v>1.0703986429177268</v>
      </c>
      <c r="O221" s="193">
        <v>84</v>
      </c>
      <c r="P221" s="193">
        <v>1178</v>
      </c>
      <c r="Q22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0.5682782018659881</v>
      </c>
      <c r="R221" s="193">
        <v>166</v>
      </c>
      <c r="S221" s="193">
        <v>0</v>
      </c>
      <c r="T221" s="193">
        <v>299</v>
      </c>
      <c r="U221" s="193">
        <v>16</v>
      </c>
      <c r="V221" s="195">
        <v>189</v>
      </c>
      <c r="W221" s="183">
        <v>0</v>
      </c>
      <c r="X221" s="183">
        <v>0.4823434991974318</v>
      </c>
      <c r="Y221" s="184" t="s">
        <v>1257</v>
      </c>
      <c r="Z221" s="185">
        <v>39538</v>
      </c>
      <c r="AA221" s="186" t="s">
        <v>1280</v>
      </c>
      <c r="AB221" s="187" t="s">
        <v>1262</v>
      </c>
      <c r="AC221" s="188">
        <v>0.91566538624456639</v>
      </c>
      <c r="AD221" s="186">
        <v>4649</v>
      </c>
      <c r="AE221" s="187" t="s">
        <v>864</v>
      </c>
    </row>
    <row r="222" spans="1:31" x14ac:dyDescent="0.2">
      <c r="A222" s="189" t="s">
        <v>632</v>
      </c>
      <c r="B222" s="190" t="s">
        <v>633</v>
      </c>
      <c r="C222" s="196" t="s">
        <v>200</v>
      </c>
      <c r="D222" s="192">
        <v>8960</v>
      </c>
      <c r="E22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28709</v>
      </c>
      <c r="F222" s="194">
        <f>IF(Entity_Unit_Costs[[#This Row],[Closing social housing units managed]]&gt;0,Entity_Unit_Costs[[#This Row],[Headline Social Housing Cost]]/Entity_Unit_Costs[[#This Row],[Closing social housing units managed]],"")</f>
        <v>3.2041294642857143</v>
      </c>
      <c r="G222" s="194">
        <f>IF(Entity_Unit_Costs[[#This Row],[Closing social housing units managed]]&gt;0,Entity_Unit_Costs[[#This Row],[Management]]/Entity_Unit_Costs[[#This Row],[Closing social housing units managed]],"")</f>
        <v>1.3035714285714286</v>
      </c>
      <c r="H222" s="193">
        <v>11680</v>
      </c>
      <c r="I222" s="194">
        <f>IF(Entity_Unit_Costs[[#This Row],[Closing social housing units managed]]&gt;0,Entity_Unit_Costs[[#This Row],[Service charge costs]]/Entity_Unit_Costs[[#This Row],[Closing social housing units managed]],"")</f>
        <v>0.32008928571428569</v>
      </c>
      <c r="J222" s="193">
        <v>2868</v>
      </c>
      <c r="K222" s="194">
        <f>IF(Entity_Unit_Costs[[#This Row],[Closing social housing units managed]]&gt;0,(Entity_Unit_Costs[[#This Row],[Routine maintenance]]+Entity_Unit_Costs[[#This Row],[Planned maintenance]])/Entity_Unit_Costs[[#This Row],[Closing social housing units managed]],"")</f>
        <v>0.67109375000000004</v>
      </c>
      <c r="L222" s="193">
        <v>2843</v>
      </c>
      <c r="M222" s="193">
        <v>3170</v>
      </c>
      <c r="N222" s="194">
        <f>IF(Entity_Unit_Costs[[#This Row],[Closing social housing units managed]]&gt;0,(Entity_Unit_Costs[[#This Row],[Major repairs expenditure]]+Entity_Unit_Costs[[#This Row],[Capitalised major repairs expenditure for period]])/Entity_Unit_Costs[[#This Row],[Closing social housing units managed]],"")</f>
        <v>0.65591517857142856</v>
      </c>
      <c r="O222" s="193">
        <v>1663</v>
      </c>
      <c r="P222" s="193">
        <v>4214</v>
      </c>
      <c r="Q22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0.25345982142857143</v>
      </c>
      <c r="R222" s="193">
        <v>0</v>
      </c>
      <c r="S222" s="193">
        <v>0</v>
      </c>
      <c r="T222" s="193">
        <v>2271</v>
      </c>
      <c r="U222" s="193">
        <v>0</v>
      </c>
      <c r="V222" s="195">
        <v>0</v>
      </c>
      <c r="W222" s="183">
        <v>0</v>
      </c>
      <c r="X222" s="183">
        <v>6.0479816118373796E-2</v>
      </c>
      <c r="Y222" s="184" t="s">
        <v>1257</v>
      </c>
      <c r="Z222" s="185">
        <v>36724</v>
      </c>
      <c r="AA222" s="186" t="s">
        <v>1268</v>
      </c>
      <c r="AB222" s="187" t="s">
        <v>1267</v>
      </c>
      <c r="AC222" s="188">
        <v>1.2488627787394371</v>
      </c>
      <c r="AD222" s="186" t="s">
        <v>632</v>
      </c>
      <c r="AE222" s="187" t="s">
        <v>633</v>
      </c>
    </row>
    <row r="223" spans="1:31" x14ac:dyDescent="0.2">
      <c r="A223" s="197">
        <v>4607</v>
      </c>
      <c r="B223" s="190" t="s">
        <v>154</v>
      </c>
      <c r="C223" s="196" t="s">
        <v>200</v>
      </c>
      <c r="D223" s="192">
        <v>13096</v>
      </c>
      <c r="E22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51105</v>
      </c>
      <c r="F223" s="194">
        <f>IF(Entity_Unit_Costs[[#This Row],[Closing social housing units managed]]&gt;0,Entity_Unit_Costs[[#This Row],[Headline Social Housing Cost]]/Entity_Unit_Costs[[#This Row],[Closing social housing units managed]],"")</f>
        <v>3.9023365913255956</v>
      </c>
      <c r="G223" s="194">
        <f>IF(Entity_Unit_Costs[[#This Row],[Closing social housing units managed]]&gt;0,Entity_Unit_Costs[[#This Row],[Management]]/Entity_Unit_Costs[[#This Row],[Closing social housing units managed]],"")</f>
        <v>1.2131185094685399</v>
      </c>
      <c r="H223" s="193">
        <v>15887</v>
      </c>
      <c r="I223" s="194">
        <f>IF(Entity_Unit_Costs[[#This Row],[Closing social housing units managed]]&gt;0,Entity_Unit_Costs[[#This Row],[Service charge costs]]/Entity_Unit_Costs[[#This Row],[Closing social housing units managed]],"")</f>
        <v>0.34025656689065364</v>
      </c>
      <c r="J223" s="193">
        <v>4456</v>
      </c>
      <c r="K223" s="194">
        <f>IF(Entity_Unit_Costs[[#This Row],[Closing social housing units managed]]&gt;0,(Entity_Unit_Costs[[#This Row],[Routine maintenance]]+Entity_Unit_Costs[[#This Row],[Planned maintenance]])/Entity_Unit_Costs[[#This Row],[Closing social housing units managed]],"")</f>
        <v>0.76298106291997558</v>
      </c>
      <c r="L223" s="193">
        <v>8443</v>
      </c>
      <c r="M223" s="193">
        <v>1549</v>
      </c>
      <c r="N223" s="194">
        <f>IF(Entity_Unit_Costs[[#This Row],[Closing social housing units managed]]&gt;0,(Entity_Unit_Costs[[#This Row],[Major repairs expenditure]]+Entity_Unit_Costs[[#This Row],[Capitalised major repairs expenditure for period]])/Entity_Unit_Costs[[#This Row],[Closing social housing units managed]],"")</f>
        <v>1.4197464874770922</v>
      </c>
      <c r="O223" s="193">
        <v>5411</v>
      </c>
      <c r="P223" s="193">
        <v>13182</v>
      </c>
      <c r="Q22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0.16623396456933415</v>
      </c>
      <c r="R223" s="193">
        <v>0</v>
      </c>
      <c r="S223" s="193">
        <v>1092</v>
      </c>
      <c r="T223" s="193">
        <v>1085</v>
      </c>
      <c r="U223" s="193">
        <v>0</v>
      </c>
      <c r="V223" s="195">
        <v>0</v>
      </c>
      <c r="W223" s="183">
        <v>0</v>
      </c>
      <c r="X223" s="183">
        <v>7.3839340256566896E-2</v>
      </c>
      <c r="Y223" s="184" t="s">
        <v>1257</v>
      </c>
      <c r="Z223" s="185">
        <v>40994</v>
      </c>
      <c r="AA223" s="186" t="s">
        <v>1269</v>
      </c>
      <c r="AB223" s="187" t="s">
        <v>1262</v>
      </c>
      <c r="AC223" s="188">
        <v>0.9156653862445665</v>
      </c>
      <c r="AD223" s="186">
        <v>4607</v>
      </c>
      <c r="AE223" s="187" t="s">
        <v>154</v>
      </c>
    </row>
    <row r="224" spans="1:31" x14ac:dyDescent="0.2">
      <c r="A224" s="189" t="s">
        <v>635</v>
      </c>
      <c r="B224" s="190" t="s">
        <v>636</v>
      </c>
      <c r="C224" s="191" t="s">
        <v>200</v>
      </c>
      <c r="D224" s="192">
        <v>5769</v>
      </c>
      <c r="E22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15209</v>
      </c>
      <c r="F224" s="194">
        <f>IF(Entity_Unit_Costs[[#This Row],[Closing social housing units managed]]&gt;0,Entity_Unit_Costs[[#This Row],[Headline Social Housing Cost]]/Entity_Unit_Costs[[#This Row],[Closing social housing units managed]],"")</f>
        <v>2.6363321199514647</v>
      </c>
      <c r="G224" s="194">
        <f>IF(Entity_Unit_Costs[[#This Row],[Closing social housing units managed]]&gt;0,Entity_Unit_Costs[[#This Row],[Management]]/Entity_Unit_Costs[[#This Row],[Closing social housing units managed]],"")</f>
        <v>0.54151499393309066</v>
      </c>
      <c r="H224" s="193">
        <v>3124</v>
      </c>
      <c r="I224" s="194">
        <f>IF(Entity_Unit_Costs[[#This Row],[Closing social housing units managed]]&gt;0,Entity_Unit_Costs[[#This Row],[Service charge costs]]/Entity_Unit_Costs[[#This Row],[Closing social housing units managed]],"")</f>
        <v>0.48448604610851098</v>
      </c>
      <c r="J224" s="193">
        <v>2795</v>
      </c>
      <c r="K224" s="194">
        <f>IF(Entity_Unit_Costs[[#This Row],[Closing social housing units managed]]&gt;0,(Entity_Unit_Costs[[#This Row],[Routine maintenance]]+Entity_Unit_Costs[[#This Row],[Planned maintenance]])/Entity_Unit_Costs[[#This Row],[Closing social housing units managed]],"")</f>
        <v>1.0206274917663374</v>
      </c>
      <c r="L224" s="193">
        <v>4439</v>
      </c>
      <c r="M224" s="193">
        <v>1449</v>
      </c>
      <c r="N224" s="194">
        <f>IF(Entity_Unit_Costs[[#This Row],[Closing social housing units managed]]&gt;0,(Entity_Unit_Costs[[#This Row],[Major repairs expenditure]]+Entity_Unit_Costs[[#This Row],[Capitalised major repairs expenditure for period]])/Entity_Unit_Costs[[#This Row],[Closing social housing units managed]],"")</f>
        <v>0.39226902409429709</v>
      </c>
      <c r="O224" s="193">
        <v>0</v>
      </c>
      <c r="P224" s="193">
        <v>2263</v>
      </c>
      <c r="Q22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0.19743456404922863</v>
      </c>
      <c r="R224" s="193">
        <v>0</v>
      </c>
      <c r="S224" s="193">
        <v>630</v>
      </c>
      <c r="T224" s="193">
        <v>509</v>
      </c>
      <c r="U224" s="193">
        <v>0</v>
      </c>
      <c r="V224" s="195">
        <v>0</v>
      </c>
      <c r="W224" s="183">
        <v>2.9708130646282142E-2</v>
      </c>
      <c r="X224" s="183">
        <v>7.5052119527449612E-2</v>
      </c>
      <c r="Y224" s="184" t="s">
        <v>1257</v>
      </c>
      <c r="Z224" s="185">
        <v>34610</v>
      </c>
      <c r="AA224" s="186" t="s">
        <v>1268</v>
      </c>
      <c r="AB224" s="187" t="s">
        <v>1260</v>
      </c>
      <c r="AC224" s="188">
        <v>0.92428491526010603</v>
      </c>
      <c r="AD224" s="186" t="s">
        <v>1247</v>
      </c>
      <c r="AE224" s="187" t="s">
        <v>638</v>
      </c>
    </row>
    <row r="225" spans="1:31" x14ac:dyDescent="0.2">
      <c r="A225" s="189" t="s">
        <v>639</v>
      </c>
      <c r="B225" s="190" t="s">
        <v>640</v>
      </c>
      <c r="C225" s="191" t="s">
        <v>200</v>
      </c>
      <c r="D225" s="192">
        <v>2296</v>
      </c>
      <c r="E22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9494</v>
      </c>
      <c r="F225" s="194">
        <f>IF(Entity_Unit_Costs[[#This Row],[Closing social housing units managed]]&gt;0,Entity_Unit_Costs[[#This Row],[Headline Social Housing Cost]]/Entity_Unit_Costs[[#This Row],[Closing social housing units managed]],"")</f>
        <v>4.1350174216027877</v>
      </c>
      <c r="G225" s="194">
        <f>IF(Entity_Unit_Costs[[#This Row],[Closing social housing units managed]]&gt;0,Entity_Unit_Costs[[#This Row],[Management]]/Entity_Unit_Costs[[#This Row],[Closing social housing units managed]],"")</f>
        <v>1.5644599303135889</v>
      </c>
      <c r="H225" s="193">
        <v>3592</v>
      </c>
      <c r="I225" s="194">
        <f>IF(Entity_Unit_Costs[[#This Row],[Closing social housing units managed]]&gt;0,Entity_Unit_Costs[[#This Row],[Service charge costs]]/Entity_Unit_Costs[[#This Row],[Closing social housing units managed]],"")</f>
        <v>0.36106271777003485</v>
      </c>
      <c r="J225" s="193">
        <v>829</v>
      </c>
      <c r="K225" s="194">
        <f>IF(Entity_Unit_Costs[[#This Row],[Closing social housing units managed]]&gt;0,(Entity_Unit_Costs[[#This Row],[Routine maintenance]]+Entity_Unit_Costs[[#This Row],[Planned maintenance]])/Entity_Unit_Costs[[#This Row],[Closing social housing units managed]],"")</f>
        <v>1.2700348432055748</v>
      </c>
      <c r="L225" s="193">
        <v>1241</v>
      </c>
      <c r="M225" s="193">
        <v>1675</v>
      </c>
      <c r="N225" s="194">
        <f>IF(Entity_Unit_Costs[[#This Row],[Closing social housing units managed]]&gt;0,(Entity_Unit_Costs[[#This Row],[Major repairs expenditure]]+Entity_Unit_Costs[[#This Row],[Capitalised major repairs expenditure for period]])/Entity_Unit_Costs[[#This Row],[Closing social housing units managed]],"")</f>
        <v>0.58275261324041816</v>
      </c>
      <c r="O225" s="193">
        <v>0</v>
      </c>
      <c r="P225" s="193">
        <v>1338</v>
      </c>
      <c r="Q22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0.35670731707317072</v>
      </c>
      <c r="R225" s="193">
        <v>232</v>
      </c>
      <c r="S225" s="193">
        <v>0</v>
      </c>
      <c r="T225" s="193">
        <v>587</v>
      </c>
      <c r="U225" s="193">
        <v>0</v>
      </c>
      <c r="V225" s="195">
        <v>0</v>
      </c>
      <c r="W225" s="183">
        <v>2.8155795401220087E-3</v>
      </c>
      <c r="X225" s="183">
        <v>8.6813702487095259E-2</v>
      </c>
      <c r="Y225" s="184" t="s">
        <v>1257</v>
      </c>
      <c r="Z225" s="185">
        <v>34379</v>
      </c>
      <c r="AA225" s="186" t="s">
        <v>1268</v>
      </c>
      <c r="AB225" s="187" t="s">
        <v>1259</v>
      </c>
      <c r="AC225" s="188">
        <v>1.0118524159776632</v>
      </c>
      <c r="AD225" s="186" t="s">
        <v>639</v>
      </c>
      <c r="AE225" s="187" t="s">
        <v>640</v>
      </c>
    </row>
    <row r="226" spans="1:31" x14ac:dyDescent="0.2">
      <c r="A226" s="189" t="s">
        <v>641</v>
      </c>
      <c r="B226" s="190" t="s">
        <v>642</v>
      </c>
      <c r="C226" s="191" t="s">
        <v>200</v>
      </c>
      <c r="D226" s="192">
        <v>7339</v>
      </c>
      <c r="E22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26365</v>
      </c>
      <c r="F226" s="194">
        <f>IF(Entity_Unit_Costs[[#This Row],[Closing social housing units managed]]&gt;0,Entity_Unit_Costs[[#This Row],[Headline Social Housing Cost]]/Entity_Unit_Costs[[#This Row],[Closing social housing units managed]],"")</f>
        <v>3.5924512876413681</v>
      </c>
      <c r="G226" s="194">
        <f>IF(Entity_Unit_Costs[[#This Row],[Closing social housing units managed]]&gt;0,Entity_Unit_Costs[[#This Row],[Management]]/Entity_Unit_Costs[[#This Row],[Closing social housing units managed]],"")</f>
        <v>0.80746695735113772</v>
      </c>
      <c r="H226" s="193">
        <v>5926</v>
      </c>
      <c r="I226" s="194">
        <f>IF(Entity_Unit_Costs[[#This Row],[Closing social housing units managed]]&gt;0,Entity_Unit_Costs[[#This Row],[Service charge costs]]/Entity_Unit_Costs[[#This Row],[Closing social housing units managed]],"")</f>
        <v>0.35563428259980923</v>
      </c>
      <c r="J226" s="193">
        <v>2610</v>
      </c>
      <c r="K226" s="194">
        <f>IF(Entity_Unit_Costs[[#This Row],[Closing social housing units managed]]&gt;0,(Entity_Unit_Costs[[#This Row],[Routine maintenance]]+Entity_Unit_Costs[[#This Row],[Planned maintenance]])/Entity_Unit_Costs[[#This Row],[Closing social housing units managed]],"")</f>
        <v>1.8084207657719036</v>
      </c>
      <c r="L226" s="193">
        <v>9251</v>
      </c>
      <c r="M226" s="193">
        <v>4021</v>
      </c>
      <c r="N226" s="194">
        <f>IF(Entity_Unit_Costs[[#This Row],[Closing social housing units managed]]&gt;0,(Entity_Unit_Costs[[#This Row],[Major repairs expenditure]]+Entity_Unit_Costs[[#This Row],[Capitalised major repairs expenditure for period]])/Entity_Unit_Costs[[#This Row],[Closing social housing units managed]],"")</f>
        <v>0.56356451832674748</v>
      </c>
      <c r="O226" s="193">
        <v>0</v>
      </c>
      <c r="P226" s="193">
        <v>4136</v>
      </c>
      <c r="Q22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5.7364763591769993E-2</v>
      </c>
      <c r="R226" s="193">
        <v>6</v>
      </c>
      <c r="S226" s="193">
        <v>4</v>
      </c>
      <c r="T226" s="193">
        <v>0</v>
      </c>
      <c r="U226" s="193">
        <v>131</v>
      </c>
      <c r="V226" s="195">
        <v>280</v>
      </c>
      <c r="W226" s="183">
        <v>1.2475741613529249E-3</v>
      </c>
      <c r="X226" s="183">
        <v>4.3942334349875239E-2</v>
      </c>
      <c r="Y226" s="184" t="s">
        <v>1257</v>
      </c>
      <c r="Z226" s="185">
        <v>33253</v>
      </c>
      <c r="AA226" s="186" t="s">
        <v>1268</v>
      </c>
      <c r="AB226" s="187" t="s">
        <v>1259</v>
      </c>
      <c r="AC226" s="188">
        <v>1.0118417562287947</v>
      </c>
      <c r="AD226" s="186" t="s">
        <v>1228</v>
      </c>
      <c r="AE226" s="187" t="s">
        <v>300</v>
      </c>
    </row>
    <row r="227" spans="1:31" x14ac:dyDescent="0.2">
      <c r="A227" s="189" t="s">
        <v>157</v>
      </c>
      <c r="B227" s="190" t="s">
        <v>156</v>
      </c>
      <c r="C227" s="196" t="s">
        <v>200</v>
      </c>
      <c r="D227" s="192">
        <v>1094</v>
      </c>
      <c r="E22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2457</v>
      </c>
      <c r="F227" s="194">
        <f>IF(Entity_Unit_Costs[[#This Row],[Closing social housing units managed]]&gt;0,Entity_Unit_Costs[[#This Row],[Headline Social Housing Cost]]/Entity_Unit_Costs[[#This Row],[Closing social housing units managed]],"")</f>
        <v>2.2458866544789764</v>
      </c>
      <c r="G227" s="194">
        <f>IF(Entity_Unit_Costs[[#This Row],[Closing social housing units managed]]&gt;0,Entity_Unit_Costs[[#This Row],[Management]]/Entity_Unit_Costs[[#This Row],[Closing social housing units managed]],"")</f>
        <v>0.58775137111517373</v>
      </c>
      <c r="H227" s="193">
        <v>643</v>
      </c>
      <c r="I227" s="194">
        <f>IF(Entity_Unit_Costs[[#This Row],[Closing social housing units managed]]&gt;0,Entity_Unit_Costs[[#This Row],[Service charge costs]]/Entity_Unit_Costs[[#This Row],[Closing social housing units managed]],"")</f>
        <v>0.12888482632541134</v>
      </c>
      <c r="J227" s="193">
        <v>141</v>
      </c>
      <c r="K227" s="194">
        <f>IF(Entity_Unit_Costs[[#This Row],[Closing social housing units managed]]&gt;0,(Entity_Unit_Costs[[#This Row],[Routine maintenance]]+Entity_Unit_Costs[[#This Row],[Planned maintenance]])/Entity_Unit_Costs[[#This Row],[Closing social housing units managed]],"")</f>
        <v>0.7074954296160878</v>
      </c>
      <c r="L227" s="193">
        <v>571</v>
      </c>
      <c r="M227" s="193">
        <v>203</v>
      </c>
      <c r="N227" s="194">
        <f>IF(Entity_Unit_Costs[[#This Row],[Closing social housing units managed]]&gt;0,(Entity_Unit_Costs[[#This Row],[Major repairs expenditure]]+Entity_Unit_Costs[[#This Row],[Capitalised major repairs expenditure for period]])/Entity_Unit_Costs[[#This Row],[Closing social housing units managed]],"")</f>
        <v>0.82175502742230344</v>
      </c>
      <c r="O227" s="193">
        <v>96</v>
      </c>
      <c r="P227" s="193">
        <v>803</v>
      </c>
      <c r="Q22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v>
      </c>
      <c r="R227" s="193">
        <v>0</v>
      </c>
      <c r="S227" s="193">
        <v>0</v>
      </c>
      <c r="T227" s="193">
        <v>0</v>
      </c>
      <c r="U227" s="193">
        <v>0</v>
      </c>
      <c r="V227" s="195">
        <v>0</v>
      </c>
      <c r="W227" s="183">
        <v>0</v>
      </c>
      <c r="X227" s="183">
        <v>5.7065217391304345E-2</v>
      </c>
      <c r="Y227" s="184" t="s">
        <v>1256</v>
      </c>
      <c r="Z227" s="185"/>
      <c r="AA227" s="186" t="s">
        <v>1279</v>
      </c>
      <c r="AB227" s="187" t="s">
        <v>1264</v>
      </c>
      <c r="AC227" s="188">
        <v>0.94807909763407583</v>
      </c>
      <c r="AD227" s="186" t="s">
        <v>1235</v>
      </c>
      <c r="AE227" s="187" t="s">
        <v>96</v>
      </c>
    </row>
    <row r="228" spans="1:31" x14ac:dyDescent="0.2">
      <c r="A228" s="189" t="s">
        <v>645</v>
      </c>
      <c r="B228" s="190" t="s">
        <v>644</v>
      </c>
      <c r="C228" s="191" t="s">
        <v>200</v>
      </c>
      <c r="D228" s="192">
        <v>6009</v>
      </c>
      <c r="E22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15723</v>
      </c>
      <c r="F228" s="194">
        <f>IF(Entity_Unit_Costs[[#This Row],[Closing social housing units managed]]&gt;0,Entity_Unit_Costs[[#This Row],[Headline Social Housing Cost]]/Entity_Unit_Costs[[#This Row],[Closing social housing units managed]],"")</f>
        <v>2.6165751372940589</v>
      </c>
      <c r="G228" s="194">
        <f>IF(Entity_Unit_Costs[[#This Row],[Closing social housing units managed]]&gt;0,Entity_Unit_Costs[[#This Row],[Management]]/Entity_Unit_Costs[[#This Row],[Closing social housing units managed]],"")</f>
        <v>0.92511233150274585</v>
      </c>
      <c r="H228" s="193">
        <v>5559</v>
      </c>
      <c r="I228" s="194">
        <f>IF(Entity_Unit_Costs[[#This Row],[Closing social housing units managed]]&gt;0,Entity_Unit_Costs[[#This Row],[Service charge costs]]/Entity_Unit_Costs[[#This Row],[Closing social housing units managed]],"")</f>
        <v>0.22582792477949742</v>
      </c>
      <c r="J228" s="193">
        <v>1357</v>
      </c>
      <c r="K228" s="194">
        <f>IF(Entity_Unit_Costs[[#This Row],[Closing social housing units managed]]&gt;0,(Entity_Unit_Costs[[#This Row],[Routine maintenance]]+Entity_Unit_Costs[[#This Row],[Planned maintenance]])/Entity_Unit_Costs[[#This Row],[Closing social housing units managed]],"")</f>
        <v>0.93776002662672653</v>
      </c>
      <c r="L228" s="193">
        <v>5324</v>
      </c>
      <c r="M228" s="193">
        <v>311</v>
      </c>
      <c r="N228" s="194">
        <f>IF(Entity_Unit_Costs[[#This Row],[Closing social housing units managed]]&gt;0,(Entity_Unit_Costs[[#This Row],[Major repairs expenditure]]+Entity_Unit_Costs[[#This Row],[Capitalised major repairs expenditure for period]])/Entity_Unit_Costs[[#This Row],[Closing social housing units managed]],"")</f>
        <v>0.38775170577467133</v>
      </c>
      <c r="O228" s="193">
        <v>363</v>
      </c>
      <c r="P228" s="193">
        <v>1967</v>
      </c>
      <c r="Q22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0.14012314861041772</v>
      </c>
      <c r="R228" s="193">
        <v>58</v>
      </c>
      <c r="S228" s="193">
        <v>186</v>
      </c>
      <c r="T228" s="193">
        <v>598</v>
      </c>
      <c r="U228" s="193">
        <v>0</v>
      </c>
      <c r="V228" s="195">
        <v>0</v>
      </c>
      <c r="W228" s="183">
        <v>2.5658338960162053E-2</v>
      </c>
      <c r="X228" s="183">
        <v>0.11478730587440918</v>
      </c>
      <c r="Y228" s="184" t="s">
        <v>1257</v>
      </c>
      <c r="Z228" s="185">
        <v>38124</v>
      </c>
      <c r="AA228" s="186" t="s">
        <v>1268</v>
      </c>
      <c r="AB228" s="187" t="s">
        <v>1263</v>
      </c>
      <c r="AC228" s="188">
        <v>1.0022399874355168</v>
      </c>
      <c r="AD228" s="186" t="s">
        <v>645</v>
      </c>
      <c r="AE228" s="187" t="s">
        <v>644</v>
      </c>
    </row>
    <row r="229" spans="1:31" x14ac:dyDescent="0.2">
      <c r="A229" s="197">
        <v>4609</v>
      </c>
      <c r="B229" s="190" t="s">
        <v>158</v>
      </c>
      <c r="C229" s="196" t="s">
        <v>200</v>
      </c>
      <c r="D229" s="192">
        <v>8353</v>
      </c>
      <c r="E22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47191</v>
      </c>
      <c r="F229" s="194">
        <f>IF(Entity_Unit_Costs[[#This Row],[Closing social housing units managed]]&gt;0,Entity_Unit_Costs[[#This Row],[Headline Social Housing Cost]]/Entity_Unit_Costs[[#This Row],[Closing social housing units managed]],"")</f>
        <v>5.6495869747396146</v>
      </c>
      <c r="G229" s="194">
        <f>IF(Entity_Unit_Costs[[#This Row],[Closing social housing units managed]]&gt;0,Entity_Unit_Costs[[#This Row],[Management]]/Entity_Unit_Costs[[#This Row],[Closing social housing units managed]],"")</f>
        <v>1.1145696157069316</v>
      </c>
      <c r="H229" s="193">
        <v>9310</v>
      </c>
      <c r="I229" s="194">
        <f>IF(Entity_Unit_Costs[[#This Row],[Closing social housing units managed]]&gt;0,Entity_Unit_Costs[[#This Row],[Service charge costs]]/Entity_Unit_Costs[[#This Row],[Closing social housing units managed]],"")</f>
        <v>0.22638572967796</v>
      </c>
      <c r="J229" s="193">
        <v>1891</v>
      </c>
      <c r="K229" s="194">
        <f>IF(Entity_Unit_Costs[[#This Row],[Closing social housing units managed]]&gt;0,(Entity_Unit_Costs[[#This Row],[Routine maintenance]]+Entity_Unit_Costs[[#This Row],[Planned maintenance]])/Entity_Unit_Costs[[#This Row],[Closing social housing units managed]],"")</f>
        <v>1.2448222195618341</v>
      </c>
      <c r="L229" s="193">
        <v>7210</v>
      </c>
      <c r="M229" s="193">
        <v>3188</v>
      </c>
      <c r="N229" s="194">
        <f>IF(Entity_Unit_Costs[[#This Row],[Closing social housing units managed]]&gt;0,(Entity_Unit_Costs[[#This Row],[Major repairs expenditure]]+Entity_Unit_Costs[[#This Row],[Capitalised major repairs expenditure for period]])/Entity_Unit_Costs[[#This Row],[Closing social housing units managed]],"")</f>
        <v>1.8531066682628996</v>
      </c>
      <c r="O229" s="193">
        <v>4057</v>
      </c>
      <c r="P229" s="193">
        <v>11422</v>
      </c>
      <c r="Q22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1.2107027415299891</v>
      </c>
      <c r="R229" s="193">
        <v>6270</v>
      </c>
      <c r="S229" s="193">
        <v>0</v>
      </c>
      <c r="T229" s="193">
        <v>3723</v>
      </c>
      <c r="U229" s="193">
        <v>120</v>
      </c>
      <c r="V229" s="195">
        <v>0</v>
      </c>
      <c r="W229" s="183">
        <v>1.2929486412067521E-2</v>
      </c>
      <c r="X229" s="183">
        <v>3.9865916437208188E-2</v>
      </c>
      <c r="Y229" s="184" t="s">
        <v>1257</v>
      </c>
      <c r="Z229" s="185">
        <v>42086</v>
      </c>
      <c r="AA229" s="186" t="s">
        <v>1269</v>
      </c>
      <c r="AB229" s="187" t="s">
        <v>1262</v>
      </c>
      <c r="AC229" s="188">
        <v>0.9156653862445665</v>
      </c>
      <c r="AD229" s="186">
        <v>4609</v>
      </c>
      <c r="AE229" s="187" t="s">
        <v>158</v>
      </c>
    </row>
    <row r="230" spans="1:31" x14ac:dyDescent="0.2">
      <c r="A230" s="189" t="s">
        <v>646</v>
      </c>
      <c r="B230" s="190" t="s">
        <v>647</v>
      </c>
      <c r="C230" s="191" t="s">
        <v>200</v>
      </c>
      <c r="D230" s="192">
        <v>1694</v>
      </c>
      <c r="E23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32257</v>
      </c>
      <c r="F230" s="194">
        <f>IF(Entity_Unit_Costs[[#This Row],[Closing social housing units managed]]&gt;0,Entity_Unit_Costs[[#This Row],[Headline Social Housing Cost]]/Entity_Unit_Costs[[#This Row],[Closing social housing units managed]],"")</f>
        <v>19.041912632821724</v>
      </c>
      <c r="G230" s="194">
        <f>IF(Entity_Unit_Costs[[#This Row],[Closing social housing units managed]]&gt;0,Entity_Unit_Costs[[#This Row],[Management]]/Entity_Unit_Costs[[#This Row],[Closing social housing units managed]],"")</f>
        <v>2.5318772136953953</v>
      </c>
      <c r="H230" s="193">
        <v>4289</v>
      </c>
      <c r="I230" s="194">
        <f>IF(Entity_Unit_Costs[[#This Row],[Closing social housing units managed]]&gt;0,Entity_Unit_Costs[[#This Row],[Service charge costs]]/Entity_Unit_Costs[[#This Row],[Closing social housing units managed]],"")</f>
        <v>5.9917355371900829</v>
      </c>
      <c r="J230" s="193">
        <v>10150</v>
      </c>
      <c r="K230" s="194">
        <f>IF(Entity_Unit_Costs[[#This Row],[Closing social housing units managed]]&gt;0,(Entity_Unit_Costs[[#This Row],[Routine maintenance]]+Entity_Unit_Costs[[#This Row],[Planned maintenance]])/Entity_Unit_Costs[[#This Row],[Closing social housing units managed]],"")</f>
        <v>1.7083825265643446</v>
      </c>
      <c r="L230" s="193">
        <v>2460</v>
      </c>
      <c r="M230" s="193">
        <v>434</v>
      </c>
      <c r="N230" s="194">
        <f>IF(Entity_Unit_Costs[[#This Row],[Closing social housing units managed]]&gt;0,(Entity_Unit_Costs[[#This Row],[Major repairs expenditure]]+Entity_Unit_Costs[[#This Row],[Capitalised major repairs expenditure for period]])/Entity_Unit_Costs[[#This Row],[Closing social housing units managed]],"")</f>
        <v>1.4846517119244391</v>
      </c>
      <c r="O230" s="193">
        <v>1039</v>
      </c>
      <c r="P230" s="193">
        <v>1476</v>
      </c>
      <c r="Q23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7.3252656434474614</v>
      </c>
      <c r="R230" s="193">
        <v>114</v>
      </c>
      <c r="S230" s="193">
        <v>10803</v>
      </c>
      <c r="T230" s="193">
        <v>1492</v>
      </c>
      <c r="U230" s="193">
        <v>0</v>
      </c>
      <c r="V230" s="195">
        <v>0</v>
      </c>
      <c r="W230" s="183">
        <v>0.52977777777777779</v>
      </c>
      <c r="X230" s="183">
        <v>0.10488888888888889</v>
      </c>
      <c r="Y230" s="184" t="s">
        <v>1256</v>
      </c>
      <c r="Z230" s="185"/>
      <c r="AA230" s="186" t="s">
        <v>1279</v>
      </c>
      <c r="AB230" s="187" t="s">
        <v>1258</v>
      </c>
      <c r="AC230" s="188">
        <v>1.0196147143072907</v>
      </c>
      <c r="AD230" s="186" t="s">
        <v>646</v>
      </c>
      <c r="AE230" s="187" t="s">
        <v>647</v>
      </c>
    </row>
    <row r="231" spans="1:31" x14ac:dyDescent="0.2">
      <c r="A231" s="197">
        <v>4684</v>
      </c>
      <c r="B231" s="190" t="s">
        <v>649</v>
      </c>
      <c r="C231" s="196" t="s">
        <v>200</v>
      </c>
      <c r="D231" s="192">
        <v>0</v>
      </c>
      <c r="E23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11078</v>
      </c>
      <c r="F231" s="194" t="str">
        <f>IF(Entity_Unit_Costs[[#This Row],[Closing social housing units managed]]&gt;0,Entity_Unit_Costs[[#This Row],[Headline Social Housing Cost]]/Entity_Unit_Costs[[#This Row],[Closing social housing units managed]],"")</f>
        <v/>
      </c>
      <c r="G231" s="194" t="str">
        <f>IF(Entity_Unit_Costs[[#This Row],[Closing social housing units managed]]&gt;0,Entity_Unit_Costs[[#This Row],[Management]]/Entity_Unit_Costs[[#This Row],[Closing social housing units managed]],"")</f>
        <v/>
      </c>
      <c r="H231" s="193">
        <v>2760</v>
      </c>
      <c r="I231" s="194" t="str">
        <f>IF(Entity_Unit_Costs[[#This Row],[Closing social housing units managed]]&gt;0,Entity_Unit_Costs[[#This Row],[Service charge costs]]/Entity_Unit_Costs[[#This Row],[Closing social housing units managed]],"")</f>
        <v/>
      </c>
      <c r="J231" s="193">
        <v>3054</v>
      </c>
      <c r="K231" s="194" t="str">
        <f>IF(Entity_Unit_Costs[[#This Row],[Closing social housing units managed]]&gt;0,(Entity_Unit_Costs[[#This Row],[Routine maintenance]]+Entity_Unit_Costs[[#This Row],[Planned maintenance]])/Entity_Unit_Costs[[#This Row],[Closing social housing units managed]],"")</f>
        <v/>
      </c>
      <c r="L231" s="193">
        <v>1331</v>
      </c>
      <c r="M231" s="193">
        <v>426</v>
      </c>
      <c r="N231" s="194" t="str">
        <f>IF(Entity_Unit_Costs[[#This Row],[Closing social housing units managed]]&gt;0,(Entity_Unit_Costs[[#This Row],[Major repairs expenditure]]+Entity_Unit_Costs[[#This Row],[Capitalised major repairs expenditure for period]])/Entity_Unit_Costs[[#This Row],[Closing social housing units managed]],"")</f>
        <v/>
      </c>
      <c r="O231" s="193">
        <v>0</v>
      </c>
      <c r="P231" s="193">
        <v>2392</v>
      </c>
      <c r="Q231" s="194" t="str">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
      </c>
      <c r="R231" s="193">
        <v>5</v>
      </c>
      <c r="S231" s="193">
        <v>615</v>
      </c>
      <c r="T231" s="193">
        <v>73</v>
      </c>
      <c r="U231" s="193">
        <v>422</v>
      </c>
      <c r="V231" s="195">
        <v>0</v>
      </c>
      <c r="W231" s="183">
        <v>9.9882491186839006E-3</v>
      </c>
      <c r="X231" s="183">
        <v>0</v>
      </c>
      <c r="Y231" s="184" t="s">
        <v>1256</v>
      </c>
      <c r="Z231" s="185"/>
      <c r="AA231" s="186" t="s">
        <v>1279</v>
      </c>
      <c r="AB231" s="187" t="s">
        <v>1258</v>
      </c>
      <c r="AC231" s="188">
        <v>0.99493233957298055</v>
      </c>
      <c r="AD231" s="186" t="s">
        <v>650</v>
      </c>
      <c r="AE231" s="187" t="s">
        <v>651</v>
      </c>
    </row>
    <row r="232" spans="1:31" x14ac:dyDescent="0.2">
      <c r="A232" s="189" t="s">
        <v>650</v>
      </c>
      <c r="B232" s="190" t="s">
        <v>651</v>
      </c>
      <c r="C232" s="196" t="s">
        <v>200</v>
      </c>
      <c r="D232" s="192">
        <v>72517</v>
      </c>
      <c r="E23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269800</v>
      </c>
      <c r="F232" s="194">
        <f>IF(Entity_Unit_Costs[[#This Row],[Closing social housing units managed]]&gt;0,Entity_Unit_Costs[[#This Row],[Headline Social Housing Cost]]/Entity_Unit_Costs[[#This Row],[Closing social housing units managed]],"")</f>
        <v>3.7205069156197856</v>
      </c>
      <c r="G232" s="194">
        <f>IF(Entity_Unit_Costs[[#This Row],[Closing social housing units managed]]&gt;0,Entity_Unit_Costs[[#This Row],[Management]]/Entity_Unit_Costs[[#This Row],[Closing social housing units managed]],"")</f>
        <v>0.68673552408400784</v>
      </c>
      <c r="H232" s="193">
        <v>49800</v>
      </c>
      <c r="I232" s="194">
        <f>IF(Entity_Unit_Costs[[#This Row],[Closing social housing units managed]]&gt;0,Entity_Unit_Costs[[#This Row],[Service charge costs]]/Entity_Unit_Costs[[#This Row],[Closing social housing units managed]],"")</f>
        <v>0.52263607154184533</v>
      </c>
      <c r="J232" s="193">
        <v>37900</v>
      </c>
      <c r="K232" s="194">
        <f>IF(Entity_Unit_Costs[[#This Row],[Closing social housing units managed]]&gt;0,(Entity_Unit_Costs[[#This Row],[Routine maintenance]]+Entity_Unit_Costs[[#This Row],[Planned maintenance]])/Entity_Unit_Costs[[#This Row],[Closing social housing units managed]],"")</f>
        <v>1.2603941144835005</v>
      </c>
      <c r="L232" s="193">
        <v>64700</v>
      </c>
      <c r="M232" s="193">
        <v>26700</v>
      </c>
      <c r="N232" s="194">
        <f>IF(Entity_Unit_Costs[[#This Row],[Closing social housing units managed]]&gt;0,(Entity_Unit_Costs[[#This Row],[Major repairs expenditure]]+Entity_Unit_Costs[[#This Row],[Capitalised major repairs expenditure for period]])/Entity_Unit_Costs[[#This Row],[Closing social housing units managed]],"")</f>
        <v>0.72672614697243409</v>
      </c>
      <c r="O232" s="193">
        <v>0</v>
      </c>
      <c r="P232" s="193">
        <v>52700</v>
      </c>
      <c r="Q23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0.52401505853799801</v>
      </c>
      <c r="R232" s="193">
        <v>5000</v>
      </c>
      <c r="S232" s="193">
        <v>13800</v>
      </c>
      <c r="T232" s="193">
        <v>13500</v>
      </c>
      <c r="U232" s="193">
        <v>5700</v>
      </c>
      <c r="V232" s="195">
        <v>0</v>
      </c>
      <c r="W232" s="183">
        <v>5.2046199914444605E-2</v>
      </c>
      <c r="X232" s="183">
        <v>0.15208897761300441</v>
      </c>
      <c r="Y232" s="184" t="s">
        <v>1256</v>
      </c>
      <c r="Z232" s="185"/>
      <c r="AA232" s="186" t="s">
        <v>1279</v>
      </c>
      <c r="AB232" s="187" t="s">
        <v>1258</v>
      </c>
      <c r="AC232" s="188">
        <v>0.99170835501072618</v>
      </c>
      <c r="AD232" s="186" t="s">
        <v>650</v>
      </c>
      <c r="AE232" s="187" t="s">
        <v>651</v>
      </c>
    </row>
    <row r="233" spans="1:31" x14ac:dyDescent="0.2">
      <c r="A233" s="189" t="s">
        <v>655</v>
      </c>
      <c r="B233" s="190" t="s">
        <v>654</v>
      </c>
      <c r="C233" s="196" t="s">
        <v>200</v>
      </c>
      <c r="D233" s="192">
        <v>5975</v>
      </c>
      <c r="E23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22308</v>
      </c>
      <c r="F233" s="194">
        <f>IF(Entity_Unit_Costs[[#This Row],[Closing social housing units managed]]&gt;0,Entity_Unit_Costs[[#This Row],[Headline Social Housing Cost]]/Entity_Unit_Costs[[#This Row],[Closing social housing units managed]],"")</f>
        <v>3.7335564853556487</v>
      </c>
      <c r="G233" s="194">
        <f>IF(Entity_Unit_Costs[[#This Row],[Closing social housing units managed]]&gt;0,Entity_Unit_Costs[[#This Row],[Management]]/Entity_Unit_Costs[[#This Row],[Closing social housing units managed]],"")</f>
        <v>0.6035146443514644</v>
      </c>
      <c r="H233" s="193">
        <v>3606</v>
      </c>
      <c r="I233" s="194">
        <f>IF(Entity_Unit_Costs[[#This Row],[Closing social housing units managed]]&gt;0,Entity_Unit_Costs[[#This Row],[Service charge costs]]/Entity_Unit_Costs[[#This Row],[Closing social housing units managed]],"")</f>
        <v>0.91782426778242676</v>
      </c>
      <c r="J233" s="193">
        <v>5484</v>
      </c>
      <c r="K233" s="194">
        <f>IF(Entity_Unit_Costs[[#This Row],[Closing social housing units managed]]&gt;0,(Entity_Unit_Costs[[#This Row],[Routine maintenance]]+Entity_Unit_Costs[[#This Row],[Planned maintenance]])/Entity_Unit_Costs[[#This Row],[Closing social housing units managed]],"")</f>
        <v>0.92887029288702927</v>
      </c>
      <c r="L233" s="193">
        <v>3563</v>
      </c>
      <c r="M233" s="193">
        <v>1987</v>
      </c>
      <c r="N233" s="194">
        <f>IF(Entity_Unit_Costs[[#This Row],[Closing social housing units managed]]&gt;0,(Entity_Unit_Costs[[#This Row],[Major repairs expenditure]]+Entity_Unit_Costs[[#This Row],[Capitalised major repairs expenditure for period]])/Entity_Unit_Costs[[#This Row],[Closing social housing units managed]],"")</f>
        <v>1.0165690376569039</v>
      </c>
      <c r="O233" s="193">
        <v>1259</v>
      </c>
      <c r="P233" s="193">
        <v>4815</v>
      </c>
      <c r="Q23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0.2667782426778243</v>
      </c>
      <c r="R233" s="193">
        <v>1594</v>
      </c>
      <c r="S233" s="193">
        <v>0</v>
      </c>
      <c r="T233" s="193">
        <v>0</v>
      </c>
      <c r="U233" s="193">
        <v>0</v>
      </c>
      <c r="V233" s="195">
        <v>0</v>
      </c>
      <c r="W233" s="183">
        <v>1.1172224132004124E-2</v>
      </c>
      <c r="X233" s="183">
        <v>0.24767961498796837</v>
      </c>
      <c r="Y233" s="184" t="s">
        <v>1257</v>
      </c>
      <c r="Z233" s="185">
        <v>36871</v>
      </c>
      <c r="AA233" s="186" t="s">
        <v>1268</v>
      </c>
      <c r="AB233" s="187" t="s">
        <v>1259</v>
      </c>
      <c r="AC233" s="188">
        <v>1.0118524159776632</v>
      </c>
      <c r="AD233" s="186" t="s">
        <v>655</v>
      </c>
      <c r="AE233" s="187" t="s">
        <v>654</v>
      </c>
    </row>
    <row r="234" spans="1:31" x14ac:dyDescent="0.2">
      <c r="A234" s="189" t="s">
        <v>658</v>
      </c>
      <c r="B234" s="190" t="s">
        <v>657</v>
      </c>
      <c r="C234" s="191" t="s">
        <v>200</v>
      </c>
      <c r="D234" s="192">
        <v>6066</v>
      </c>
      <c r="E23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17500</v>
      </c>
      <c r="F234" s="194">
        <f>IF(Entity_Unit_Costs[[#This Row],[Closing social housing units managed]]&gt;0,Entity_Unit_Costs[[#This Row],[Headline Social Housing Cost]]/Entity_Unit_Costs[[#This Row],[Closing social housing units managed]],"")</f>
        <v>2.884932410154962</v>
      </c>
      <c r="G234" s="194">
        <f>IF(Entity_Unit_Costs[[#This Row],[Closing social housing units managed]]&gt;0,Entity_Unit_Costs[[#This Row],[Management]]/Entity_Unit_Costs[[#This Row],[Closing social housing units managed]],"")</f>
        <v>0.69419716452357405</v>
      </c>
      <c r="H234" s="193">
        <v>4211</v>
      </c>
      <c r="I234" s="194">
        <f>IF(Entity_Unit_Costs[[#This Row],[Closing social housing units managed]]&gt;0,Entity_Unit_Costs[[#This Row],[Service charge costs]]/Entity_Unit_Costs[[#This Row],[Closing social housing units managed]],"")</f>
        <v>0.33086053412462907</v>
      </c>
      <c r="J234" s="193">
        <v>2007</v>
      </c>
      <c r="K234" s="194">
        <f>IF(Entity_Unit_Costs[[#This Row],[Closing social housing units managed]]&gt;0,(Entity_Unit_Costs[[#This Row],[Routine maintenance]]+Entity_Unit_Costs[[#This Row],[Planned maintenance]])/Entity_Unit_Costs[[#This Row],[Closing social housing units managed]],"")</f>
        <v>1.014507088691065</v>
      </c>
      <c r="L234" s="193">
        <v>4188</v>
      </c>
      <c r="M234" s="193">
        <v>1966</v>
      </c>
      <c r="N234" s="194">
        <f>IF(Entity_Unit_Costs[[#This Row],[Closing social housing units managed]]&gt;0,(Entity_Unit_Costs[[#This Row],[Major repairs expenditure]]+Entity_Unit_Costs[[#This Row],[Capitalised major repairs expenditure for period]])/Entity_Unit_Costs[[#This Row],[Closing social housing units managed]],"")</f>
        <v>0.75420375865479727</v>
      </c>
      <c r="O234" s="193">
        <v>2363</v>
      </c>
      <c r="P234" s="193">
        <v>2212</v>
      </c>
      <c r="Q23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9.1163864160896807E-2</v>
      </c>
      <c r="R234" s="193">
        <v>0</v>
      </c>
      <c r="S234" s="193">
        <v>90</v>
      </c>
      <c r="T234" s="193">
        <v>0</v>
      </c>
      <c r="U234" s="193">
        <v>463</v>
      </c>
      <c r="V234" s="195">
        <v>0</v>
      </c>
      <c r="W234" s="183">
        <v>1.1704582921200132E-2</v>
      </c>
      <c r="X234" s="183">
        <v>0.24464226838114078</v>
      </c>
      <c r="Y234" s="184" t="s">
        <v>1257</v>
      </c>
      <c r="Z234" s="185">
        <v>36976</v>
      </c>
      <c r="AA234" s="186" t="s">
        <v>1268</v>
      </c>
      <c r="AB234" s="187" t="s">
        <v>1265</v>
      </c>
      <c r="AC234" s="188">
        <v>0.96617455710897804</v>
      </c>
      <c r="AD234" s="186" t="s">
        <v>658</v>
      </c>
      <c r="AE234" s="187" t="s">
        <v>657</v>
      </c>
    </row>
    <row r="235" spans="1:31" x14ac:dyDescent="0.2">
      <c r="A235" s="189" t="s">
        <v>661</v>
      </c>
      <c r="B235" s="190" t="s">
        <v>660</v>
      </c>
      <c r="C235" s="191" t="s">
        <v>200</v>
      </c>
      <c r="D235" s="192">
        <v>9415</v>
      </c>
      <c r="E23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27639</v>
      </c>
      <c r="F235" s="194">
        <f>IF(Entity_Unit_Costs[[#This Row],[Closing social housing units managed]]&gt;0,Entity_Unit_Costs[[#This Row],[Headline Social Housing Cost]]/Entity_Unit_Costs[[#This Row],[Closing social housing units managed]],"")</f>
        <v>2.935634625597451</v>
      </c>
      <c r="G235" s="194">
        <f>IF(Entity_Unit_Costs[[#This Row],[Closing social housing units managed]]&gt;0,Entity_Unit_Costs[[#This Row],[Management]]/Entity_Unit_Costs[[#This Row],[Closing social housing units managed]],"")</f>
        <v>0.68677642060541688</v>
      </c>
      <c r="H235" s="193">
        <v>6466</v>
      </c>
      <c r="I235" s="194">
        <f>IF(Entity_Unit_Costs[[#This Row],[Closing social housing units managed]]&gt;0,Entity_Unit_Costs[[#This Row],[Service charge costs]]/Entity_Unit_Costs[[#This Row],[Closing social housing units managed]],"")</f>
        <v>0.21784386617100371</v>
      </c>
      <c r="J235" s="193">
        <v>2051</v>
      </c>
      <c r="K235" s="194">
        <f>IF(Entity_Unit_Costs[[#This Row],[Closing social housing units managed]]&gt;0,(Entity_Unit_Costs[[#This Row],[Routine maintenance]]+Entity_Unit_Costs[[#This Row],[Planned maintenance]])/Entity_Unit_Costs[[#This Row],[Closing social housing units managed]],"")</f>
        <v>0.76919808815719592</v>
      </c>
      <c r="L235" s="193">
        <v>5097</v>
      </c>
      <c r="M235" s="193">
        <v>2145</v>
      </c>
      <c r="N235" s="194">
        <f>IF(Entity_Unit_Costs[[#This Row],[Closing social housing units managed]]&gt;0,(Entity_Unit_Costs[[#This Row],[Major repairs expenditure]]+Entity_Unit_Costs[[#This Row],[Capitalised major repairs expenditure for period]])/Entity_Unit_Costs[[#This Row],[Closing social housing units managed]],"")</f>
        <v>1.0720127456186936</v>
      </c>
      <c r="O235" s="193">
        <v>3521</v>
      </c>
      <c r="P235" s="193">
        <v>6572</v>
      </c>
      <c r="Q23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0.18980350504514074</v>
      </c>
      <c r="R235" s="193">
        <v>487</v>
      </c>
      <c r="S235" s="193">
        <v>255</v>
      </c>
      <c r="T235" s="193">
        <v>0</v>
      </c>
      <c r="U235" s="193">
        <v>1045</v>
      </c>
      <c r="V235" s="195">
        <v>0</v>
      </c>
      <c r="W235" s="183">
        <v>5.6424997338443521E-3</v>
      </c>
      <c r="X235" s="183">
        <v>4.3862450761205152E-2</v>
      </c>
      <c r="Y235" s="184" t="s">
        <v>1257</v>
      </c>
      <c r="Z235" s="185">
        <v>34778</v>
      </c>
      <c r="AA235" s="186" t="s">
        <v>1268</v>
      </c>
      <c r="AB235" s="187" t="s">
        <v>1259</v>
      </c>
      <c r="AC235" s="188">
        <v>1.0118524159776632</v>
      </c>
      <c r="AD235" s="186" t="s">
        <v>661</v>
      </c>
      <c r="AE235" s="187" t="s">
        <v>660</v>
      </c>
    </row>
    <row r="236" spans="1:31" x14ac:dyDescent="0.2">
      <c r="A236" s="189" t="s">
        <v>662</v>
      </c>
      <c r="B236" s="190" t="s">
        <v>663</v>
      </c>
      <c r="C236" s="196" t="s">
        <v>200</v>
      </c>
      <c r="D236" s="192">
        <v>2149</v>
      </c>
      <c r="E23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5545</v>
      </c>
      <c r="F236" s="194">
        <f>IF(Entity_Unit_Costs[[#This Row],[Closing social housing units managed]]&gt;0,Entity_Unit_Costs[[#This Row],[Headline Social Housing Cost]]/Entity_Unit_Costs[[#This Row],[Closing social housing units managed]],"")</f>
        <v>2.580269892973476</v>
      </c>
      <c r="G236" s="194">
        <f>IF(Entity_Unit_Costs[[#This Row],[Closing social housing units managed]]&gt;0,Entity_Unit_Costs[[#This Row],[Management]]/Entity_Unit_Costs[[#This Row],[Closing social housing units managed]],"")</f>
        <v>0.78036295951605394</v>
      </c>
      <c r="H236" s="193">
        <v>1677</v>
      </c>
      <c r="I236" s="194">
        <f>IF(Entity_Unit_Costs[[#This Row],[Closing social housing units managed]]&gt;0,Entity_Unit_Costs[[#This Row],[Service charge costs]]/Entity_Unit_Costs[[#This Row],[Closing social housing units managed]],"")</f>
        <v>0.5151233131689158</v>
      </c>
      <c r="J236" s="193">
        <v>1107</v>
      </c>
      <c r="K236" s="194">
        <f>IF(Entity_Unit_Costs[[#This Row],[Closing social housing units managed]]&gt;0,(Entity_Unit_Costs[[#This Row],[Routine maintenance]]+Entity_Unit_Costs[[#This Row],[Planned maintenance]])/Entity_Unit_Costs[[#This Row],[Closing social housing units managed]],"")</f>
        <v>0.88832014890646815</v>
      </c>
      <c r="L236" s="193">
        <v>1770</v>
      </c>
      <c r="M236" s="193">
        <v>139</v>
      </c>
      <c r="N236" s="194">
        <f>IF(Entity_Unit_Costs[[#This Row],[Closing social housing units managed]]&gt;0,(Entity_Unit_Costs[[#This Row],[Major repairs expenditure]]+Entity_Unit_Costs[[#This Row],[Capitalised major repairs expenditure for period]])/Entity_Unit_Costs[[#This Row],[Closing social housing units managed]],"")</f>
        <v>0.38529548627268495</v>
      </c>
      <c r="O236" s="193">
        <v>736</v>
      </c>
      <c r="P236" s="193">
        <v>92</v>
      </c>
      <c r="Q23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1.1167985109353188E-2</v>
      </c>
      <c r="R236" s="193">
        <v>0</v>
      </c>
      <c r="S236" s="193">
        <v>0</v>
      </c>
      <c r="T236" s="193">
        <v>24</v>
      </c>
      <c r="U236" s="193">
        <v>0</v>
      </c>
      <c r="V236" s="195">
        <v>0</v>
      </c>
      <c r="W236" s="183">
        <v>0</v>
      </c>
      <c r="X236" s="183">
        <v>0.34152215799614644</v>
      </c>
      <c r="Y236" s="184" t="s">
        <v>1257</v>
      </c>
      <c r="Z236" s="185">
        <v>39419</v>
      </c>
      <c r="AA236" s="186" t="s">
        <v>1280</v>
      </c>
      <c r="AB236" s="187" t="s">
        <v>1261</v>
      </c>
      <c r="AC236" s="188">
        <v>0.92038375847935383</v>
      </c>
      <c r="AD236" s="186" t="s">
        <v>1253</v>
      </c>
      <c r="AE236" s="187" t="s">
        <v>822</v>
      </c>
    </row>
    <row r="237" spans="1:31" x14ac:dyDescent="0.2">
      <c r="A237" s="189" t="s">
        <v>666</v>
      </c>
      <c r="B237" s="190" t="s">
        <v>665</v>
      </c>
      <c r="C237" s="196" t="s">
        <v>200</v>
      </c>
      <c r="D237" s="192">
        <v>3593</v>
      </c>
      <c r="E23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9669</v>
      </c>
      <c r="F237" s="194">
        <f>IF(Entity_Unit_Costs[[#This Row],[Closing social housing units managed]]&gt;0,Entity_Unit_Costs[[#This Row],[Headline Social Housing Cost]]/Entity_Unit_Costs[[#This Row],[Closing social housing units managed]],"")</f>
        <v>2.6910659615919843</v>
      </c>
      <c r="G237" s="194">
        <f>IF(Entity_Unit_Costs[[#This Row],[Closing social housing units managed]]&gt;0,Entity_Unit_Costs[[#This Row],[Management]]/Entity_Unit_Costs[[#This Row],[Closing social housing units managed]],"")</f>
        <v>1.2463122738658503</v>
      </c>
      <c r="H237" s="193">
        <v>4478</v>
      </c>
      <c r="I237" s="194">
        <f>IF(Entity_Unit_Costs[[#This Row],[Closing social housing units managed]]&gt;0,Entity_Unit_Costs[[#This Row],[Service charge costs]]/Entity_Unit_Costs[[#This Row],[Closing social housing units managed]],"")</f>
        <v>0.26635123851934317</v>
      </c>
      <c r="J237" s="193">
        <v>957</v>
      </c>
      <c r="K237" s="194">
        <f>IF(Entity_Unit_Costs[[#This Row],[Closing social housing units managed]]&gt;0,(Entity_Unit_Costs[[#This Row],[Routine maintenance]]+Entity_Unit_Costs[[#This Row],[Planned maintenance]])/Entity_Unit_Costs[[#This Row],[Closing social housing units managed]],"")</f>
        <v>0.89535207347620371</v>
      </c>
      <c r="L237" s="193">
        <v>2219</v>
      </c>
      <c r="M237" s="193">
        <v>998</v>
      </c>
      <c r="N237" s="194">
        <f>IF(Entity_Unit_Costs[[#This Row],[Closing social housing units managed]]&gt;0,(Entity_Unit_Costs[[#This Row],[Major repairs expenditure]]+Entity_Unit_Costs[[#This Row],[Capitalised major repairs expenditure for period]])/Entity_Unit_Costs[[#This Row],[Closing social housing units managed]],"")</f>
        <v>0.26690787642638464</v>
      </c>
      <c r="O237" s="193">
        <v>0</v>
      </c>
      <c r="P237" s="193">
        <v>959</v>
      </c>
      <c r="Q23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1.6142499304202616E-2</v>
      </c>
      <c r="R237" s="193">
        <v>0</v>
      </c>
      <c r="S237" s="193">
        <v>0</v>
      </c>
      <c r="T237" s="193">
        <v>58</v>
      </c>
      <c r="U237" s="193">
        <v>0</v>
      </c>
      <c r="V237" s="195">
        <v>0</v>
      </c>
      <c r="W237" s="183">
        <v>0</v>
      </c>
      <c r="X237" s="183">
        <v>0.1248630887185104</v>
      </c>
      <c r="Y237" s="184" t="s">
        <v>1257</v>
      </c>
      <c r="Z237" s="185">
        <v>35912</v>
      </c>
      <c r="AA237" s="186" t="s">
        <v>1268</v>
      </c>
      <c r="AB237" s="187" t="s">
        <v>1265</v>
      </c>
      <c r="AC237" s="188">
        <v>0.96617455710897793</v>
      </c>
      <c r="AD237" s="186" t="s">
        <v>666</v>
      </c>
      <c r="AE237" s="187" t="s">
        <v>665</v>
      </c>
    </row>
    <row r="238" spans="1:31" x14ac:dyDescent="0.2">
      <c r="A238" s="189" t="s">
        <v>667</v>
      </c>
      <c r="B238" s="190" t="s">
        <v>668</v>
      </c>
      <c r="C238" s="191" t="s">
        <v>200</v>
      </c>
      <c r="D238" s="192">
        <v>5705</v>
      </c>
      <c r="E23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16058</v>
      </c>
      <c r="F238" s="194">
        <f>IF(Entity_Unit_Costs[[#This Row],[Closing social housing units managed]]&gt;0,Entity_Unit_Costs[[#This Row],[Headline Social Housing Cost]]/Entity_Unit_Costs[[#This Row],[Closing social housing units managed]],"")</f>
        <v>2.8147239263803683</v>
      </c>
      <c r="G238" s="194">
        <f>IF(Entity_Unit_Costs[[#This Row],[Closing social housing units managed]]&gt;0,Entity_Unit_Costs[[#This Row],[Management]]/Entity_Unit_Costs[[#This Row],[Closing social housing units managed]],"")</f>
        <v>0.33374233128834357</v>
      </c>
      <c r="H238" s="193">
        <v>1904</v>
      </c>
      <c r="I238" s="194">
        <f>IF(Entity_Unit_Costs[[#This Row],[Closing social housing units managed]]&gt;0,Entity_Unit_Costs[[#This Row],[Service charge costs]]/Entity_Unit_Costs[[#This Row],[Closing social housing units managed]],"")</f>
        <v>0.1481156879929886</v>
      </c>
      <c r="J238" s="193">
        <v>845</v>
      </c>
      <c r="K238" s="194">
        <f>IF(Entity_Unit_Costs[[#This Row],[Closing social housing units managed]]&gt;0,(Entity_Unit_Costs[[#This Row],[Routine maintenance]]+Entity_Unit_Costs[[#This Row],[Planned maintenance]])/Entity_Unit_Costs[[#This Row],[Closing social housing units managed]],"")</f>
        <v>0.95530236634531118</v>
      </c>
      <c r="L238" s="193">
        <v>3298</v>
      </c>
      <c r="M238" s="193">
        <v>2152</v>
      </c>
      <c r="N238" s="194">
        <f>IF(Entity_Unit_Costs[[#This Row],[Closing social housing units managed]]&gt;0,(Entity_Unit_Costs[[#This Row],[Major repairs expenditure]]+Entity_Unit_Costs[[#This Row],[Capitalised major repairs expenditure for period]])/Entity_Unit_Costs[[#This Row],[Closing social housing units managed]],"")</f>
        <v>0.41402278702892198</v>
      </c>
      <c r="O238" s="193">
        <v>0</v>
      </c>
      <c r="P238" s="193">
        <v>2362</v>
      </c>
      <c r="Q23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0.96354075372480286</v>
      </c>
      <c r="R238" s="193">
        <v>0</v>
      </c>
      <c r="S238" s="193">
        <v>5405</v>
      </c>
      <c r="T238" s="193">
        <v>92</v>
      </c>
      <c r="U238" s="193">
        <v>0</v>
      </c>
      <c r="V238" s="195">
        <v>0</v>
      </c>
      <c r="W238" s="183">
        <v>5.4377379010331697E-4</v>
      </c>
      <c r="X238" s="183">
        <v>0.10386079390973355</v>
      </c>
      <c r="Y238" s="184" t="s">
        <v>1257</v>
      </c>
      <c r="Z238" s="185">
        <v>37165</v>
      </c>
      <c r="AA238" s="186" t="s">
        <v>1268</v>
      </c>
      <c r="AB238" s="187" t="s">
        <v>1260</v>
      </c>
      <c r="AC238" s="188">
        <v>0.9157155816938729</v>
      </c>
      <c r="AD238" s="186" t="s">
        <v>1249</v>
      </c>
      <c r="AE238" s="187" t="s">
        <v>753</v>
      </c>
    </row>
    <row r="239" spans="1:31" x14ac:dyDescent="0.2">
      <c r="A239" s="189" t="s">
        <v>671</v>
      </c>
      <c r="B239" s="190" t="s">
        <v>670</v>
      </c>
      <c r="C239" s="191" t="s">
        <v>200</v>
      </c>
      <c r="D239" s="192">
        <v>4643</v>
      </c>
      <c r="E23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22086</v>
      </c>
      <c r="F239" s="194">
        <f>IF(Entity_Unit_Costs[[#This Row],[Closing social housing units managed]]&gt;0,Entity_Unit_Costs[[#This Row],[Headline Social Housing Cost]]/Entity_Unit_Costs[[#This Row],[Closing social housing units managed]],"")</f>
        <v>4.7568382511307341</v>
      </c>
      <c r="G239" s="194">
        <f>IF(Entity_Unit_Costs[[#This Row],[Closing social housing units managed]]&gt;0,Entity_Unit_Costs[[#This Row],[Management]]/Entity_Unit_Costs[[#This Row],[Closing social housing units managed]],"")</f>
        <v>0.91341804867542542</v>
      </c>
      <c r="H239" s="193">
        <v>4241</v>
      </c>
      <c r="I239" s="194">
        <f>IF(Entity_Unit_Costs[[#This Row],[Closing social housing units managed]]&gt;0,Entity_Unit_Costs[[#This Row],[Service charge costs]]/Entity_Unit_Costs[[#This Row],[Closing social housing units managed]],"")</f>
        <v>0.59379711393495582</v>
      </c>
      <c r="J239" s="193">
        <v>2757</v>
      </c>
      <c r="K239" s="194">
        <f>IF(Entity_Unit_Costs[[#This Row],[Closing social housing units managed]]&gt;0,(Entity_Unit_Costs[[#This Row],[Routine maintenance]]+Entity_Unit_Costs[[#This Row],[Planned maintenance]])/Entity_Unit_Costs[[#This Row],[Closing social housing units managed]],"")</f>
        <v>1.9431402110704286</v>
      </c>
      <c r="L239" s="193">
        <v>4200</v>
      </c>
      <c r="M239" s="193">
        <v>4822</v>
      </c>
      <c r="N239" s="194">
        <f>IF(Entity_Unit_Costs[[#This Row],[Closing social housing units managed]]&gt;0,(Entity_Unit_Costs[[#This Row],[Major repairs expenditure]]+Entity_Unit_Costs[[#This Row],[Capitalised major repairs expenditure for period]])/Entity_Unit_Costs[[#This Row],[Closing social housing units managed]],"")</f>
        <v>0.55761361188886494</v>
      </c>
      <c r="O239" s="193">
        <v>0</v>
      </c>
      <c r="P239" s="193">
        <v>2589</v>
      </c>
      <c r="Q23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0.7488692655610597</v>
      </c>
      <c r="R239" s="193">
        <v>359</v>
      </c>
      <c r="S239" s="193">
        <v>174</v>
      </c>
      <c r="T239" s="193">
        <v>0</v>
      </c>
      <c r="U239" s="193">
        <v>339</v>
      </c>
      <c r="V239" s="195">
        <v>2605</v>
      </c>
      <c r="W239" s="183">
        <v>6.3343242625200094E-2</v>
      </c>
      <c r="X239" s="183">
        <v>1.9208781157100389E-2</v>
      </c>
      <c r="Y239" s="184" t="s">
        <v>1256</v>
      </c>
      <c r="Z239" s="185"/>
      <c r="AA239" s="186" t="s">
        <v>1279</v>
      </c>
      <c r="AB239" s="187" t="s">
        <v>1267</v>
      </c>
      <c r="AC239" s="188">
        <v>1.2475257351940872</v>
      </c>
      <c r="AD239" s="186" t="s">
        <v>671</v>
      </c>
      <c r="AE239" s="187" t="s">
        <v>670</v>
      </c>
    </row>
    <row r="240" spans="1:31" x14ac:dyDescent="0.2">
      <c r="A240" s="189" t="s">
        <v>674</v>
      </c>
      <c r="B240" s="190" t="s">
        <v>673</v>
      </c>
      <c r="C240" s="196" t="s">
        <v>200</v>
      </c>
      <c r="D240" s="192">
        <v>7967</v>
      </c>
      <c r="E24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25795</v>
      </c>
      <c r="F240" s="194">
        <f>IF(Entity_Unit_Costs[[#This Row],[Closing social housing units managed]]&gt;0,Entity_Unit_Costs[[#This Row],[Headline Social Housing Cost]]/Entity_Unit_Costs[[#This Row],[Closing social housing units managed]],"")</f>
        <v>3.2377306388854024</v>
      </c>
      <c r="G240" s="194">
        <f>IF(Entity_Unit_Costs[[#This Row],[Closing social housing units managed]]&gt;0,Entity_Unit_Costs[[#This Row],[Management]]/Entity_Unit_Costs[[#This Row],[Closing social housing units managed]],"")</f>
        <v>1.1614158403414083</v>
      </c>
      <c r="H240" s="193">
        <v>9253</v>
      </c>
      <c r="I240" s="194">
        <f>IF(Entity_Unit_Costs[[#This Row],[Closing social housing units managed]]&gt;0,Entity_Unit_Costs[[#This Row],[Service charge costs]]/Entity_Unit_Costs[[#This Row],[Closing social housing units managed]],"")</f>
        <v>0.16254550018827665</v>
      </c>
      <c r="J240" s="193">
        <v>1295</v>
      </c>
      <c r="K240" s="194">
        <f>IF(Entity_Unit_Costs[[#This Row],[Closing social housing units managed]]&gt;0,(Entity_Unit_Costs[[#This Row],[Routine maintenance]]+Entity_Unit_Costs[[#This Row],[Planned maintenance]])/Entity_Unit_Costs[[#This Row],[Closing social housing units managed]],"")</f>
        <v>0.60913769298355713</v>
      </c>
      <c r="L240" s="193">
        <v>3717</v>
      </c>
      <c r="M240" s="193">
        <v>1136</v>
      </c>
      <c r="N240" s="194">
        <f>IF(Entity_Unit_Costs[[#This Row],[Closing social housing units managed]]&gt;0,(Entity_Unit_Costs[[#This Row],[Major repairs expenditure]]+Entity_Unit_Costs[[#This Row],[Capitalised major repairs expenditure for period]])/Entity_Unit_Costs[[#This Row],[Closing social housing units managed]],"")</f>
        <v>1.2637128153633739</v>
      </c>
      <c r="O240" s="193">
        <v>483</v>
      </c>
      <c r="P240" s="193">
        <v>9585</v>
      </c>
      <c r="Q24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4.0918790008786246E-2</v>
      </c>
      <c r="R240" s="193">
        <v>326</v>
      </c>
      <c r="S240" s="193">
        <v>0</v>
      </c>
      <c r="T240" s="193">
        <v>0</v>
      </c>
      <c r="U240" s="193">
        <v>0</v>
      </c>
      <c r="V240" s="195">
        <v>0</v>
      </c>
      <c r="W240" s="183">
        <v>3.2610058948952716E-3</v>
      </c>
      <c r="X240" s="183">
        <v>0.13558259124545341</v>
      </c>
      <c r="Y240" s="184" t="s">
        <v>1257</v>
      </c>
      <c r="Z240" s="185">
        <v>38432</v>
      </c>
      <c r="AA240" s="186" t="s">
        <v>1268</v>
      </c>
      <c r="AB240" s="187" t="s">
        <v>1264</v>
      </c>
      <c r="AC240" s="188">
        <v>0.94806171416737062</v>
      </c>
      <c r="AD240" s="186" t="s">
        <v>674</v>
      </c>
      <c r="AE240" s="187" t="s">
        <v>673</v>
      </c>
    </row>
    <row r="241" spans="1:31" x14ac:dyDescent="0.2">
      <c r="A241" s="189" t="s">
        <v>675</v>
      </c>
      <c r="B241" s="190" t="s">
        <v>676</v>
      </c>
      <c r="C241" s="196" t="s">
        <v>200</v>
      </c>
      <c r="D241" s="192">
        <v>6322</v>
      </c>
      <c r="E24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18794</v>
      </c>
      <c r="F241" s="194">
        <f>IF(Entity_Unit_Costs[[#This Row],[Closing social housing units managed]]&gt;0,Entity_Unit_Costs[[#This Row],[Headline Social Housing Cost]]/Entity_Unit_Costs[[#This Row],[Closing social housing units managed]],"")</f>
        <v>2.9727934198038595</v>
      </c>
      <c r="G241" s="194">
        <f>IF(Entity_Unit_Costs[[#This Row],[Closing social housing units managed]]&gt;0,Entity_Unit_Costs[[#This Row],[Management]]/Entity_Unit_Costs[[#This Row],[Closing social housing units managed]],"")</f>
        <v>0.41901297057893072</v>
      </c>
      <c r="H241" s="193">
        <v>2649</v>
      </c>
      <c r="I241" s="194">
        <f>IF(Entity_Unit_Costs[[#This Row],[Closing social housing units managed]]&gt;0,Entity_Unit_Costs[[#This Row],[Service charge costs]]/Entity_Unit_Costs[[#This Row],[Closing social housing units managed]],"")</f>
        <v>0.23837393229990508</v>
      </c>
      <c r="J241" s="193">
        <v>1507</v>
      </c>
      <c r="K241" s="194">
        <f>IF(Entity_Unit_Costs[[#This Row],[Closing social housing units managed]]&gt;0,(Entity_Unit_Costs[[#This Row],[Routine maintenance]]+Entity_Unit_Costs[[#This Row],[Planned maintenance]])/Entity_Unit_Costs[[#This Row],[Closing social housing units managed]],"")</f>
        <v>1.5234103131920278</v>
      </c>
      <c r="L241" s="193">
        <v>5595</v>
      </c>
      <c r="M241" s="193">
        <v>4036</v>
      </c>
      <c r="N241" s="194">
        <f>IF(Entity_Unit_Costs[[#This Row],[Closing social housing units managed]]&gt;0,(Entity_Unit_Costs[[#This Row],[Major repairs expenditure]]+Entity_Unit_Costs[[#This Row],[Capitalised major repairs expenditure for period]])/Entity_Unit_Costs[[#This Row],[Closing social housing units managed]],"")</f>
        <v>0.60281556469471687</v>
      </c>
      <c r="O241" s="193">
        <v>0</v>
      </c>
      <c r="P241" s="193">
        <v>3811</v>
      </c>
      <c r="Q24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0.18918063903827903</v>
      </c>
      <c r="R241" s="193">
        <v>0</v>
      </c>
      <c r="S241" s="193">
        <v>0</v>
      </c>
      <c r="T241" s="193">
        <v>620</v>
      </c>
      <c r="U241" s="193">
        <v>576</v>
      </c>
      <c r="V241" s="195">
        <v>0</v>
      </c>
      <c r="W241" s="183">
        <v>5.0457269000315358E-3</v>
      </c>
      <c r="X241" s="183">
        <v>0.10438347524440239</v>
      </c>
      <c r="Y241" s="184" t="s">
        <v>1257</v>
      </c>
      <c r="Z241" s="185">
        <v>35618</v>
      </c>
      <c r="AA241" s="186" t="s">
        <v>1268</v>
      </c>
      <c r="AB241" s="187" t="s">
        <v>1259</v>
      </c>
      <c r="AC241" s="188">
        <v>1.0100518065930573</v>
      </c>
      <c r="AD241" s="186" t="s">
        <v>675</v>
      </c>
      <c r="AE241" s="187" t="s">
        <v>676</v>
      </c>
    </row>
    <row r="242" spans="1:31" x14ac:dyDescent="0.2">
      <c r="A242" s="189" t="s">
        <v>161</v>
      </c>
      <c r="B242" s="190" t="s">
        <v>160</v>
      </c>
      <c r="C242" s="196" t="s">
        <v>200</v>
      </c>
      <c r="D242" s="192">
        <v>1145</v>
      </c>
      <c r="E24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4027</v>
      </c>
      <c r="F242" s="194">
        <f>IF(Entity_Unit_Costs[[#This Row],[Closing social housing units managed]]&gt;0,Entity_Unit_Costs[[#This Row],[Headline Social Housing Cost]]/Entity_Unit_Costs[[#This Row],[Closing social housing units managed]],"")</f>
        <v>3.5170305676855893</v>
      </c>
      <c r="G242" s="194">
        <f>IF(Entity_Unit_Costs[[#This Row],[Closing social housing units managed]]&gt;0,Entity_Unit_Costs[[#This Row],[Management]]/Entity_Unit_Costs[[#This Row],[Closing social housing units managed]],"")</f>
        <v>1.3170305676855896</v>
      </c>
      <c r="H242" s="193">
        <v>1508</v>
      </c>
      <c r="I242" s="194">
        <f>IF(Entity_Unit_Costs[[#This Row],[Closing social housing units managed]]&gt;0,Entity_Unit_Costs[[#This Row],[Service charge costs]]/Entity_Unit_Costs[[#This Row],[Closing social housing units managed]],"")</f>
        <v>0.18165938864628822</v>
      </c>
      <c r="J242" s="193">
        <v>208</v>
      </c>
      <c r="K242" s="194">
        <f>IF(Entity_Unit_Costs[[#This Row],[Closing social housing units managed]]&gt;0,(Entity_Unit_Costs[[#This Row],[Routine maintenance]]+Entity_Unit_Costs[[#This Row],[Planned maintenance]])/Entity_Unit_Costs[[#This Row],[Closing social housing units managed]],"")</f>
        <v>1.3615720524017467</v>
      </c>
      <c r="L242" s="193">
        <v>475</v>
      </c>
      <c r="M242" s="193">
        <v>1084</v>
      </c>
      <c r="N242" s="194">
        <f>IF(Entity_Unit_Costs[[#This Row],[Closing social housing units managed]]&gt;0,(Entity_Unit_Costs[[#This Row],[Major repairs expenditure]]+Entity_Unit_Costs[[#This Row],[Capitalised major repairs expenditure for period]])/Entity_Unit_Costs[[#This Row],[Closing social housing units managed]],"")</f>
        <v>0.53275109170305679</v>
      </c>
      <c r="O242" s="193">
        <v>168</v>
      </c>
      <c r="P242" s="193">
        <v>442</v>
      </c>
      <c r="Q24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0.1240174672489083</v>
      </c>
      <c r="R242" s="193">
        <v>51</v>
      </c>
      <c r="S242" s="193">
        <v>60</v>
      </c>
      <c r="T242" s="193">
        <v>31</v>
      </c>
      <c r="U242" s="193">
        <v>0</v>
      </c>
      <c r="V242" s="195">
        <v>0</v>
      </c>
      <c r="W242" s="183">
        <v>0.11435523114355231</v>
      </c>
      <c r="X242" s="183">
        <v>0</v>
      </c>
      <c r="Y242" s="184" t="s">
        <v>1256</v>
      </c>
      <c r="Z242" s="185"/>
      <c r="AA242" s="186" t="s">
        <v>1279</v>
      </c>
      <c r="AB242" s="187" t="s">
        <v>1265</v>
      </c>
      <c r="AC242" s="188">
        <v>0.96617455710897793</v>
      </c>
      <c r="AD242" s="186" t="s">
        <v>161</v>
      </c>
      <c r="AE242" s="187" t="s">
        <v>160</v>
      </c>
    </row>
    <row r="243" spans="1:31" x14ac:dyDescent="0.2">
      <c r="A243" s="197">
        <v>4686</v>
      </c>
      <c r="B243" s="190" t="s">
        <v>162</v>
      </c>
      <c r="C243" s="196" t="s">
        <v>200</v>
      </c>
      <c r="D243" s="192">
        <v>3093</v>
      </c>
      <c r="E24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12959</v>
      </c>
      <c r="F243" s="194">
        <f>IF(Entity_Unit_Costs[[#This Row],[Closing social housing units managed]]&gt;0,Entity_Unit_Costs[[#This Row],[Headline Social Housing Cost]]/Entity_Unit_Costs[[#This Row],[Closing social housing units managed]],"")</f>
        <v>4.1897833818299386</v>
      </c>
      <c r="G243" s="194">
        <f>IF(Entity_Unit_Costs[[#This Row],[Closing social housing units managed]]&gt;0,Entity_Unit_Costs[[#This Row],[Management]]/Entity_Unit_Costs[[#This Row],[Closing social housing units managed]],"")</f>
        <v>1.1393469123827999</v>
      </c>
      <c r="H243" s="193">
        <v>3524</v>
      </c>
      <c r="I243" s="194">
        <f>IF(Entity_Unit_Costs[[#This Row],[Closing social housing units managed]]&gt;0,Entity_Unit_Costs[[#This Row],[Service charge costs]]/Entity_Unit_Costs[[#This Row],[Closing social housing units managed]],"")</f>
        <v>0.16521176850953767</v>
      </c>
      <c r="J243" s="193">
        <v>511</v>
      </c>
      <c r="K243" s="194">
        <f>IF(Entity_Unit_Costs[[#This Row],[Closing social housing units managed]]&gt;0,(Entity_Unit_Costs[[#This Row],[Routine maintenance]]+Entity_Unit_Costs[[#This Row],[Planned maintenance]])/Entity_Unit_Costs[[#This Row],[Closing social housing units managed]],"")</f>
        <v>0.96378920142256708</v>
      </c>
      <c r="L243" s="193">
        <v>1820</v>
      </c>
      <c r="M243" s="193">
        <v>1161</v>
      </c>
      <c r="N243" s="194">
        <f>IF(Entity_Unit_Costs[[#This Row],[Closing social housing units managed]]&gt;0,(Entity_Unit_Costs[[#This Row],[Major repairs expenditure]]+Entity_Unit_Costs[[#This Row],[Capitalised major repairs expenditure for period]])/Entity_Unit_Costs[[#This Row],[Closing social housing units managed]],"")</f>
        <v>1.8079534432589719</v>
      </c>
      <c r="O243" s="193">
        <v>0</v>
      </c>
      <c r="P243" s="193">
        <v>5592</v>
      </c>
      <c r="Q24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0.11348205625606207</v>
      </c>
      <c r="R243" s="193">
        <v>0</v>
      </c>
      <c r="S243" s="193">
        <v>0</v>
      </c>
      <c r="T243" s="193">
        <v>351</v>
      </c>
      <c r="U243" s="193">
        <v>0</v>
      </c>
      <c r="V243" s="195">
        <v>0</v>
      </c>
      <c r="W243" s="183">
        <v>0</v>
      </c>
      <c r="X243" s="183">
        <v>0.13921188630490955</v>
      </c>
      <c r="Y243" s="184" t="s">
        <v>1257</v>
      </c>
      <c r="Z243" s="185">
        <v>40973</v>
      </c>
      <c r="AA243" s="186" t="s">
        <v>1269</v>
      </c>
      <c r="AB243" s="187" t="s">
        <v>1262</v>
      </c>
      <c r="AC243" s="188">
        <v>0.91566538624456639</v>
      </c>
      <c r="AD243" s="186">
        <v>4686</v>
      </c>
      <c r="AE243" s="187" t="s">
        <v>162</v>
      </c>
    </row>
    <row r="244" spans="1:31" x14ac:dyDescent="0.2">
      <c r="A244" s="189" t="s">
        <v>680</v>
      </c>
      <c r="B244" s="190" t="s">
        <v>679</v>
      </c>
      <c r="C244" s="196" t="s">
        <v>200</v>
      </c>
      <c r="D244" s="192">
        <v>3748</v>
      </c>
      <c r="E24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12911</v>
      </c>
      <c r="F244" s="194">
        <f>IF(Entity_Unit_Costs[[#This Row],[Closing social housing units managed]]&gt;0,Entity_Unit_Costs[[#This Row],[Headline Social Housing Cost]]/Entity_Unit_Costs[[#This Row],[Closing social housing units managed]],"")</f>
        <v>3.4447705442902881</v>
      </c>
      <c r="G244" s="194">
        <f>IF(Entity_Unit_Costs[[#This Row],[Closing social housing units managed]]&gt;0,Entity_Unit_Costs[[#This Row],[Management]]/Entity_Unit_Costs[[#This Row],[Closing social housing units managed]],"")</f>
        <v>1.2705442902881536</v>
      </c>
      <c r="H244" s="193">
        <v>4762</v>
      </c>
      <c r="I244" s="194">
        <f>IF(Entity_Unit_Costs[[#This Row],[Closing social housing units managed]]&gt;0,Entity_Unit_Costs[[#This Row],[Service charge costs]]/Entity_Unit_Costs[[#This Row],[Closing social housing units managed]],"")</f>
        <v>0.19877267876200641</v>
      </c>
      <c r="J244" s="193">
        <v>745</v>
      </c>
      <c r="K244" s="194">
        <f>IF(Entity_Unit_Costs[[#This Row],[Closing social housing units managed]]&gt;0,(Entity_Unit_Costs[[#This Row],[Routine maintenance]]+Entity_Unit_Costs[[#This Row],[Planned maintenance]])/Entity_Unit_Costs[[#This Row],[Closing social housing units managed]],"")</f>
        <v>1.0885805763073639</v>
      </c>
      <c r="L244" s="193">
        <v>2392</v>
      </c>
      <c r="M244" s="193">
        <v>1688</v>
      </c>
      <c r="N244" s="194">
        <f>IF(Entity_Unit_Costs[[#This Row],[Closing social housing units managed]]&gt;0,(Entity_Unit_Costs[[#This Row],[Major repairs expenditure]]+Entity_Unit_Costs[[#This Row],[Capitalised major repairs expenditure for period]])/Entity_Unit_Costs[[#This Row],[Closing social housing units managed]],"")</f>
        <v>0.80176093916755597</v>
      </c>
      <c r="O244" s="193">
        <v>589</v>
      </c>
      <c r="P244" s="193">
        <v>2416</v>
      </c>
      <c r="Q24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8.5112059765208109E-2</v>
      </c>
      <c r="R244" s="193">
        <v>0</v>
      </c>
      <c r="S244" s="193">
        <v>0</v>
      </c>
      <c r="T244" s="193">
        <v>319</v>
      </c>
      <c r="U244" s="193">
        <v>0</v>
      </c>
      <c r="V244" s="195">
        <v>0</v>
      </c>
      <c r="W244" s="183">
        <v>8.0042689434364994E-4</v>
      </c>
      <c r="X244" s="183">
        <v>3.1483457844183563E-2</v>
      </c>
      <c r="Y244" s="184" t="s">
        <v>1257</v>
      </c>
      <c r="Z244" s="185">
        <v>36437</v>
      </c>
      <c r="AA244" s="186" t="s">
        <v>1268</v>
      </c>
      <c r="AB244" s="187" t="s">
        <v>1262</v>
      </c>
      <c r="AC244" s="188">
        <v>0.91566538624456639</v>
      </c>
      <c r="AD244" s="186" t="s">
        <v>680</v>
      </c>
      <c r="AE244" s="187" t="s">
        <v>679</v>
      </c>
    </row>
    <row r="245" spans="1:31" x14ac:dyDescent="0.2">
      <c r="A245" s="189" t="s">
        <v>681</v>
      </c>
      <c r="B245" s="190" t="s">
        <v>682</v>
      </c>
      <c r="C245" s="196" t="s">
        <v>200</v>
      </c>
      <c r="D245" s="192">
        <v>3196</v>
      </c>
      <c r="E24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13130</v>
      </c>
      <c r="F245" s="194">
        <f>IF(Entity_Unit_Costs[[#This Row],[Closing social housing units managed]]&gt;0,Entity_Unit_Costs[[#This Row],[Headline Social Housing Cost]]/Entity_Unit_Costs[[#This Row],[Closing social housing units managed]],"")</f>
        <v>4.108260325406758</v>
      </c>
      <c r="G245" s="194">
        <f>IF(Entity_Unit_Costs[[#This Row],[Closing social housing units managed]]&gt;0,Entity_Unit_Costs[[#This Row],[Management]]/Entity_Unit_Costs[[#This Row],[Closing social housing units managed]],"")</f>
        <v>0.9712140175219024</v>
      </c>
      <c r="H245" s="193">
        <v>3104</v>
      </c>
      <c r="I245" s="194">
        <f>IF(Entity_Unit_Costs[[#This Row],[Closing social housing units managed]]&gt;0,Entity_Unit_Costs[[#This Row],[Service charge costs]]/Entity_Unit_Costs[[#This Row],[Closing social housing units managed]],"")</f>
        <v>0</v>
      </c>
      <c r="J245" s="193">
        <v>0</v>
      </c>
      <c r="K245" s="194">
        <f>IF(Entity_Unit_Costs[[#This Row],[Closing social housing units managed]]&gt;0,(Entity_Unit_Costs[[#This Row],[Routine maintenance]]+Entity_Unit_Costs[[#This Row],[Planned maintenance]])/Entity_Unit_Costs[[#This Row],[Closing social housing units managed]],"")</f>
        <v>1.2462453066332917</v>
      </c>
      <c r="L245" s="193">
        <v>2905</v>
      </c>
      <c r="M245" s="193">
        <v>1078</v>
      </c>
      <c r="N245" s="194">
        <f>IF(Entity_Unit_Costs[[#This Row],[Closing social housing units managed]]&gt;0,(Entity_Unit_Costs[[#This Row],[Major repairs expenditure]]+Entity_Unit_Costs[[#This Row],[Capitalised major repairs expenditure for period]])/Entity_Unit_Costs[[#This Row],[Closing social housing units managed]],"")</f>
        <v>1.4749687108886107</v>
      </c>
      <c r="O245" s="193">
        <v>2204</v>
      </c>
      <c r="P245" s="193">
        <v>2510</v>
      </c>
      <c r="Q24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0.41583229036295372</v>
      </c>
      <c r="R245" s="193">
        <v>100</v>
      </c>
      <c r="S245" s="193">
        <v>0</v>
      </c>
      <c r="T245" s="193">
        <v>121</v>
      </c>
      <c r="U245" s="193">
        <v>1108</v>
      </c>
      <c r="V245" s="195">
        <v>0</v>
      </c>
      <c r="W245" s="183">
        <v>0</v>
      </c>
      <c r="X245" s="183">
        <v>0.27471839799749687</v>
      </c>
      <c r="Y245" s="184" t="s">
        <v>1257</v>
      </c>
      <c r="Z245" s="185">
        <v>39524</v>
      </c>
      <c r="AA245" s="186" t="s">
        <v>1280</v>
      </c>
      <c r="AB245" s="187" t="s">
        <v>1261</v>
      </c>
      <c r="AC245" s="188">
        <v>0.92038375847935383</v>
      </c>
      <c r="AD245" s="186" t="s">
        <v>1233</v>
      </c>
      <c r="AE245" s="187" t="s">
        <v>402</v>
      </c>
    </row>
    <row r="246" spans="1:31" x14ac:dyDescent="0.2">
      <c r="A246" s="189" t="s">
        <v>683</v>
      </c>
      <c r="B246" s="190" t="s">
        <v>684</v>
      </c>
      <c r="C246" s="191" t="s">
        <v>200</v>
      </c>
      <c r="D246" s="192">
        <v>2317</v>
      </c>
      <c r="E24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9242</v>
      </c>
      <c r="F246" s="194">
        <f>IF(Entity_Unit_Costs[[#This Row],[Closing social housing units managed]]&gt;0,Entity_Unit_Costs[[#This Row],[Headline Social Housing Cost]]/Entity_Unit_Costs[[#This Row],[Closing social housing units managed]],"")</f>
        <v>3.9887785930082003</v>
      </c>
      <c r="G246" s="194">
        <f>IF(Entity_Unit_Costs[[#This Row],[Closing social housing units managed]]&gt;0,Entity_Unit_Costs[[#This Row],[Management]]/Entity_Unit_Costs[[#This Row],[Closing social housing units managed]],"")</f>
        <v>0.94864048338368578</v>
      </c>
      <c r="H246" s="193">
        <v>2198</v>
      </c>
      <c r="I246" s="194">
        <f>IF(Entity_Unit_Costs[[#This Row],[Closing social housing units managed]]&gt;0,Entity_Unit_Costs[[#This Row],[Service charge costs]]/Entity_Unit_Costs[[#This Row],[Closing social housing units managed]],"")</f>
        <v>0.29089339663357788</v>
      </c>
      <c r="J246" s="193">
        <v>674</v>
      </c>
      <c r="K246" s="194">
        <f>IF(Entity_Unit_Costs[[#This Row],[Closing social housing units managed]]&gt;0,(Entity_Unit_Costs[[#This Row],[Routine maintenance]]+Entity_Unit_Costs[[#This Row],[Planned maintenance]])/Entity_Unit_Costs[[#This Row],[Closing social housing units managed]],"")</f>
        <v>1.4734570565386276</v>
      </c>
      <c r="L246" s="193">
        <v>2212</v>
      </c>
      <c r="M246" s="193">
        <v>1202</v>
      </c>
      <c r="N246" s="194">
        <f>IF(Entity_Unit_Costs[[#This Row],[Closing social housing units managed]]&gt;0,(Entity_Unit_Costs[[#This Row],[Major repairs expenditure]]+Entity_Unit_Costs[[#This Row],[Capitalised major repairs expenditure for period]])/Entity_Unit_Costs[[#This Row],[Closing social housing units managed]],"")</f>
        <v>0.83383685800604235</v>
      </c>
      <c r="O246" s="193">
        <v>0</v>
      </c>
      <c r="P246" s="193">
        <v>1932</v>
      </c>
      <c r="Q24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0.44195079844626672</v>
      </c>
      <c r="R246" s="193">
        <v>675</v>
      </c>
      <c r="S246" s="193">
        <v>340</v>
      </c>
      <c r="T246" s="193">
        <v>9</v>
      </c>
      <c r="U246" s="193">
        <v>0</v>
      </c>
      <c r="V246" s="195">
        <v>0</v>
      </c>
      <c r="W246" s="183">
        <v>1.2100259291270527E-2</v>
      </c>
      <c r="X246" s="183">
        <v>0.12402765773552291</v>
      </c>
      <c r="Y246" s="184" t="s">
        <v>1257</v>
      </c>
      <c r="Z246" s="185">
        <v>34416</v>
      </c>
      <c r="AA246" s="186" t="s">
        <v>1268</v>
      </c>
      <c r="AB246" s="187" t="s">
        <v>1260</v>
      </c>
      <c r="AC246" s="188">
        <v>0.9157155816938729</v>
      </c>
      <c r="AD246" s="186" t="s">
        <v>1229</v>
      </c>
      <c r="AE246" s="187" t="s">
        <v>867</v>
      </c>
    </row>
    <row r="247" spans="1:31" x14ac:dyDescent="0.2">
      <c r="A247" s="189" t="s">
        <v>165</v>
      </c>
      <c r="B247" s="190" t="s">
        <v>164</v>
      </c>
      <c r="C247" s="191" t="s">
        <v>200</v>
      </c>
      <c r="D247" s="192">
        <v>6044</v>
      </c>
      <c r="E24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20134</v>
      </c>
      <c r="F247" s="194">
        <f>IF(Entity_Unit_Costs[[#This Row],[Closing social housing units managed]]&gt;0,Entity_Unit_Costs[[#This Row],[Headline Social Housing Cost]]/Entity_Unit_Costs[[#This Row],[Closing social housing units managed]],"")</f>
        <v>3.3312375909993381</v>
      </c>
      <c r="G247" s="194">
        <f>IF(Entity_Unit_Costs[[#This Row],[Closing social housing units managed]]&gt;0,Entity_Unit_Costs[[#This Row],[Management]]/Entity_Unit_Costs[[#This Row],[Closing social housing units managed]],"")</f>
        <v>0.47931833223031106</v>
      </c>
      <c r="H247" s="193">
        <v>2897</v>
      </c>
      <c r="I247" s="194">
        <f>IF(Entity_Unit_Costs[[#This Row],[Closing social housing units managed]]&gt;0,Entity_Unit_Costs[[#This Row],[Service charge costs]]/Entity_Unit_Costs[[#This Row],[Closing social housing units managed]],"")</f>
        <v>0.3639973527465255</v>
      </c>
      <c r="J247" s="193">
        <v>2200</v>
      </c>
      <c r="K247" s="194">
        <f>IF(Entity_Unit_Costs[[#This Row],[Closing social housing units managed]]&gt;0,(Entity_Unit_Costs[[#This Row],[Routine maintenance]]+Entity_Unit_Costs[[#This Row],[Planned maintenance]])/Entity_Unit_Costs[[#This Row],[Closing social housing units managed]],"")</f>
        <v>1.0704831237590999</v>
      </c>
      <c r="L247" s="193">
        <v>1843</v>
      </c>
      <c r="M247" s="193">
        <v>4627</v>
      </c>
      <c r="N247" s="194">
        <f>IF(Entity_Unit_Costs[[#This Row],[Closing social housing units managed]]&gt;0,(Entity_Unit_Costs[[#This Row],[Major repairs expenditure]]+Entity_Unit_Costs[[#This Row],[Capitalised major repairs expenditure for period]])/Entity_Unit_Costs[[#This Row],[Closing social housing units managed]],"")</f>
        <v>0.6940767703507611</v>
      </c>
      <c r="O247" s="193">
        <v>0</v>
      </c>
      <c r="P247" s="193">
        <v>4195</v>
      </c>
      <c r="Q24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0.7233620119126406</v>
      </c>
      <c r="R247" s="193">
        <v>0</v>
      </c>
      <c r="S247" s="193">
        <v>3495</v>
      </c>
      <c r="T247" s="193">
        <v>877</v>
      </c>
      <c r="U247" s="193">
        <v>0</v>
      </c>
      <c r="V247" s="195">
        <v>0</v>
      </c>
      <c r="W247" s="183">
        <v>3.4981905910735828E-2</v>
      </c>
      <c r="X247" s="183">
        <v>9.5295536791314833E-2</v>
      </c>
      <c r="Y247" s="184" t="s">
        <v>1257</v>
      </c>
      <c r="Z247" s="185">
        <v>35496</v>
      </c>
      <c r="AA247" s="186" t="s">
        <v>1268</v>
      </c>
      <c r="AB247" s="187" t="s">
        <v>1260</v>
      </c>
      <c r="AC247" s="188">
        <v>0.9157155816938729</v>
      </c>
      <c r="AD247" s="186" t="s">
        <v>1249</v>
      </c>
      <c r="AE247" s="187" t="s">
        <v>753</v>
      </c>
    </row>
    <row r="248" spans="1:31" x14ac:dyDescent="0.2">
      <c r="A248" s="189" t="s">
        <v>687</v>
      </c>
      <c r="B248" s="190" t="s">
        <v>686</v>
      </c>
      <c r="C248" s="196" t="s">
        <v>200</v>
      </c>
      <c r="D248" s="192">
        <v>5543</v>
      </c>
      <c r="E24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31528</v>
      </c>
      <c r="F248" s="194">
        <f>IF(Entity_Unit_Costs[[#This Row],[Closing social housing units managed]]&gt;0,Entity_Unit_Costs[[#This Row],[Headline Social Housing Cost]]/Entity_Unit_Costs[[#This Row],[Closing social housing units managed]],"")</f>
        <v>5.6878946418906731</v>
      </c>
      <c r="G248" s="194">
        <f>IF(Entity_Unit_Costs[[#This Row],[Closing social housing units managed]]&gt;0,Entity_Unit_Costs[[#This Row],[Management]]/Entity_Unit_Costs[[#This Row],[Closing social housing units managed]],"")</f>
        <v>0.85910156954717665</v>
      </c>
      <c r="H248" s="193">
        <v>4762</v>
      </c>
      <c r="I248" s="194">
        <f>IF(Entity_Unit_Costs[[#This Row],[Closing social housing units managed]]&gt;0,Entity_Unit_Costs[[#This Row],[Service charge costs]]/Entity_Unit_Costs[[#This Row],[Closing social housing units managed]],"")</f>
        <v>0.55024355042395812</v>
      </c>
      <c r="J248" s="193">
        <v>3050</v>
      </c>
      <c r="K248" s="194">
        <f>IF(Entity_Unit_Costs[[#This Row],[Closing social housing units managed]]&gt;0,(Entity_Unit_Costs[[#This Row],[Routine maintenance]]+Entity_Unit_Costs[[#This Row],[Planned maintenance]])/Entity_Unit_Costs[[#This Row],[Closing social housing units managed]],"")</f>
        <v>1.0250766732816166</v>
      </c>
      <c r="L248" s="193">
        <v>4696</v>
      </c>
      <c r="M248" s="193">
        <v>986</v>
      </c>
      <c r="N248" s="194">
        <f>IF(Entity_Unit_Costs[[#This Row],[Closing social housing units managed]]&gt;0,(Entity_Unit_Costs[[#This Row],[Major repairs expenditure]]+Entity_Unit_Costs[[#This Row],[Capitalised major repairs expenditure for period]])/Entity_Unit_Costs[[#This Row],[Closing social housing units managed]],"")</f>
        <v>0.68717301100487105</v>
      </c>
      <c r="O248" s="193">
        <v>0</v>
      </c>
      <c r="P248" s="193">
        <v>3809</v>
      </c>
      <c r="Q24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2.5662998376330508</v>
      </c>
      <c r="R248" s="193">
        <v>6654</v>
      </c>
      <c r="S248" s="193">
        <v>3682</v>
      </c>
      <c r="T248" s="193">
        <v>3889</v>
      </c>
      <c r="U248" s="193">
        <v>0</v>
      </c>
      <c r="V248" s="195">
        <v>0</v>
      </c>
      <c r="W248" s="183">
        <v>0.19580674567000911</v>
      </c>
      <c r="X248" s="183">
        <v>0.10063810391978122</v>
      </c>
      <c r="Y248" s="184" t="s">
        <v>1256</v>
      </c>
      <c r="Z248" s="185"/>
      <c r="AA248" s="186" t="s">
        <v>1279</v>
      </c>
      <c r="AB248" s="187" t="s">
        <v>1264</v>
      </c>
      <c r="AC248" s="188">
        <v>0.94518929117088912</v>
      </c>
      <c r="AD248" s="186" t="s">
        <v>687</v>
      </c>
      <c r="AE248" s="187" t="s">
        <v>686</v>
      </c>
    </row>
    <row r="249" spans="1:31" x14ac:dyDescent="0.2">
      <c r="A249" s="189" t="s">
        <v>688</v>
      </c>
      <c r="B249" s="190" t="s">
        <v>689</v>
      </c>
      <c r="C249" s="191" t="s">
        <v>200</v>
      </c>
      <c r="D249" s="192">
        <v>0</v>
      </c>
      <c r="E24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1213</v>
      </c>
      <c r="F249" s="194" t="str">
        <f>IF(Entity_Unit_Costs[[#This Row],[Closing social housing units managed]]&gt;0,Entity_Unit_Costs[[#This Row],[Headline Social Housing Cost]]/Entity_Unit_Costs[[#This Row],[Closing social housing units managed]],"")</f>
        <v/>
      </c>
      <c r="G249" s="194" t="str">
        <f>IF(Entity_Unit_Costs[[#This Row],[Closing social housing units managed]]&gt;0,Entity_Unit_Costs[[#This Row],[Management]]/Entity_Unit_Costs[[#This Row],[Closing social housing units managed]],"")</f>
        <v/>
      </c>
      <c r="H249" s="193">
        <v>664</v>
      </c>
      <c r="I249" s="194" t="str">
        <f>IF(Entity_Unit_Costs[[#This Row],[Closing social housing units managed]]&gt;0,Entity_Unit_Costs[[#This Row],[Service charge costs]]/Entity_Unit_Costs[[#This Row],[Closing social housing units managed]],"")</f>
        <v/>
      </c>
      <c r="J249" s="193">
        <v>705</v>
      </c>
      <c r="K249" s="194" t="str">
        <f>IF(Entity_Unit_Costs[[#This Row],[Closing social housing units managed]]&gt;0,(Entity_Unit_Costs[[#This Row],[Routine maintenance]]+Entity_Unit_Costs[[#This Row],[Planned maintenance]])/Entity_Unit_Costs[[#This Row],[Closing social housing units managed]],"")</f>
        <v/>
      </c>
      <c r="L249" s="193">
        <v>71</v>
      </c>
      <c r="M249" s="193">
        <v>-306</v>
      </c>
      <c r="N249" s="194" t="str">
        <f>IF(Entity_Unit_Costs[[#This Row],[Closing social housing units managed]]&gt;0,(Entity_Unit_Costs[[#This Row],[Major repairs expenditure]]+Entity_Unit_Costs[[#This Row],[Capitalised major repairs expenditure for period]])/Entity_Unit_Costs[[#This Row],[Closing social housing units managed]],"")</f>
        <v/>
      </c>
      <c r="O249" s="193">
        <v>0</v>
      </c>
      <c r="P249" s="193">
        <v>5</v>
      </c>
      <c r="Q249" s="194" t="str">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
      </c>
      <c r="R249" s="193">
        <v>74</v>
      </c>
      <c r="S249" s="193">
        <v>0</v>
      </c>
      <c r="T249" s="193">
        <v>0</v>
      </c>
      <c r="U249" s="193">
        <v>0</v>
      </c>
      <c r="V249" s="195">
        <v>0</v>
      </c>
      <c r="W249" s="183">
        <v>0</v>
      </c>
      <c r="X249" s="183">
        <v>0</v>
      </c>
      <c r="Y249" s="184" t="s">
        <v>1256</v>
      </c>
      <c r="Z249" s="185"/>
      <c r="AA249" s="186" t="s">
        <v>1279</v>
      </c>
      <c r="AB249" s="187" t="s">
        <v>1267</v>
      </c>
      <c r="AC249" s="188">
        <v>1.1817197506552226</v>
      </c>
      <c r="AD249" s="186" t="s">
        <v>692</v>
      </c>
      <c r="AE249" s="187" t="s">
        <v>691</v>
      </c>
    </row>
    <row r="250" spans="1:31" x14ac:dyDescent="0.2">
      <c r="A250" s="189" t="s">
        <v>692</v>
      </c>
      <c r="B250" s="190" t="s">
        <v>691</v>
      </c>
      <c r="C250" s="196" t="s">
        <v>200</v>
      </c>
      <c r="D250" s="192">
        <v>27425</v>
      </c>
      <c r="E25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106377</v>
      </c>
      <c r="F250" s="194">
        <f>IF(Entity_Unit_Costs[[#This Row],[Closing social housing units managed]]&gt;0,Entity_Unit_Costs[[#This Row],[Headline Social Housing Cost]]/Entity_Unit_Costs[[#This Row],[Closing social housing units managed]],"")</f>
        <v>3.8788331814038286</v>
      </c>
      <c r="G250" s="194">
        <f>IF(Entity_Unit_Costs[[#This Row],[Closing social housing units managed]]&gt;0,Entity_Unit_Costs[[#This Row],[Management]]/Entity_Unit_Costs[[#This Row],[Closing social housing units managed]],"")</f>
        <v>1.5487693710118504</v>
      </c>
      <c r="H250" s="193">
        <v>42475</v>
      </c>
      <c r="I250" s="194">
        <f>IF(Entity_Unit_Costs[[#This Row],[Closing social housing units managed]]&gt;0,Entity_Unit_Costs[[#This Row],[Service charge costs]]/Entity_Unit_Costs[[#This Row],[Closing social housing units managed]],"")</f>
        <v>0.6111212397447584</v>
      </c>
      <c r="J250" s="193">
        <v>16760</v>
      </c>
      <c r="K250" s="194">
        <f>IF(Entity_Unit_Costs[[#This Row],[Closing social housing units managed]]&gt;0,(Entity_Unit_Costs[[#This Row],[Routine maintenance]]+Entity_Unit_Costs[[#This Row],[Planned maintenance]])/Entity_Unit_Costs[[#This Row],[Closing social housing units managed]],"")</f>
        <v>0.87868732907930724</v>
      </c>
      <c r="L250" s="193">
        <v>21092</v>
      </c>
      <c r="M250" s="193">
        <v>3006</v>
      </c>
      <c r="N250" s="194">
        <f>IF(Entity_Unit_Costs[[#This Row],[Closing social housing units managed]]&gt;0,(Entity_Unit_Costs[[#This Row],[Major repairs expenditure]]+Entity_Unit_Costs[[#This Row],[Capitalised major repairs expenditure for period]])/Entity_Unit_Costs[[#This Row],[Closing social housing units managed]],"")</f>
        <v>0.6347128532360985</v>
      </c>
      <c r="O250" s="193">
        <v>0</v>
      </c>
      <c r="P250" s="193">
        <v>17407</v>
      </c>
      <c r="Q25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0.20554238833181404</v>
      </c>
      <c r="R250" s="193">
        <v>3373</v>
      </c>
      <c r="S250" s="193">
        <v>2264</v>
      </c>
      <c r="T250" s="193">
        <v>0</v>
      </c>
      <c r="U250" s="193">
        <v>0</v>
      </c>
      <c r="V250" s="195">
        <v>0</v>
      </c>
      <c r="W250" s="183">
        <v>7.8493574101187579E-3</v>
      </c>
      <c r="X250" s="183">
        <v>0</v>
      </c>
      <c r="Y250" s="184" t="s">
        <v>1256</v>
      </c>
      <c r="Z250" s="185"/>
      <c r="AA250" s="186" t="s">
        <v>1279</v>
      </c>
      <c r="AB250" s="187" t="s">
        <v>1259</v>
      </c>
      <c r="AC250" s="188">
        <v>1.0969819062475432</v>
      </c>
      <c r="AD250" s="186" t="s">
        <v>692</v>
      </c>
      <c r="AE250" s="187" t="s">
        <v>691</v>
      </c>
    </row>
    <row r="251" spans="1:31" x14ac:dyDescent="0.2">
      <c r="A251" s="189" t="s">
        <v>693</v>
      </c>
      <c r="B251" s="190" t="s">
        <v>694</v>
      </c>
      <c r="C251" s="196" t="s">
        <v>200</v>
      </c>
      <c r="D251" s="192">
        <v>5838</v>
      </c>
      <c r="E25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12923</v>
      </c>
      <c r="F251" s="194">
        <f>IF(Entity_Unit_Costs[[#This Row],[Closing social housing units managed]]&gt;0,Entity_Unit_Costs[[#This Row],[Headline Social Housing Cost]]/Entity_Unit_Costs[[#This Row],[Closing social housing units managed]],"")</f>
        <v>2.2136005481329222</v>
      </c>
      <c r="G251" s="194">
        <f>IF(Entity_Unit_Costs[[#This Row],[Closing social housing units managed]]&gt;0,Entity_Unit_Costs[[#This Row],[Management]]/Entity_Unit_Costs[[#This Row],[Closing social housing units managed]],"")</f>
        <v>0.94535799931483389</v>
      </c>
      <c r="H251" s="193">
        <v>5519</v>
      </c>
      <c r="I251" s="194">
        <f>IF(Entity_Unit_Costs[[#This Row],[Closing social housing units managed]]&gt;0,Entity_Unit_Costs[[#This Row],[Service charge costs]]/Entity_Unit_Costs[[#This Row],[Closing social housing units managed]],"")</f>
        <v>4.6248715313463515E-2</v>
      </c>
      <c r="J251" s="193">
        <v>270</v>
      </c>
      <c r="K251" s="194">
        <f>IF(Entity_Unit_Costs[[#This Row],[Closing social housing units managed]]&gt;0,(Entity_Unit_Costs[[#This Row],[Routine maintenance]]+Entity_Unit_Costs[[#This Row],[Planned maintenance]])/Entity_Unit_Costs[[#This Row],[Closing social housing units managed]],"")</f>
        <v>0.67660157588215142</v>
      </c>
      <c r="L251" s="193">
        <v>2768</v>
      </c>
      <c r="M251" s="193">
        <v>1182</v>
      </c>
      <c r="N251" s="194">
        <f>IF(Entity_Unit_Costs[[#This Row],[Closing social housing units managed]]&gt;0,(Entity_Unit_Costs[[#This Row],[Major repairs expenditure]]+Entity_Unit_Costs[[#This Row],[Capitalised major repairs expenditure for period]])/Entity_Unit_Costs[[#This Row],[Closing social housing units managed]],"")</f>
        <v>0.21514217197670435</v>
      </c>
      <c r="O251" s="193">
        <v>656</v>
      </c>
      <c r="P251" s="193">
        <v>600</v>
      </c>
      <c r="Q25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0.33025008564576908</v>
      </c>
      <c r="R251" s="193">
        <v>738</v>
      </c>
      <c r="S251" s="193">
        <v>0</v>
      </c>
      <c r="T251" s="193">
        <v>0</v>
      </c>
      <c r="U251" s="193">
        <v>0</v>
      </c>
      <c r="V251" s="195">
        <v>1190</v>
      </c>
      <c r="W251" s="183">
        <v>8.0507022953066124E-3</v>
      </c>
      <c r="X251" s="183">
        <v>0</v>
      </c>
      <c r="Y251" s="184" t="s">
        <v>1257</v>
      </c>
      <c r="Z251" s="185">
        <v>39412</v>
      </c>
      <c r="AA251" s="186" t="s">
        <v>1280</v>
      </c>
      <c r="AB251" s="187" t="s">
        <v>1262</v>
      </c>
      <c r="AC251" s="188">
        <v>0.9156653862445665</v>
      </c>
      <c r="AD251" s="186" t="s">
        <v>693</v>
      </c>
      <c r="AE251" s="187" t="s">
        <v>694</v>
      </c>
    </row>
    <row r="252" spans="1:31" x14ac:dyDescent="0.2">
      <c r="A252" s="197">
        <v>4837</v>
      </c>
      <c r="B252" s="190" t="s">
        <v>696</v>
      </c>
      <c r="C252" s="196" t="s">
        <v>200</v>
      </c>
      <c r="D252" s="192">
        <v>51501</v>
      </c>
      <c r="E25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155894</v>
      </c>
      <c r="F252" s="194">
        <f>IF(Entity_Unit_Costs[[#This Row],[Closing social housing units managed]]&gt;0,Entity_Unit_Costs[[#This Row],[Headline Social Housing Cost]]/Entity_Unit_Costs[[#This Row],[Closing social housing units managed]],"")</f>
        <v>3.0270091842876838</v>
      </c>
      <c r="G252" s="194">
        <f>IF(Entity_Unit_Costs[[#This Row],[Closing social housing units managed]]&gt;0,Entity_Unit_Costs[[#This Row],[Management]]/Entity_Unit_Costs[[#This Row],[Closing social housing units managed]],"")</f>
        <v>1.0940175918914197</v>
      </c>
      <c r="H252" s="193">
        <v>56343</v>
      </c>
      <c r="I252" s="194">
        <f>IF(Entity_Unit_Costs[[#This Row],[Closing social housing units managed]]&gt;0,Entity_Unit_Costs[[#This Row],[Service charge costs]]/Entity_Unit_Costs[[#This Row],[Closing social housing units managed]],"")</f>
        <v>0.27028601386380846</v>
      </c>
      <c r="J252" s="193">
        <v>13920</v>
      </c>
      <c r="K252" s="194">
        <f>IF(Entity_Unit_Costs[[#This Row],[Closing social housing units managed]]&gt;0,(Entity_Unit_Costs[[#This Row],[Routine maintenance]]+Entity_Unit_Costs[[#This Row],[Planned maintenance]])/Entity_Unit_Costs[[#This Row],[Closing social housing units managed]],"")</f>
        <v>0.9449136909962913</v>
      </c>
      <c r="L252" s="193">
        <v>37632</v>
      </c>
      <c r="M252" s="193">
        <v>11032</v>
      </c>
      <c r="N252" s="194">
        <f>IF(Entity_Unit_Costs[[#This Row],[Closing social housing units managed]]&gt;0,(Entity_Unit_Costs[[#This Row],[Major repairs expenditure]]+Entity_Unit_Costs[[#This Row],[Capitalised major repairs expenditure for period]])/Entity_Unit_Costs[[#This Row],[Closing social housing units managed]],"")</f>
        <v>0.68155958136735206</v>
      </c>
      <c r="O252" s="193">
        <v>21935</v>
      </c>
      <c r="P252" s="193">
        <v>13166</v>
      </c>
      <c r="Q25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3.6232306168812255E-2</v>
      </c>
      <c r="R252" s="193">
        <v>285</v>
      </c>
      <c r="S252" s="193">
        <v>0</v>
      </c>
      <c r="T252" s="193">
        <v>0</v>
      </c>
      <c r="U252" s="193">
        <v>221</v>
      </c>
      <c r="V252" s="195">
        <v>1360</v>
      </c>
      <c r="W252" s="183">
        <v>1.9647404505386875E-2</v>
      </c>
      <c r="X252" s="183">
        <v>6.2448579823702249E-2</v>
      </c>
      <c r="Y252" s="184" t="s">
        <v>1256</v>
      </c>
      <c r="Z252" s="185"/>
      <c r="AA252" s="186" t="s">
        <v>1279</v>
      </c>
      <c r="AB252" s="187" t="s">
        <v>1259</v>
      </c>
      <c r="AC252" s="188">
        <v>0.99285802426713798</v>
      </c>
      <c r="AD252" s="186">
        <v>4837</v>
      </c>
      <c r="AE252" s="187" t="s">
        <v>696</v>
      </c>
    </row>
    <row r="253" spans="1:31" x14ac:dyDescent="0.2">
      <c r="A253" s="189" t="s">
        <v>698</v>
      </c>
      <c r="B253" s="190" t="s">
        <v>699</v>
      </c>
      <c r="C253" s="191" t="s">
        <v>200</v>
      </c>
      <c r="D253" s="192">
        <v>5644</v>
      </c>
      <c r="E25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12692</v>
      </c>
      <c r="F253" s="194">
        <f>IF(Entity_Unit_Costs[[#This Row],[Closing social housing units managed]]&gt;0,Entity_Unit_Costs[[#This Row],[Headline Social Housing Cost]]/Entity_Unit_Costs[[#This Row],[Closing social housing units managed]],"")</f>
        <v>2.2487597448618</v>
      </c>
      <c r="G253" s="194">
        <f>IF(Entity_Unit_Costs[[#This Row],[Closing social housing units managed]]&gt;0,Entity_Unit_Costs[[#This Row],[Management]]/Entity_Unit_Costs[[#This Row],[Closing social housing units managed]],"")</f>
        <v>0.62048192771084343</v>
      </c>
      <c r="H253" s="193">
        <v>3502</v>
      </c>
      <c r="I253" s="194">
        <f>IF(Entity_Unit_Costs[[#This Row],[Closing social housing units managed]]&gt;0,Entity_Unit_Costs[[#This Row],[Service charge costs]]/Entity_Unit_Costs[[#This Row],[Closing social housing units managed]],"")</f>
        <v>0.23440822111977322</v>
      </c>
      <c r="J253" s="193">
        <v>1323</v>
      </c>
      <c r="K253" s="194">
        <f>IF(Entity_Unit_Costs[[#This Row],[Closing social housing units managed]]&gt;0,(Entity_Unit_Costs[[#This Row],[Routine maintenance]]+Entity_Unit_Costs[[#This Row],[Planned maintenance]])/Entity_Unit_Costs[[#This Row],[Closing social housing units managed]],"")</f>
        <v>0.73653437278525868</v>
      </c>
      <c r="L253" s="193">
        <v>3037</v>
      </c>
      <c r="M253" s="193">
        <v>1120</v>
      </c>
      <c r="N253" s="194">
        <f>IF(Entity_Unit_Costs[[#This Row],[Closing social housing units managed]]&gt;0,(Entity_Unit_Costs[[#This Row],[Major repairs expenditure]]+Entity_Unit_Costs[[#This Row],[Capitalised major repairs expenditure for period]])/Entity_Unit_Costs[[#This Row],[Closing social housing units managed]],"")</f>
        <v>0.45428773919206239</v>
      </c>
      <c r="O253" s="193">
        <v>1137</v>
      </c>
      <c r="P253" s="193">
        <v>1427</v>
      </c>
      <c r="Q25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0.2030474840538625</v>
      </c>
      <c r="R253" s="193">
        <v>0</v>
      </c>
      <c r="S253" s="193">
        <v>645</v>
      </c>
      <c r="T253" s="193">
        <v>90</v>
      </c>
      <c r="U253" s="193">
        <v>411</v>
      </c>
      <c r="V253" s="195">
        <v>0</v>
      </c>
      <c r="W253" s="183">
        <v>2.5454545454545456E-3</v>
      </c>
      <c r="X253" s="183">
        <v>9.9636363636363634E-2</v>
      </c>
      <c r="Y253" s="184" t="s">
        <v>1257</v>
      </c>
      <c r="Z253" s="185">
        <v>36941</v>
      </c>
      <c r="AA253" s="186" t="s">
        <v>1268</v>
      </c>
      <c r="AB253" s="187" t="s">
        <v>1261</v>
      </c>
      <c r="AC253" s="188">
        <v>0.92038375847935383</v>
      </c>
      <c r="AD253" s="186" t="s">
        <v>1237</v>
      </c>
      <c r="AE253" s="187" t="s">
        <v>494</v>
      </c>
    </row>
    <row r="254" spans="1:31" x14ac:dyDescent="0.2">
      <c r="A254" s="189" t="s">
        <v>702</v>
      </c>
      <c r="B254" s="190" t="s">
        <v>703</v>
      </c>
      <c r="C254" s="191" t="s">
        <v>200</v>
      </c>
      <c r="D254" s="192">
        <v>2202</v>
      </c>
      <c r="E25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56723</v>
      </c>
      <c r="F254" s="194">
        <f>IF(Entity_Unit_Costs[[#This Row],[Closing social housing units managed]]&gt;0,Entity_Unit_Costs[[#This Row],[Headline Social Housing Cost]]/Entity_Unit_Costs[[#This Row],[Closing social housing units managed]],"")</f>
        <v>25.759763851044504</v>
      </c>
      <c r="G254" s="194">
        <f>IF(Entity_Unit_Costs[[#This Row],[Closing social housing units managed]]&gt;0,Entity_Unit_Costs[[#This Row],[Management]]/Entity_Unit_Costs[[#This Row],[Closing social housing units managed]],"")</f>
        <v>8.5631244323342415</v>
      </c>
      <c r="H254" s="193">
        <v>18856</v>
      </c>
      <c r="I254" s="194">
        <f>IF(Entity_Unit_Costs[[#This Row],[Closing social housing units managed]]&gt;0,Entity_Unit_Costs[[#This Row],[Service charge costs]]/Entity_Unit_Costs[[#This Row],[Closing social housing units managed]],"")</f>
        <v>3.4927338782924613</v>
      </c>
      <c r="J254" s="193">
        <v>7691</v>
      </c>
      <c r="K254" s="194">
        <f>IF(Entity_Unit_Costs[[#This Row],[Closing social housing units managed]]&gt;0,(Entity_Unit_Costs[[#This Row],[Routine maintenance]]+Entity_Unit_Costs[[#This Row],[Planned maintenance]])/Entity_Unit_Costs[[#This Row],[Closing social housing units managed]],"")</f>
        <v>0.79427792915531337</v>
      </c>
      <c r="L254" s="193">
        <v>867</v>
      </c>
      <c r="M254" s="193">
        <v>882</v>
      </c>
      <c r="N254" s="194">
        <f>IF(Entity_Unit_Costs[[#This Row],[Closing social housing units managed]]&gt;0,(Entity_Unit_Costs[[#This Row],[Major repairs expenditure]]+Entity_Unit_Costs[[#This Row],[Capitalised major repairs expenditure for period]])/Entity_Unit_Costs[[#This Row],[Closing social housing units managed]],"")</f>
        <v>1.4336966394187103</v>
      </c>
      <c r="O254" s="193">
        <v>0</v>
      </c>
      <c r="P254" s="193">
        <v>3157</v>
      </c>
      <c r="Q25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11.475930971843779</v>
      </c>
      <c r="R254" s="193">
        <v>371</v>
      </c>
      <c r="S254" s="193">
        <v>24899</v>
      </c>
      <c r="T254" s="193">
        <v>0</v>
      </c>
      <c r="U254" s="193">
        <v>0</v>
      </c>
      <c r="V254" s="195">
        <v>0</v>
      </c>
      <c r="W254" s="183">
        <v>0.97683235046335304</v>
      </c>
      <c r="X254" s="183">
        <v>2.316764953664701E-2</v>
      </c>
      <c r="Y254" s="184" t="s">
        <v>1256</v>
      </c>
      <c r="Z254" s="185"/>
      <c r="AA254" s="186" t="s">
        <v>1279</v>
      </c>
      <c r="AB254" s="187" t="s">
        <v>1267</v>
      </c>
      <c r="AC254" s="188">
        <v>1.2476770922427836</v>
      </c>
      <c r="AD254" s="186" t="s">
        <v>702</v>
      </c>
      <c r="AE254" s="187" t="s">
        <v>701</v>
      </c>
    </row>
    <row r="255" spans="1:31" x14ac:dyDescent="0.2">
      <c r="A255" s="189" t="s">
        <v>704</v>
      </c>
      <c r="B255" s="190" t="s">
        <v>705</v>
      </c>
      <c r="C255" s="196" t="s">
        <v>200</v>
      </c>
      <c r="D255" s="192">
        <v>3503</v>
      </c>
      <c r="E25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15218</v>
      </c>
      <c r="F255" s="194">
        <f>IF(Entity_Unit_Costs[[#This Row],[Closing social housing units managed]]&gt;0,Entity_Unit_Costs[[#This Row],[Headline Social Housing Cost]]/Entity_Unit_Costs[[#This Row],[Closing social housing units managed]],"")</f>
        <v>4.3442763345703685</v>
      </c>
      <c r="G255" s="194">
        <f>IF(Entity_Unit_Costs[[#This Row],[Closing social housing units managed]]&gt;0,Entity_Unit_Costs[[#This Row],[Management]]/Entity_Unit_Costs[[#This Row],[Closing social housing units managed]],"")</f>
        <v>0.77619183556951188</v>
      </c>
      <c r="H255" s="193">
        <v>2719</v>
      </c>
      <c r="I255" s="194">
        <f>IF(Entity_Unit_Costs[[#This Row],[Closing social housing units managed]]&gt;0,Entity_Unit_Costs[[#This Row],[Service charge costs]]/Entity_Unit_Costs[[#This Row],[Closing social housing units managed]],"")</f>
        <v>0.98258635455324006</v>
      </c>
      <c r="J255" s="193">
        <v>3442</v>
      </c>
      <c r="K255" s="194">
        <f>IF(Entity_Unit_Costs[[#This Row],[Closing social housing units managed]]&gt;0,(Entity_Unit_Costs[[#This Row],[Routine maintenance]]+Entity_Unit_Costs[[#This Row],[Planned maintenance]])/Entity_Unit_Costs[[#This Row],[Closing social housing units managed]],"")</f>
        <v>1.4561804167856123</v>
      </c>
      <c r="L255" s="193">
        <v>3550</v>
      </c>
      <c r="M255" s="193">
        <v>1551</v>
      </c>
      <c r="N255" s="194">
        <f>IF(Entity_Unit_Costs[[#This Row],[Closing social housing units managed]]&gt;0,(Entity_Unit_Costs[[#This Row],[Major repairs expenditure]]+Entity_Unit_Costs[[#This Row],[Capitalised major repairs expenditure for period]])/Entity_Unit_Costs[[#This Row],[Closing social housing units managed]],"")</f>
        <v>0.3668284327719098</v>
      </c>
      <c r="O255" s="193">
        <v>280</v>
      </c>
      <c r="P255" s="193">
        <v>1005</v>
      </c>
      <c r="Q25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0.7624892948900942</v>
      </c>
      <c r="R255" s="193">
        <v>730</v>
      </c>
      <c r="S255" s="193">
        <v>306</v>
      </c>
      <c r="T255" s="193">
        <v>38</v>
      </c>
      <c r="U255" s="193">
        <v>295</v>
      </c>
      <c r="V255" s="195">
        <v>1302</v>
      </c>
      <c r="W255" s="183">
        <v>0.11029842012873026</v>
      </c>
      <c r="X255" s="183">
        <v>0.11819777647747221</v>
      </c>
      <c r="Y255" s="184" t="s">
        <v>1256</v>
      </c>
      <c r="Z255" s="185"/>
      <c r="AA255" s="186" t="s">
        <v>1279</v>
      </c>
      <c r="AB255" s="187" t="s">
        <v>1262</v>
      </c>
      <c r="AC255" s="188">
        <v>0.91722517397786574</v>
      </c>
      <c r="AD255" s="186" t="s">
        <v>704</v>
      </c>
      <c r="AE255" s="187" t="s">
        <v>705</v>
      </c>
    </row>
    <row r="256" spans="1:31" x14ac:dyDescent="0.2">
      <c r="A256" s="189" t="s">
        <v>0</v>
      </c>
      <c r="B256" s="190" t="s">
        <v>1</v>
      </c>
      <c r="C256" s="196" t="s">
        <v>200</v>
      </c>
      <c r="D256" s="192">
        <v>6185</v>
      </c>
      <c r="E25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17369</v>
      </c>
      <c r="F256" s="194">
        <f>IF(Entity_Unit_Costs[[#This Row],[Closing social housing units managed]]&gt;0,Entity_Unit_Costs[[#This Row],[Headline Social Housing Cost]]/Entity_Unit_Costs[[#This Row],[Closing social housing units managed]],"")</f>
        <v>2.8082457558609537</v>
      </c>
      <c r="G256" s="194">
        <f>IF(Entity_Unit_Costs[[#This Row],[Closing social housing units managed]]&gt;0,Entity_Unit_Costs[[#This Row],[Management]]/Entity_Unit_Costs[[#This Row],[Closing social housing units managed]],"")</f>
        <v>0.791269199676637</v>
      </c>
      <c r="H256" s="193">
        <v>4894</v>
      </c>
      <c r="I256" s="194">
        <f>IF(Entity_Unit_Costs[[#This Row],[Closing social housing units managed]]&gt;0,Entity_Unit_Costs[[#This Row],[Service charge costs]]/Entity_Unit_Costs[[#This Row],[Closing social housing units managed]],"")</f>
        <v>0.12174616006467259</v>
      </c>
      <c r="J256" s="193">
        <v>753</v>
      </c>
      <c r="K256" s="194">
        <f>IF(Entity_Unit_Costs[[#This Row],[Closing social housing units managed]]&gt;0,(Entity_Unit_Costs[[#This Row],[Routine maintenance]]+Entity_Unit_Costs[[#This Row],[Planned maintenance]])/Entity_Unit_Costs[[#This Row],[Closing social housing units managed]],"")</f>
        <v>0.91851253031527891</v>
      </c>
      <c r="L256" s="193">
        <v>4311</v>
      </c>
      <c r="M256" s="193">
        <v>1370</v>
      </c>
      <c r="N256" s="194">
        <f>IF(Entity_Unit_Costs[[#This Row],[Closing social housing units managed]]&gt;0,(Entity_Unit_Costs[[#This Row],[Major repairs expenditure]]+Entity_Unit_Costs[[#This Row],[Capitalised major repairs expenditure for period]])/Entity_Unit_Costs[[#This Row],[Closing social housing units managed]],"")</f>
        <v>0.87857720291026675</v>
      </c>
      <c r="O256" s="193">
        <v>0</v>
      </c>
      <c r="P256" s="193">
        <v>5434</v>
      </c>
      <c r="Q25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9.8140662894098632E-2</v>
      </c>
      <c r="R256" s="193">
        <v>0</v>
      </c>
      <c r="S256" s="193">
        <v>287</v>
      </c>
      <c r="T256" s="193">
        <v>320</v>
      </c>
      <c r="U256" s="193">
        <v>0</v>
      </c>
      <c r="V256" s="195">
        <v>0</v>
      </c>
      <c r="W256" s="183">
        <v>1.2942889500080893E-3</v>
      </c>
      <c r="X256" s="183">
        <v>0.22488270506390551</v>
      </c>
      <c r="Y256" s="184" t="s">
        <v>1257</v>
      </c>
      <c r="Z256" s="185">
        <v>38754</v>
      </c>
      <c r="AA256" s="186" t="s">
        <v>1280</v>
      </c>
      <c r="AB256" s="187" t="s">
        <v>1260</v>
      </c>
      <c r="AC256" s="188">
        <v>0.9157155816938729</v>
      </c>
      <c r="AD256" s="186" t="s">
        <v>0</v>
      </c>
      <c r="AE256" s="187" t="s">
        <v>1</v>
      </c>
    </row>
    <row r="257" spans="1:31" x14ac:dyDescent="0.2">
      <c r="A257" s="189" t="s">
        <v>709</v>
      </c>
      <c r="B257" s="190" t="s">
        <v>708</v>
      </c>
      <c r="C257" s="191" t="s">
        <v>200</v>
      </c>
      <c r="D257" s="192">
        <v>2787</v>
      </c>
      <c r="E25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8516</v>
      </c>
      <c r="F257" s="194">
        <f>IF(Entity_Unit_Costs[[#This Row],[Closing social housing units managed]]&gt;0,Entity_Unit_Costs[[#This Row],[Headline Social Housing Cost]]/Entity_Unit_Costs[[#This Row],[Closing social housing units managed]],"")</f>
        <v>3.0556153570147111</v>
      </c>
      <c r="G257" s="194">
        <f>IF(Entity_Unit_Costs[[#This Row],[Closing social housing units managed]]&gt;0,Entity_Unit_Costs[[#This Row],[Management]]/Entity_Unit_Costs[[#This Row],[Closing social housing units managed]],"")</f>
        <v>0.9282382490132759</v>
      </c>
      <c r="H257" s="193">
        <v>2587</v>
      </c>
      <c r="I257" s="194">
        <f>IF(Entity_Unit_Costs[[#This Row],[Closing social housing units managed]]&gt;0,Entity_Unit_Costs[[#This Row],[Service charge costs]]/Entity_Unit_Costs[[#This Row],[Closing social housing units managed]],"")</f>
        <v>0.66271977036239682</v>
      </c>
      <c r="J257" s="193">
        <v>1847</v>
      </c>
      <c r="K257" s="194">
        <f>IF(Entity_Unit_Costs[[#This Row],[Closing social housing units managed]]&gt;0,(Entity_Unit_Costs[[#This Row],[Routine maintenance]]+Entity_Unit_Costs[[#This Row],[Planned maintenance]])/Entity_Unit_Costs[[#This Row],[Closing social housing units managed]],"")</f>
        <v>1.0319339791890922</v>
      </c>
      <c r="L257" s="193">
        <v>2270</v>
      </c>
      <c r="M257" s="193">
        <v>606</v>
      </c>
      <c r="N257" s="194">
        <f>IF(Entity_Unit_Costs[[#This Row],[Closing social housing units managed]]&gt;0,(Entity_Unit_Costs[[#This Row],[Major repairs expenditure]]+Entity_Unit_Costs[[#This Row],[Capitalised major repairs expenditure for period]])/Entity_Unit_Costs[[#This Row],[Closing social housing units managed]],"")</f>
        <v>0.28202368137782563</v>
      </c>
      <c r="O257" s="193">
        <v>0</v>
      </c>
      <c r="P257" s="193">
        <v>786</v>
      </c>
      <c r="Q25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0.15069967707212056</v>
      </c>
      <c r="R257" s="193">
        <v>48</v>
      </c>
      <c r="S257" s="193">
        <v>104</v>
      </c>
      <c r="T257" s="193">
        <v>207</v>
      </c>
      <c r="U257" s="193">
        <v>61</v>
      </c>
      <c r="V257" s="195">
        <v>0</v>
      </c>
      <c r="W257" s="183">
        <v>4.0319651289502358E-2</v>
      </c>
      <c r="X257" s="183">
        <v>0.19542317471848891</v>
      </c>
      <c r="Y257" s="184" t="s">
        <v>1256</v>
      </c>
      <c r="Z257" s="185"/>
      <c r="AA257" s="186" t="s">
        <v>1279</v>
      </c>
      <c r="AB257" s="187" t="s">
        <v>1260</v>
      </c>
      <c r="AC257" s="188">
        <v>0.91571558169387279</v>
      </c>
      <c r="AD257" s="186" t="s">
        <v>709</v>
      </c>
      <c r="AE257" s="187" t="s">
        <v>708</v>
      </c>
    </row>
    <row r="258" spans="1:31" x14ac:dyDescent="0.2">
      <c r="A258" s="189" t="s">
        <v>710</v>
      </c>
      <c r="B258" s="190" t="s">
        <v>711</v>
      </c>
      <c r="C258" s="196" t="s">
        <v>200</v>
      </c>
      <c r="D258" s="192">
        <v>10329</v>
      </c>
      <c r="E25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27534</v>
      </c>
      <c r="F258" s="194">
        <f>IF(Entity_Unit_Costs[[#This Row],[Closing social housing units managed]]&gt;0,Entity_Unit_Costs[[#This Row],[Headline Social Housing Cost]]/Entity_Unit_Costs[[#This Row],[Closing social housing units managed]],"")</f>
        <v>2.6656985187336626</v>
      </c>
      <c r="G258" s="194">
        <f>IF(Entity_Unit_Costs[[#This Row],[Closing social housing units managed]]&gt;0,Entity_Unit_Costs[[#This Row],[Management]]/Entity_Unit_Costs[[#This Row],[Closing social housing units managed]],"")</f>
        <v>0.94626778971826897</v>
      </c>
      <c r="H258" s="193">
        <v>9774</v>
      </c>
      <c r="I258" s="194">
        <f>IF(Entity_Unit_Costs[[#This Row],[Closing social housing units managed]]&gt;0,Entity_Unit_Costs[[#This Row],[Service charge costs]]/Entity_Unit_Costs[[#This Row],[Closing social housing units managed]],"")</f>
        <v>0.34282118307677412</v>
      </c>
      <c r="J258" s="193">
        <v>3541</v>
      </c>
      <c r="K258" s="194">
        <f>IF(Entity_Unit_Costs[[#This Row],[Closing social housing units managed]]&gt;0,(Entity_Unit_Costs[[#This Row],[Routine maintenance]]+Entity_Unit_Costs[[#This Row],[Planned maintenance]])/Entity_Unit_Costs[[#This Row],[Closing social housing units managed]],"")</f>
        <v>0.92961564527059737</v>
      </c>
      <c r="L258" s="193">
        <v>7547</v>
      </c>
      <c r="M258" s="193">
        <v>2055</v>
      </c>
      <c r="N258" s="194">
        <f>IF(Entity_Unit_Costs[[#This Row],[Closing social housing units managed]]&gt;0,(Entity_Unit_Costs[[#This Row],[Major repairs expenditure]]+Entity_Unit_Costs[[#This Row],[Capitalised major repairs expenditure for period]])/Entity_Unit_Costs[[#This Row],[Closing social housing units managed]],"")</f>
        <v>0.44699390066802208</v>
      </c>
      <c r="O258" s="193">
        <v>2207</v>
      </c>
      <c r="P258" s="193">
        <v>2410</v>
      </c>
      <c r="Q25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v>
      </c>
      <c r="R258" s="193">
        <v>0</v>
      </c>
      <c r="S258" s="193">
        <v>0</v>
      </c>
      <c r="T258" s="193">
        <v>0</v>
      </c>
      <c r="U258" s="193">
        <v>0</v>
      </c>
      <c r="V258" s="195">
        <v>0</v>
      </c>
      <c r="W258" s="183">
        <v>1.6930874582120135E-2</v>
      </c>
      <c r="X258" s="183">
        <v>2.890111075164456E-2</v>
      </c>
      <c r="Y258" s="184" t="s">
        <v>1256</v>
      </c>
      <c r="Z258" s="185"/>
      <c r="AA258" s="186" t="s">
        <v>1279</v>
      </c>
      <c r="AB258" s="187" t="s">
        <v>1258</v>
      </c>
      <c r="AC258" s="188">
        <v>0.95866281679431475</v>
      </c>
      <c r="AD258" s="186" t="s">
        <v>718</v>
      </c>
      <c r="AE258" s="187" t="s">
        <v>717</v>
      </c>
    </row>
    <row r="259" spans="1:31" x14ac:dyDescent="0.2">
      <c r="A259" s="189" t="s">
        <v>712</v>
      </c>
      <c r="B259" s="190" t="s">
        <v>713</v>
      </c>
      <c r="C259" s="196" t="s">
        <v>200</v>
      </c>
      <c r="D259" s="192">
        <v>4211</v>
      </c>
      <c r="E25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11780</v>
      </c>
      <c r="F259" s="194">
        <f>IF(Entity_Unit_Costs[[#This Row],[Closing social housing units managed]]&gt;0,Entity_Unit_Costs[[#This Row],[Headline Social Housing Cost]]/Entity_Unit_Costs[[#This Row],[Closing social housing units managed]],"")</f>
        <v>2.7974352885300404</v>
      </c>
      <c r="G259" s="194">
        <f>IF(Entity_Unit_Costs[[#This Row],[Closing social housing units managed]]&gt;0,Entity_Unit_Costs[[#This Row],[Management]]/Entity_Unit_Costs[[#This Row],[Closing social housing units managed]],"")</f>
        <v>0.99050106862977916</v>
      </c>
      <c r="H259" s="193">
        <v>4171</v>
      </c>
      <c r="I259" s="194">
        <f>IF(Entity_Unit_Costs[[#This Row],[Closing social housing units managed]]&gt;0,Entity_Unit_Costs[[#This Row],[Service charge costs]]/Entity_Unit_Costs[[#This Row],[Closing social housing units managed]],"")</f>
        <v>0.50843030159107105</v>
      </c>
      <c r="J259" s="193">
        <v>2141</v>
      </c>
      <c r="K259" s="194">
        <f>IF(Entity_Unit_Costs[[#This Row],[Closing social housing units managed]]&gt;0,(Entity_Unit_Costs[[#This Row],[Routine maintenance]]+Entity_Unit_Costs[[#This Row],[Planned maintenance]])/Entity_Unit_Costs[[#This Row],[Closing social housing units managed]],"")</f>
        <v>0.87295179292329617</v>
      </c>
      <c r="L259" s="193">
        <v>2944</v>
      </c>
      <c r="M259" s="193">
        <v>732</v>
      </c>
      <c r="N259" s="194">
        <f>IF(Entity_Unit_Costs[[#This Row],[Closing social housing units managed]]&gt;0,(Entity_Unit_Costs[[#This Row],[Major repairs expenditure]]+Entity_Unit_Costs[[#This Row],[Capitalised major repairs expenditure for period]])/Entity_Unit_Costs[[#This Row],[Closing social housing units managed]],"")</f>
        <v>0.4255521253858941</v>
      </c>
      <c r="O259" s="193">
        <v>1078</v>
      </c>
      <c r="P259" s="193">
        <v>714</v>
      </c>
      <c r="Q25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v>
      </c>
      <c r="R259" s="193">
        <v>0</v>
      </c>
      <c r="S259" s="193">
        <v>0</v>
      </c>
      <c r="T259" s="193">
        <v>0</v>
      </c>
      <c r="U259" s="193">
        <v>0</v>
      </c>
      <c r="V259" s="195">
        <v>0</v>
      </c>
      <c r="W259" s="183">
        <v>2.7610441767068273E-2</v>
      </c>
      <c r="X259" s="183">
        <v>0.15060240963855423</v>
      </c>
      <c r="Y259" s="184" t="s">
        <v>1256</v>
      </c>
      <c r="Z259" s="185"/>
      <c r="AA259" s="186" t="s">
        <v>1279</v>
      </c>
      <c r="AB259" s="187" t="s">
        <v>1258</v>
      </c>
      <c r="AC259" s="188">
        <v>0.94895479655691251</v>
      </c>
      <c r="AD259" s="186" t="s">
        <v>718</v>
      </c>
      <c r="AE259" s="187" t="s">
        <v>717</v>
      </c>
    </row>
    <row r="260" spans="1:31" x14ac:dyDescent="0.2">
      <c r="A260" s="189" t="s">
        <v>714</v>
      </c>
      <c r="B260" s="190" t="s">
        <v>715</v>
      </c>
      <c r="C260" s="191" t="s">
        <v>200</v>
      </c>
      <c r="D260" s="192">
        <v>2567</v>
      </c>
      <c r="E26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9104</v>
      </c>
      <c r="F260" s="194">
        <f>IF(Entity_Unit_Costs[[#This Row],[Closing social housing units managed]]&gt;0,Entity_Unit_Costs[[#This Row],[Headline Social Housing Cost]]/Entity_Unit_Costs[[#This Row],[Closing social housing units managed]],"")</f>
        <v>3.5465523957927543</v>
      </c>
      <c r="G260" s="194">
        <f>IF(Entity_Unit_Costs[[#This Row],[Closing social housing units managed]]&gt;0,Entity_Unit_Costs[[#This Row],[Management]]/Entity_Unit_Costs[[#This Row],[Closing social housing units managed]],"")</f>
        <v>0.98714452668484609</v>
      </c>
      <c r="H260" s="193">
        <v>2534</v>
      </c>
      <c r="I260" s="194">
        <f>IF(Entity_Unit_Costs[[#This Row],[Closing social housing units managed]]&gt;0,Entity_Unit_Costs[[#This Row],[Service charge costs]]/Entity_Unit_Costs[[#This Row],[Closing social housing units managed]],"")</f>
        <v>0.32917802882742503</v>
      </c>
      <c r="J260" s="193">
        <v>845</v>
      </c>
      <c r="K260" s="194">
        <f>IF(Entity_Unit_Costs[[#This Row],[Closing social housing units managed]]&gt;0,(Entity_Unit_Costs[[#This Row],[Routine maintenance]]+Entity_Unit_Costs[[#This Row],[Planned maintenance]])/Entity_Unit_Costs[[#This Row],[Closing social housing units managed]],"")</f>
        <v>0.98675496688741726</v>
      </c>
      <c r="L260" s="193">
        <v>1890</v>
      </c>
      <c r="M260" s="193">
        <v>643</v>
      </c>
      <c r="N260" s="194">
        <f>IF(Entity_Unit_Costs[[#This Row],[Closing social housing units managed]]&gt;0,(Entity_Unit_Costs[[#This Row],[Major repairs expenditure]]+Entity_Unit_Costs[[#This Row],[Capitalised major repairs expenditure for period]])/Entity_Unit_Costs[[#This Row],[Closing social housing units managed]],"")</f>
        <v>1.2434748733930658</v>
      </c>
      <c r="O260" s="193">
        <v>489</v>
      </c>
      <c r="P260" s="193">
        <v>2703</v>
      </c>
      <c r="Q26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v>
      </c>
      <c r="R260" s="193">
        <v>0</v>
      </c>
      <c r="S260" s="193">
        <v>0</v>
      </c>
      <c r="T260" s="193">
        <v>0</v>
      </c>
      <c r="U260" s="193">
        <v>0</v>
      </c>
      <c r="V260" s="195">
        <v>0</v>
      </c>
      <c r="W260" s="183">
        <v>4.707464694014795E-3</v>
      </c>
      <c r="X260" s="183">
        <v>8.6751849361129785E-2</v>
      </c>
      <c r="Y260" s="184" t="s">
        <v>1257</v>
      </c>
      <c r="Z260" s="185">
        <v>34418</v>
      </c>
      <c r="AA260" s="186" t="s">
        <v>1268</v>
      </c>
      <c r="AB260" s="187" t="s">
        <v>1260</v>
      </c>
      <c r="AC260" s="188">
        <v>0.91696221520412835</v>
      </c>
      <c r="AD260" s="186" t="s">
        <v>718</v>
      </c>
      <c r="AE260" s="187" t="s">
        <v>717</v>
      </c>
    </row>
    <row r="261" spans="1:31" x14ac:dyDescent="0.2">
      <c r="A261" s="197">
        <v>4717</v>
      </c>
      <c r="B261" s="190" t="s">
        <v>863</v>
      </c>
      <c r="C261" s="196" t="s">
        <v>200</v>
      </c>
      <c r="D261" s="192">
        <v>1047</v>
      </c>
      <c r="E26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3343</v>
      </c>
      <c r="F261" s="194">
        <f>IF(Entity_Unit_Costs[[#This Row],[Closing social housing units managed]]&gt;0,Entity_Unit_Costs[[#This Row],[Headline Social Housing Cost]]/Entity_Unit_Costs[[#This Row],[Closing social housing units managed]],"")</f>
        <v>3.1929321872015284</v>
      </c>
      <c r="G261" s="194">
        <f>IF(Entity_Unit_Costs[[#This Row],[Closing social housing units managed]]&gt;0,Entity_Unit_Costs[[#This Row],[Management]]/Entity_Unit_Costs[[#This Row],[Closing social housing units managed]],"")</f>
        <v>0.96466093600764091</v>
      </c>
      <c r="H261" s="193">
        <v>1010</v>
      </c>
      <c r="I261" s="194">
        <f>IF(Entity_Unit_Costs[[#This Row],[Closing social housing units managed]]&gt;0,Entity_Unit_Costs[[#This Row],[Service charge costs]]/Entity_Unit_Costs[[#This Row],[Closing social housing units managed]],"")</f>
        <v>0.68099331423113663</v>
      </c>
      <c r="J261" s="193">
        <v>713</v>
      </c>
      <c r="K261" s="194">
        <f>IF(Entity_Unit_Costs[[#This Row],[Closing social housing units managed]]&gt;0,(Entity_Unit_Costs[[#This Row],[Routine maintenance]]+Entity_Unit_Costs[[#This Row],[Planned maintenance]])/Entity_Unit_Costs[[#This Row],[Closing social housing units managed]],"")</f>
        <v>0.85768863419293218</v>
      </c>
      <c r="L261" s="193">
        <v>791</v>
      </c>
      <c r="M261" s="193">
        <v>107</v>
      </c>
      <c r="N261" s="194">
        <f>IF(Entity_Unit_Costs[[#This Row],[Closing social housing units managed]]&gt;0,(Entity_Unit_Costs[[#This Row],[Major repairs expenditure]]+Entity_Unit_Costs[[#This Row],[Capitalised major repairs expenditure for period]])/Entity_Unit_Costs[[#This Row],[Closing social housing units managed]],"")</f>
        <v>0.68958930276981856</v>
      </c>
      <c r="O261" s="193">
        <v>513</v>
      </c>
      <c r="P261" s="193">
        <v>209</v>
      </c>
      <c r="Q26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v>
      </c>
      <c r="R261" s="193">
        <v>0</v>
      </c>
      <c r="S261" s="193">
        <v>0</v>
      </c>
      <c r="T261" s="193">
        <v>0</v>
      </c>
      <c r="U261" s="193">
        <v>0</v>
      </c>
      <c r="V261" s="195">
        <v>0</v>
      </c>
      <c r="W261" s="183">
        <v>0</v>
      </c>
      <c r="X261" s="183">
        <v>0.14040114613180515</v>
      </c>
      <c r="Y261" s="184" t="s">
        <v>1256</v>
      </c>
      <c r="Z261" s="185"/>
      <c r="AA261" s="186" t="s">
        <v>1279</v>
      </c>
      <c r="AB261" s="187" t="s">
        <v>1258</v>
      </c>
      <c r="AC261" s="188">
        <v>0.96416382665005629</v>
      </c>
      <c r="AD261" s="186" t="s">
        <v>718</v>
      </c>
      <c r="AE261" s="187" t="s">
        <v>717</v>
      </c>
    </row>
    <row r="262" spans="1:31" x14ac:dyDescent="0.2">
      <c r="A262" s="189" t="s">
        <v>718</v>
      </c>
      <c r="B262" s="190" t="s">
        <v>717</v>
      </c>
      <c r="C262" s="196" t="s">
        <v>200</v>
      </c>
      <c r="D262" s="192">
        <v>12351</v>
      </c>
      <c r="E26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57613</v>
      </c>
      <c r="F262" s="194">
        <f>IF(Entity_Unit_Costs[[#This Row],[Closing social housing units managed]]&gt;0,Entity_Unit_Costs[[#This Row],[Headline Social Housing Cost]]/Entity_Unit_Costs[[#This Row],[Closing social housing units managed]],"")</f>
        <v>4.664642539065663</v>
      </c>
      <c r="G262" s="194">
        <f>IF(Entity_Unit_Costs[[#This Row],[Closing social housing units managed]]&gt;0,Entity_Unit_Costs[[#This Row],[Management]]/Entity_Unit_Costs[[#This Row],[Closing social housing units managed]],"")</f>
        <v>2.4342968180714113</v>
      </c>
      <c r="H262" s="193">
        <v>30066</v>
      </c>
      <c r="I262" s="194">
        <f>IF(Entity_Unit_Costs[[#This Row],[Closing social housing units managed]]&gt;0,Entity_Unit_Costs[[#This Row],[Service charge costs]]/Entity_Unit_Costs[[#This Row],[Closing social housing units managed]],"")</f>
        <v>0.73832078374220711</v>
      </c>
      <c r="J262" s="193">
        <v>9119</v>
      </c>
      <c r="K262" s="194">
        <f>IF(Entity_Unit_Costs[[#This Row],[Closing social housing units managed]]&gt;0,(Entity_Unit_Costs[[#This Row],[Routine maintenance]]+Entity_Unit_Costs[[#This Row],[Planned maintenance]])/Entity_Unit_Costs[[#This Row],[Closing social housing units managed]],"")</f>
        <v>0.8177475508056028</v>
      </c>
      <c r="L262" s="193">
        <v>8300</v>
      </c>
      <c r="M262" s="193">
        <v>1800</v>
      </c>
      <c r="N262" s="194">
        <f>IF(Entity_Unit_Costs[[#This Row],[Closing social housing units managed]]&gt;0,(Entity_Unit_Costs[[#This Row],[Major repairs expenditure]]+Entity_Unit_Costs[[#This Row],[Capitalised major repairs expenditure for period]])/Entity_Unit_Costs[[#This Row],[Closing social housing units managed]],"")</f>
        <v>0.54878147518419562</v>
      </c>
      <c r="O262" s="193">
        <v>2013</v>
      </c>
      <c r="P262" s="193">
        <v>4765</v>
      </c>
      <c r="Q26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0.12549591126224596</v>
      </c>
      <c r="R262" s="193">
        <v>0</v>
      </c>
      <c r="S262" s="193">
        <v>0</v>
      </c>
      <c r="T262" s="193">
        <v>958</v>
      </c>
      <c r="U262" s="193">
        <v>592</v>
      </c>
      <c r="V262" s="195">
        <v>0</v>
      </c>
      <c r="W262" s="183">
        <v>2.6801561945331915E-2</v>
      </c>
      <c r="X262" s="183">
        <v>0.11013489527866524</v>
      </c>
      <c r="Y262" s="184" t="s">
        <v>1256</v>
      </c>
      <c r="Z262" s="185"/>
      <c r="AA262" s="186" t="s">
        <v>1279</v>
      </c>
      <c r="AB262" s="187" t="s">
        <v>1258</v>
      </c>
      <c r="AC262" s="188">
        <v>0.99038916226502893</v>
      </c>
      <c r="AD262" s="186" t="s">
        <v>718</v>
      </c>
      <c r="AE262" s="187" t="s">
        <v>717</v>
      </c>
    </row>
    <row r="263" spans="1:31" x14ac:dyDescent="0.2">
      <c r="A263" s="189" t="s">
        <v>719</v>
      </c>
      <c r="B263" s="190" t="s">
        <v>720</v>
      </c>
      <c r="C263" s="196" t="s">
        <v>200</v>
      </c>
      <c r="D263" s="192">
        <v>2874</v>
      </c>
      <c r="E26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7113</v>
      </c>
      <c r="F263" s="194">
        <f>IF(Entity_Unit_Costs[[#This Row],[Closing social housing units managed]]&gt;0,Entity_Unit_Costs[[#This Row],[Headline Social Housing Cost]]/Entity_Unit_Costs[[#This Row],[Closing social housing units managed]],"")</f>
        <v>2.4749478079331944</v>
      </c>
      <c r="G263" s="194">
        <f>IF(Entity_Unit_Costs[[#This Row],[Closing social housing units managed]]&gt;0,Entity_Unit_Costs[[#This Row],[Management]]/Entity_Unit_Costs[[#This Row],[Closing social housing units managed]],"")</f>
        <v>1.1416144745998609</v>
      </c>
      <c r="H263" s="193">
        <v>3281</v>
      </c>
      <c r="I263" s="194">
        <f>IF(Entity_Unit_Costs[[#This Row],[Closing social housing units managed]]&gt;0,Entity_Unit_Costs[[#This Row],[Service charge costs]]/Entity_Unit_Costs[[#This Row],[Closing social housing units managed]],"")</f>
        <v>0.38865692414752956</v>
      </c>
      <c r="J263" s="193">
        <v>1117</v>
      </c>
      <c r="K263" s="194">
        <f>IF(Entity_Unit_Costs[[#This Row],[Closing social housing units managed]]&gt;0,(Entity_Unit_Costs[[#This Row],[Routine maintenance]]+Entity_Unit_Costs[[#This Row],[Planned maintenance]])/Entity_Unit_Costs[[#This Row],[Closing social housing units managed]],"")</f>
        <v>0.68128044537230337</v>
      </c>
      <c r="L263" s="193">
        <v>1818</v>
      </c>
      <c r="M263" s="193">
        <v>140</v>
      </c>
      <c r="N263" s="194">
        <f>IF(Entity_Unit_Costs[[#This Row],[Closing social housing units managed]]&gt;0,(Entity_Unit_Costs[[#This Row],[Major repairs expenditure]]+Entity_Unit_Costs[[#This Row],[Capitalised major repairs expenditure for period]])/Entity_Unit_Costs[[#This Row],[Closing social housing units managed]],"")</f>
        <v>0.26339596381350033</v>
      </c>
      <c r="O263" s="193">
        <v>0</v>
      </c>
      <c r="P263" s="193">
        <v>757</v>
      </c>
      <c r="Q26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v>
      </c>
      <c r="R263" s="193">
        <v>0</v>
      </c>
      <c r="S263" s="193">
        <v>0</v>
      </c>
      <c r="T263" s="193">
        <v>0</v>
      </c>
      <c r="U263" s="193">
        <v>0</v>
      </c>
      <c r="V263" s="195">
        <v>0</v>
      </c>
      <c r="W263" s="183">
        <v>3.3273703041144902E-2</v>
      </c>
      <c r="X263" s="183">
        <v>0.14776386404293382</v>
      </c>
      <c r="Y263" s="184" t="s">
        <v>1256</v>
      </c>
      <c r="Z263" s="185"/>
      <c r="AA263" s="186" t="s">
        <v>1279</v>
      </c>
      <c r="AB263" s="187" t="s">
        <v>1263</v>
      </c>
      <c r="AC263" s="188">
        <v>1.0022399874355168</v>
      </c>
      <c r="AD263" s="186" t="s">
        <v>719</v>
      </c>
      <c r="AE263" s="187" t="s">
        <v>720</v>
      </c>
    </row>
    <row r="264" spans="1:31" x14ac:dyDescent="0.2">
      <c r="A264" s="197">
        <v>4687</v>
      </c>
      <c r="B264" s="190" t="s">
        <v>723</v>
      </c>
      <c r="C264" s="196" t="s">
        <v>200</v>
      </c>
      <c r="D264" s="192">
        <v>1953</v>
      </c>
      <c r="E26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15508</v>
      </c>
      <c r="F264" s="194">
        <f>IF(Entity_Unit_Costs[[#This Row],[Closing social housing units managed]]&gt;0,Entity_Unit_Costs[[#This Row],[Headline Social Housing Cost]]/Entity_Unit_Costs[[#This Row],[Closing social housing units managed]],"")</f>
        <v>7.9406041986687148</v>
      </c>
      <c r="G264" s="194">
        <f>IF(Entity_Unit_Costs[[#This Row],[Closing social housing units managed]]&gt;0,Entity_Unit_Costs[[#This Row],[Management]]/Entity_Unit_Costs[[#This Row],[Closing social housing units managed]],"")</f>
        <v>0.81413210445468509</v>
      </c>
      <c r="H264" s="193">
        <v>1590</v>
      </c>
      <c r="I264" s="194">
        <f>IF(Entity_Unit_Costs[[#This Row],[Closing social housing units managed]]&gt;0,Entity_Unit_Costs[[#This Row],[Service charge costs]]/Entity_Unit_Costs[[#This Row],[Closing social housing units managed]],"")</f>
        <v>7.1264720942140301</v>
      </c>
      <c r="J264" s="193">
        <v>13918</v>
      </c>
      <c r="K264" s="194">
        <f>IF(Entity_Unit_Costs[[#This Row],[Closing social housing units managed]]&gt;0,(Entity_Unit_Costs[[#This Row],[Routine maintenance]]+Entity_Unit_Costs[[#This Row],[Planned maintenance]])/Entity_Unit_Costs[[#This Row],[Closing social housing units managed]],"")</f>
        <v>0</v>
      </c>
      <c r="L264" s="193">
        <v>0</v>
      </c>
      <c r="M264" s="193">
        <v>0</v>
      </c>
      <c r="N264" s="194">
        <f>IF(Entity_Unit_Costs[[#This Row],[Closing social housing units managed]]&gt;0,(Entity_Unit_Costs[[#This Row],[Major repairs expenditure]]+Entity_Unit_Costs[[#This Row],[Capitalised major repairs expenditure for period]])/Entity_Unit_Costs[[#This Row],[Closing social housing units managed]],"")</f>
        <v>0</v>
      </c>
      <c r="O264" s="193">
        <v>0</v>
      </c>
      <c r="P264" s="193">
        <v>0</v>
      </c>
      <c r="Q26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v>
      </c>
      <c r="R264" s="193">
        <v>0</v>
      </c>
      <c r="S264" s="193">
        <v>0</v>
      </c>
      <c r="T264" s="193">
        <v>0</v>
      </c>
      <c r="U264" s="193">
        <v>0</v>
      </c>
      <c r="V264" s="195">
        <v>0</v>
      </c>
      <c r="W264" s="183">
        <v>1</v>
      </c>
      <c r="X264" s="183">
        <v>0</v>
      </c>
      <c r="Y264" s="184" t="s">
        <v>1256</v>
      </c>
      <c r="Z264" s="185"/>
      <c r="AA264" s="186" t="s">
        <v>1279</v>
      </c>
      <c r="AB264" s="187" t="s">
        <v>1260</v>
      </c>
      <c r="AC264" s="188">
        <v>0.9157275329913267</v>
      </c>
      <c r="AD264" s="186">
        <v>4687</v>
      </c>
      <c r="AE264" s="187" t="s">
        <v>723</v>
      </c>
    </row>
    <row r="265" spans="1:31" x14ac:dyDescent="0.2">
      <c r="A265" s="189" t="s">
        <v>726</v>
      </c>
      <c r="B265" s="190" t="s">
        <v>725</v>
      </c>
      <c r="C265" s="196" t="s">
        <v>200</v>
      </c>
      <c r="D265" s="192">
        <v>8823</v>
      </c>
      <c r="E26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41899</v>
      </c>
      <c r="F265" s="194">
        <f>IF(Entity_Unit_Costs[[#This Row],[Closing social housing units managed]]&gt;0,Entity_Unit_Costs[[#This Row],[Headline Social Housing Cost]]/Entity_Unit_Costs[[#This Row],[Closing social housing units managed]],"")</f>
        <v>4.7488382636291515</v>
      </c>
      <c r="G265" s="194">
        <f>IF(Entity_Unit_Costs[[#This Row],[Closing social housing units managed]]&gt;0,Entity_Unit_Costs[[#This Row],[Management]]/Entity_Unit_Costs[[#This Row],[Closing social housing units managed]],"")</f>
        <v>1.2891306811742038</v>
      </c>
      <c r="H265" s="193">
        <v>11374</v>
      </c>
      <c r="I265" s="194">
        <f>IF(Entity_Unit_Costs[[#This Row],[Closing social housing units managed]]&gt;0,Entity_Unit_Costs[[#This Row],[Service charge costs]]/Entity_Unit_Costs[[#This Row],[Closing social housing units managed]],"")</f>
        <v>0.33446673467074689</v>
      </c>
      <c r="J265" s="193">
        <v>2951</v>
      </c>
      <c r="K265" s="194">
        <f>IF(Entity_Unit_Costs[[#This Row],[Closing social housing units managed]]&gt;0,(Entity_Unit_Costs[[#This Row],[Routine maintenance]]+Entity_Unit_Costs[[#This Row],[Planned maintenance]])/Entity_Unit_Costs[[#This Row],[Closing social housing units managed]],"")</f>
        <v>0.77842003853564545</v>
      </c>
      <c r="L265" s="193">
        <v>4315</v>
      </c>
      <c r="M265" s="193">
        <v>2553</v>
      </c>
      <c r="N265" s="194">
        <f>IF(Entity_Unit_Costs[[#This Row],[Closing social housing units managed]]&gt;0,(Entity_Unit_Costs[[#This Row],[Major repairs expenditure]]+Entity_Unit_Costs[[#This Row],[Capitalised major repairs expenditure for period]])/Entity_Unit_Costs[[#This Row],[Closing social housing units managed]],"")</f>
        <v>0.49733650685707809</v>
      </c>
      <c r="O265" s="193">
        <v>0</v>
      </c>
      <c r="P265" s="193">
        <v>4388</v>
      </c>
      <c r="Q26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1.8494843023914769</v>
      </c>
      <c r="R265" s="193">
        <v>0</v>
      </c>
      <c r="S265" s="193">
        <v>2796</v>
      </c>
      <c r="T265" s="193">
        <v>13522</v>
      </c>
      <c r="U265" s="193">
        <v>0</v>
      </c>
      <c r="V265" s="195">
        <v>0</v>
      </c>
      <c r="W265" s="183">
        <v>2.7880452001267292E-2</v>
      </c>
      <c r="X265" s="183">
        <v>8.3430140458337736E-3</v>
      </c>
      <c r="Y265" s="184" t="s">
        <v>1256</v>
      </c>
      <c r="Z265" s="185"/>
      <c r="AA265" s="186" t="s">
        <v>1279</v>
      </c>
      <c r="AB265" s="187" t="s">
        <v>1263</v>
      </c>
      <c r="AC265" s="188">
        <v>1.0943665651041652</v>
      </c>
      <c r="AD265" s="186" t="s">
        <v>726</v>
      </c>
      <c r="AE265" s="187" t="s">
        <v>725</v>
      </c>
    </row>
    <row r="266" spans="1:31" x14ac:dyDescent="0.2">
      <c r="A266" s="197">
        <v>4680</v>
      </c>
      <c r="B266" s="190" t="s">
        <v>729</v>
      </c>
      <c r="C266" s="196" t="s">
        <v>200</v>
      </c>
      <c r="D266" s="192">
        <v>9191</v>
      </c>
      <c r="E26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26140</v>
      </c>
      <c r="F266" s="194">
        <f>IF(Entity_Unit_Costs[[#This Row],[Closing social housing units managed]]&gt;0,Entity_Unit_Costs[[#This Row],[Headline Social Housing Cost]]/Entity_Unit_Costs[[#This Row],[Closing social housing units managed]],"")</f>
        <v>2.8440866064628443</v>
      </c>
      <c r="G266" s="194">
        <f>IF(Entity_Unit_Costs[[#This Row],[Closing social housing units managed]]&gt;0,Entity_Unit_Costs[[#This Row],[Management]]/Entity_Unit_Costs[[#This Row],[Closing social housing units managed]],"")</f>
        <v>0.82624306386682622</v>
      </c>
      <c r="H266" s="193">
        <v>7594</v>
      </c>
      <c r="I266" s="194">
        <f>IF(Entity_Unit_Costs[[#This Row],[Closing social housing units managed]]&gt;0,Entity_Unit_Costs[[#This Row],[Service charge costs]]/Entity_Unit_Costs[[#This Row],[Closing social housing units managed]],"")</f>
        <v>0.44434773147644435</v>
      </c>
      <c r="J266" s="193">
        <v>4084</v>
      </c>
      <c r="K266" s="194">
        <f>IF(Entity_Unit_Costs[[#This Row],[Closing social housing units managed]]&gt;0,(Entity_Unit_Costs[[#This Row],[Routine maintenance]]+Entity_Unit_Costs[[#This Row],[Planned maintenance]])/Entity_Unit_Costs[[#This Row],[Closing social housing units managed]],"")</f>
        <v>0.74866717440974861</v>
      </c>
      <c r="L266" s="193">
        <v>4469</v>
      </c>
      <c r="M266" s="193">
        <v>2412</v>
      </c>
      <c r="N266" s="194">
        <f>IF(Entity_Unit_Costs[[#This Row],[Closing social housing units managed]]&gt;0,(Entity_Unit_Costs[[#This Row],[Major repairs expenditure]]+Entity_Unit_Costs[[#This Row],[Capitalised major repairs expenditure for period]])/Entity_Unit_Costs[[#This Row],[Closing social housing units managed]],"")</f>
        <v>0.76977477967576979</v>
      </c>
      <c r="O266" s="193">
        <v>4155</v>
      </c>
      <c r="P266" s="193">
        <v>2920</v>
      </c>
      <c r="Q26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5.5053857034055055E-2</v>
      </c>
      <c r="R266" s="193">
        <v>0</v>
      </c>
      <c r="S266" s="193">
        <v>0</v>
      </c>
      <c r="T266" s="193">
        <v>342</v>
      </c>
      <c r="U266" s="193">
        <v>0</v>
      </c>
      <c r="V266" s="195">
        <v>164</v>
      </c>
      <c r="W266" s="183">
        <v>5.0911774006535258E-2</v>
      </c>
      <c r="X266" s="183">
        <v>0.14071887846526826</v>
      </c>
      <c r="Y266" s="184" t="s">
        <v>1257</v>
      </c>
      <c r="Z266" s="185">
        <v>36605</v>
      </c>
      <c r="AA266" s="186" t="s">
        <v>1268</v>
      </c>
      <c r="AB266" s="187" t="s">
        <v>1265</v>
      </c>
      <c r="AC266" s="188">
        <v>0.96769408753431629</v>
      </c>
      <c r="AD266" s="186" t="s">
        <v>1225</v>
      </c>
      <c r="AE266" s="187" t="s">
        <v>250</v>
      </c>
    </row>
    <row r="267" spans="1:31" x14ac:dyDescent="0.2">
      <c r="A267" s="189" t="s">
        <v>730</v>
      </c>
      <c r="B267" s="190" t="s">
        <v>731</v>
      </c>
      <c r="C267" s="196" t="s">
        <v>200</v>
      </c>
      <c r="D267" s="192">
        <v>4081</v>
      </c>
      <c r="E26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11945</v>
      </c>
      <c r="F267" s="194">
        <f>IF(Entity_Unit_Costs[[#This Row],[Closing social housing units managed]]&gt;0,Entity_Unit_Costs[[#This Row],[Headline Social Housing Cost]]/Entity_Unit_Costs[[#This Row],[Closing social housing units managed]],"")</f>
        <v>2.9269786816956627</v>
      </c>
      <c r="G267" s="194">
        <f>IF(Entity_Unit_Costs[[#This Row],[Closing social housing units managed]]&gt;0,Entity_Unit_Costs[[#This Row],[Management]]/Entity_Unit_Costs[[#This Row],[Closing social housing units managed]],"")</f>
        <v>0.50183778485665276</v>
      </c>
      <c r="H267" s="193">
        <v>2048</v>
      </c>
      <c r="I267" s="194">
        <f>IF(Entity_Unit_Costs[[#This Row],[Closing social housing units managed]]&gt;0,Entity_Unit_Costs[[#This Row],[Service charge costs]]/Entity_Unit_Costs[[#This Row],[Closing social housing units managed]],"")</f>
        <v>0.48247978436657685</v>
      </c>
      <c r="J267" s="193">
        <v>1969</v>
      </c>
      <c r="K267" s="194">
        <f>IF(Entity_Unit_Costs[[#This Row],[Closing social housing units managed]]&gt;0,(Entity_Unit_Costs[[#This Row],[Routine maintenance]]+Entity_Unit_Costs[[#This Row],[Planned maintenance]])/Entity_Unit_Costs[[#This Row],[Closing social housing units managed]],"")</f>
        <v>0.74589561382014213</v>
      </c>
      <c r="L267" s="193">
        <v>2482</v>
      </c>
      <c r="M267" s="193">
        <v>562</v>
      </c>
      <c r="N267" s="194">
        <f>IF(Entity_Unit_Costs[[#This Row],[Closing social housing units managed]]&gt;0,(Entity_Unit_Costs[[#This Row],[Major repairs expenditure]]+Entity_Unit_Costs[[#This Row],[Capitalised major repairs expenditure for period]])/Entity_Unit_Costs[[#This Row],[Closing social housing units managed]],"")</f>
        <v>0.9377603528546925</v>
      </c>
      <c r="O267" s="193">
        <v>1447</v>
      </c>
      <c r="P267" s="193">
        <v>2380</v>
      </c>
      <c r="Q26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0.25900514579759865</v>
      </c>
      <c r="R267" s="193">
        <v>123</v>
      </c>
      <c r="S267" s="193">
        <v>306</v>
      </c>
      <c r="T267" s="193">
        <v>628</v>
      </c>
      <c r="U267" s="193">
        <v>0</v>
      </c>
      <c r="V267" s="195">
        <v>0</v>
      </c>
      <c r="W267" s="183">
        <v>3.9296046287367409E-2</v>
      </c>
      <c r="X267" s="183">
        <v>7.7868852459016397E-2</v>
      </c>
      <c r="Y267" s="184" t="s">
        <v>1256</v>
      </c>
      <c r="Z267" s="185"/>
      <c r="AA267" s="186" t="s">
        <v>1279</v>
      </c>
      <c r="AB267" s="187" t="s">
        <v>1266</v>
      </c>
      <c r="AC267" s="188">
        <v>0.90839293329045656</v>
      </c>
      <c r="AD267" s="186" t="s">
        <v>1251</v>
      </c>
      <c r="AE267" s="187" t="s">
        <v>768</v>
      </c>
    </row>
    <row r="268" spans="1:31" x14ac:dyDescent="0.2">
      <c r="A268" s="189" t="s">
        <v>732</v>
      </c>
      <c r="B268" s="190" t="s">
        <v>733</v>
      </c>
      <c r="C268" s="191" t="s">
        <v>200</v>
      </c>
      <c r="D268" s="192">
        <v>3601</v>
      </c>
      <c r="E26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10603</v>
      </c>
      <c r="F268" s="194">
        <f>IF(Entity_Unit_Costs[[#This Row],[Closing social housing units managed]]&gt;0,Entity_Unit_Costs[[#This Row],[Headline Social Housing Cost]]/Entity_Unit_Costs[[#This Row],[Closing social housing units managed]],"")</f>
        <v>2.9444598722577062</v>
      </c>
      <c r="G268" s="194">
        <f>IF(Entity_Unit_Costs[[#This Row],[Closing social housing units managed]]&gt;0,Entity_Unit_Costs[[#This Row],[Management]]/Entity_Unit_Costs[[#This Row],[Closing social housing units managed]],"")</f>
        <v>1.0036101083032491</v>
      </c>
      <c r="H268" s="193">
        <v>3614</v>
      </c>
      <c r="I268" s="194">
        <f>IF(Entity_Unit_Costs[[#This Row],[Closing social housing units managed]]&gt;0,Entity_Unit_Costs[[#This Row],[Service charge costs]]/Entity_Unit_Costs[[#This Row],[Closing social housing units managed]],"")</f>
        <v>0.23632324354346015</v>
      </c>
      <c r="J268" s="193">
        <v>851</v>
      </c>
      <c r="K268" s="194">
        <f>IF(Entity_Unit_Costs[[#This Row],[Closing social housing units managed]]&gt;0,(Entity_Unit_Costs[[#This Row],[Routine maintenance]]+Entity_Unit_Costs[[#This Row],[Planned maintenance]])/Entity_Unit_Costs[[#This Row],[Closing social housing units managed]],"")</f>
        <v>0.68231046931407946</v>
      </c>
      <c r="L268" s="193">
        <v>1718</v>
      </c>
      <c r="M268" s="193">
        <v>739</v>
      </c>
      <c r="N268" s="194">
        <f>IF(Entity_Unit_Costs[[#This Row],[Closing social housing units managed]]&gt;0,(Entity_Unit_Costs[[#This Row],[Major repairs expenditure]]+Entity_Unit_Costs[[#This Row],[Capitalised major repairs expenditure for period]])/Entity_Unit_Costs[[#This Row],[Closing social housing units managed]],"")</f>
        <v>0.95917800610941406</v>
      </c>
      <c r="O268" s="193">
        <v>1776</v>
      </c>
      <c r="P268" s="193">
        <v>1678</v>
      </c>
      <c r="Q26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6.3038044987503469E-2</v>
      </c>
      <c r="R268" s="193">
        <v>52</v>
      </c>
      <c r="S268" s="193">
        <v>175</v>
      </c>
      <c r="T268" s="193">
        <v>0</v>
      </c>
      <c r="U268" s="193">
        <v>0</v>
      </c>
      <c r="V268" s="195">
        <v>0</v>
      </c>
      <c r="W268" s="183">
        <v>0</v>
      </c>
      <c r="X268" s="183">
        <v>0.27641379310344827</v>
      </c>
      <c r="Y268" s="184" t="s">
        <v>1257</v>
      </c>
      <c r="Z268" s="185">
        <v>38021</v>
      </c>
      <c r="AA268" s="186" t="s">
        <v>1268</v>
      </c>
      <c r="AB268" s="187" t="s">
        <v>1265</v>
      </c>
      <c r="AC268" s="188">
        <v>0.96617455710897804</v>
      </c>
      <c r="AD268" s="186" t="s">
        <v>732</v>
      </c>
      <c r="AE268" s="187" t="s">
        <v>733</v>
      </c>
    </row>
    <row r="269" spans="1:31" x14ac:dyDescent="0.2">
      <c r="A269" s="189" t="s">
        <v>734</v>
      </c>
      <c r="B269" s="190" t="s">
        <v>735</v>
      </c>
      <c r="C269" s="191" t="s">
        <v>200</v>
      </c>
      <c r="D269" s="192">
        <v>11944</v>
      </c>
      <c r="E26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33835</v>
      </c>
      <c r="F269" s="194">
        <f>IF(Entity_Unit_Costs[[#This Row],[Closing social housing units managed]]&gt;0,Entity_Unit_Costs[[#This Row],[Headline Social Housing Cost]]/Entity_Unit_Costs[[#This Row],[Closing social housing units managed]],"")</f>
        <v>2.8328030810448759</v>
      </c>
      <c r="G269" s="194">
        <f>IF(Entity_Unit_Costs[[#This Row],[Closing social housing units managed]]&gt;0,Entity_Unit_Costs[[#This Row],[Management]]/Entity_Unit_Costs[[#This Row],[Closing social housing units managed]],"")</f>
        <v>0.35582719356999332</v>
      </c>
      <c r="H269" s="193">
        <v>4250</v>
      </c>
      <c r="I269" s="194">
        <f>IF(Entity_Unit_Costs[[#This Row],[Closing social housing units managed]]&gt;0,Entity_Unit_Costs[[#This Row],[Service charge costs]]/Entity_Unit_Costs[[#This Row],[Closing social housing units managed]],"")</f>
        <v>0.8818653717347622</v>
      </c>
      <c r="J269" s="193">
        <v>10533</v>
      </c>
      <c r="K269" s="194">
        <f>IF(Entity_Unit_Costs[[#This Row],[Closing social housing units managed]]&gt;0,(Entity_Unit_Costs[[#This Row],[Routine maintenance]]+Entity_Unit_Costs[[#This Row],[Planned maintenance]])/Entity_Unit_Costs[[#This Row],[Closing social housing units managed]],"")</f>
        <v>0.77721031480241121</v>
      </c>
      <c r="L269" s="193">
        <v>8029</v>
      </c>
      <c r="M269" s="193">
        <v>1254</v>
      </c>
      <c r="N269" s="194">
        <f>IF(Entity_Unit_Costs[[#This Row],[Closing social housing units managed]]&gt;0,(Entity_Unit_Costs[[#This Row],[Major repairs expenditure]]+Entity_Unit_Costs[[#This Row],[Capitalised major repairs expenditure for period]])/Entity_Unit_Costs[[#This Row],[Closing social housing units managed]],"")</f>
        <v>0.36026456798392498</v>
      </c>
      <c r="O269" s="193">
        <v>2010</v>
      </c>
      <c r="P269" s="193">
        <v>2293</v>
      </c>
      <c r="Q26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0.45763563295378434</v>
      </c>
      <c r="R269" s="193">
        <v>307</v>
      </c>
      <c r="S269" s="193">
        <v>0</v>
      </c>
      <c r="T269" s="193">
        <v>5159</v>
      </c>
      <c r="U269" s="193">
        <v>0</v>
      </c>
      <c r="V269" s="195">
        <v>0</v>
      </c>
      <c r="W269" s="183">
        <v>0</v>
      </c>
      <c r="X269" s="183">
        <v>1.838413159167876E-3</v>
      </c>
      <c r="Y269" s="184" t="s">
        <v>1256</v>
      </c>
      <c r="Z269" s="185"/>
      <c r="AA269" s="186" t="s">
        <v>1279</v>
      </c>
      <c r="AB269" s="187" t="s">
        <v>1259</v>
      </c>
      <c r="AC269" s="188">
        <v>1.0681629665716859</v>
      </c>
      <c r="AD269" s="186" t="s">
        <v>738</v>
      </c>
      <c r="AE269" s="187" t="s">
        <v>737</v>
      </c>
    </row>
    <row r="270" spans="1:31" x14ac:dyDescent="0.2">
      <c r="A270" s="189" t="s">
        <v>738</v>
      </c>
      <c r="B270" s="190" t="s">
        <v>737</v>
      </c>
      <c r="C270" s="196" t="s">
        <v>200</v>
      </c>
      <c r="D270" s="192">
        <v>1576</v>
      </c>
      <c r="E27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21584</v>
      </c>
      <c r="F270" s="194">
        <f>IF(Entity_Unit_Costs[[#This Row],[Closing social housing units managed]]&gt;0,Entity_Unit_Costs[[#This Row],[Headline Social Housing Cost]]/Entity_Unit_Costs[[#This Row],[Closing social housing units managed]],"")</f>
        <v>13.695431472081218</v>
      </c>
      <c r="G270" s="194">
        <f>IF(Entity_Unit_Costs[[#This Row],[Closing social housing units managed]]&gt;0,Entity_Unit_Costs[[#This Row],[Management]]/Entity_Unit_Costs[[#This Row],[Closing social housing units managed]],"")</f>
        <v>0.30710659898477155</v>
      </c>
      <c r="H270" s="193">
        <v>484</v>
      </c>
      <c r="I270" s="194">
        <f>IF(Entity_Unit_Costs[[#This Row],[Closing social housing units managed]]&gt;0,Entity_Unit_Costs[[#This Row],[Service charge costs]]/Entity_Unit_Costs[[#This Row],[Closing social housing units managed]],"")</f>
        <v>1.2671319796954315</v>
      </c>
      <c r="J270" s="193">
        <v>1997</v>
      </c>
      <c r="K270" s="194">
        <f>IF(Entity_Unit_Costs[[#This Row],[Closing social housing units managed]]&gt;0,(Entity_Unit_Costs[[#This Row],[Routine maintenance]]+Entity_Unit_Costs[[#This Row],[Planned maintenance]])/Entity_Unit_Costs[[#This Row],[Closing social housing units managed]],"")</f>
        <v>0.30520304568527917</v>
      </c>
      <c r="L270" s="193">
        <v>481</v>
      </c>
      <c r="M270" s="193">
        <v>0</v>
      </c>
      <c r="N270" s="194">
        <f>IF(Entity_Unit_Costs[[#This Row],[Closing social housing units managed]]&gt;0,(Entity_Unit_Costs[[#This Row],[Major repairs expenditure]]+Entity_Unit_Costs[[#This Row],[Capitalised major repairs expenditure for period]])/Entity_Unit_Costs[[#This Row],[Closing social housing units managed]],"")</f>
        <v>0.14530456852791879</v>
      </c>
      <c r="O270" s="193">
        <v>229</v>
      </c>
      <c r="P270" s="193">
        <v>0</v>
      </c>
      <c r="Q27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11.670685279187817</v>
      </c>
      <c r="R270" s="193">
        <v>-26</v>
      </c>
      <c r="S270" s="193">
        <v>0</v>
      </c>
      <c r="T270" s="193">
        <v>18419</v>
      </c>
      <c r="U270" s="193">
        <v>0</v>
      </c>
      <c r="V270" s="195">
        <v>0</v>
      </c>
      <c r="W270" s="183">
        <v>0</v>
      </c>
      <c r="X270" s="183">
        <v>1.6021361815754338E-3</v>
      </c>
      <c r="Y270" s="184" t="s">
        <v>1256</v>
      </c>
      <c r="Z270" s="185"/>
      <c r="AA270" s="186" t="s">
        <v>1279</v>
      </c>
      <c r="AB270" s="187" t="s">
        <v>1267</v>
      </c>
      <c r="AC270" s="188">
        <v>1.2169367253080565</v>
      </c>
      <c r="AD270" s="186" t="s">
        <v>738</v>
      </c>
      <c r="AE270" s="187" t="s">
        <v>737</v>
      </c>
    </row>
    <row r="271" spans="1:31" x14ac:dyDescent="0.2">
      <c r="A271" s="189" t="s">
        <v>741</v>
      </c>
      <c r="B271" s="190" t="s">
        <v>740</v>
      </c>
      <c r="C271" s="196" t="s">
        <v>200</v>
      </c>
      <c r="D271" s="192">
        <v>2015</v>
      </c>
      <c r="E27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43378</v>
      </c>
      <c r="F271" s="194">
        <f>IF(Entity_Unit_Costs[[#This Row],[Closing social housing units managed]]&gt;0,Entity_Unit_Costs[[#This Row],[Headline Social Housing Cost]]/Entity_Unit_Costs[[#This Row],[Closing social housing units managed]],"")</f>
        <v>21.527543424317617</v>
      </c>
      <c r="G271" s="194">
        <f>IF(Entity_Unit_Costs[[#This Row],[Closing social housing units managed]]&gt;0,Entity_Unit_Costs[[#This Row],[Management]]/Entity_Unit_Costs[[#This Row],[Closing social housing units managed]],"")</f>
        <v>3.5751861042183624</v>
      </c>
      <c r="H271" s="193">
        <v>7204</v>
      </c>
      <c r="I271" s="194">
        <f>IF(Entity_Unit_Costs[[#This Row],[Closing social housing units managed]]&gt;0,Entity_Unit_Costs[[#This Row],[Service charge costs]]/Entity_Unit_Costs[[#This Row],[Closing social housing units managed]],"")</f>
        <v>14.515136476426798</v>
      </c>
      <c r="J271" s="193">
        <v>29248</v>
      </c>
      <c r="K271" s="194">
        <f>IF(Entity_Unit_Costs[[#This Row],[Closing social housing units managed]]&gt;0,(Entity_Unit_Costs[[#This Row],[Routine maintenance]]+Entity_Unit_Costs[[#This Row],[Planned maintenance]])/Entity_Unit_Costs[[#This Row],[Closing social housing units managed]],"")</f>
        <v>0.5533498759305211</v>
      </c>
      <c r="L271" s="193">
        <v>1115</v>
      </c>
      <c r="M271" s="193">
        <v>0</v>
      </c>
      <c r="N271" s="194">
        <f>IF(Entity_Unit_Costs[[#This Row],[Closing social housing units managed]]&gt;0,(Entity_Unit_Costs[[#This Row],[Major repairs expenditure]]+Entity_Unit_Costs[[#This Row],[Capitalised major repairs expenditure for period]])/Entity_Unit_Costs[[#This Row],[Closing social housing units managed]],"")</f>
        <v>2.8838709677419354</v>
      </c>
      <c r="O271" s="193">
        <v>418</v>
      </c>
      <c r="P271" s="193">
        <v>5393</v>
      </c>
      <c r="Q27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v>
      </c>
      <c r="R271" s="193">
        <v>0</v>
      </c>
      <c r="S271" s="193">
        <v>0</v>
      </c>
      <c r="T271" s="193">
        <v>0</v>
      </c>
      <c r="U271" s="193">
        <v>0</v>
      </c>
      <c r="V271" s="195">
        <v>0</v>
      </c>
      <c r="W271" s="183">
        <v>0</v>
      </c>
      <c r="X271" s="183">
        <v>0.98942598187311182</v>
      </c>
      <c r="Y271" s="184" t="s">
        <v>1256</v>
      </c>
      <c r="Z271" s="185"/>
      <c r="AA271" s="186" t="s">
        <v>1279</v>
      </c>
      <c r="AB271" s="187" t="s">
        <v>1258</v>
      </c>
      <c r="AC271" s="188">
        <v>0.97743885050867507</v>
      </c>
      <c r="AD271" s="186" t="s">
        <v>741</v>
      </c>
      <c r="AE271" s="187" t="s">
        <v>740</v>
      </c>
    </row>
    <row r="272" spans="1:31" x14ac:dyDescent="0.2">
      <c r="A272" s="189" t="s">
        <v>168</v>
      </c>
      <c r="B272" s="190" t="s">
        <v>167</v>
      </c>
      <c r="C272" s="196" t="s">
        <v>200</v>
      </c>
      <c r="D272" s="192">
        <v>2735</v>
      </c>
      <c r="E27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16379</v>
      </c>
      <c r="F272" s="194">
        <f>IF(Entity_Unit_Costs[[#This Row],[Closing social housing units managed]]&gt;0,Entity_Unit_Costs[[#This Row],[Headline Social Housing Cost]]/Entity_Unit_Costs[[#This Row],[Closing social housing units managed]],"")</f>
        <v>5.9886654478976231</v>
      </c>
      <c r="G272" s="194">
        <f>IF(Entity_Unit_Costs[[#This Row],[Closing social housing units managed]]&gt;0,Entity_Unit_Costs[[#This Row],[Management]]/Entity_Unit_Costs[[#This Row],[Closing social housing units managed]],"")</f>
        <v>1.5261425959780621</v>
      </c>
      <c r="H272" s="193">
        <v>4174</v>
      </c>
      <c r="I272" s="194">
        <f>IF(Entity_Unit_Costs[[#This Row],[Closing social housing units managed]]&gt;0,Entity_Unit_Costs[[#This Row],[Service charge costs]]/Entity_Unit_Costs[[#This Row],[Closing social housing units managed]],"")</f>
        <v>2.1542961608775135</v>
      </c>
      <c r="J272" s="193">
        <v>5892</v>
      </c>
      <c r="K272" s="194">
        <f>IF(Entity_Unit_Costs[[#This Row],[Closing social housing units managed]]&gt;0,(Entity_Unit_Costs[[#This Row],[Routine maintenance]]+Entity_Unit_Costs[[#This Row],[Planned maintenance]])/Entity_Unit_Costs[[#This Row],[Closing social housing units managed]],"")</f>
        <v>1.0574040219378429</v>
      </c>
      <c r="L272" s="193">
        <v>1859</v>
      </c>
      <c r="M272" s="193">
        <v>1033</v>
      </c>
      <c r="N272" s="194">
        <f>IF(Entity_Unit_Costs[[#This Row],[Closing social housing units managed]]&gt;0,(Entity_Unit_Costs[[#This Row],[Major repairs expenditure]]+Entity_Unit_Costs[[#This Row],[Capitalised major repairs expenditure for period]])/Entity_Unit_Costs[[#This Row],[Closing social housing units managed]],"")</f>
        <v>0.42522851919561244</v>
      </c>
      <c r="O272" s="193">
        <v>0</v>
      </c>
      <c r="P272" s="193">
        <v>1163</v>
      </c>
      <c r="Q27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0.82559414990859237</v>
      </c>
      <c r="R272" s="193">
        <v>106</v>
      </c>
      <c r="S272" s="193">
        <v>1080</v>
      </c>
      <c r="T272" s="193">
        <v>1072</v>
      </c>
      <c r="U272" s="193">
        <v>0</v>
      </c>
      <c r="V272" s="195">
        <v>0</v>
      </c>
      <c r="W272" s="183">
        <v>6.6373303997066369E-2</v>
      </c>
      <c r="X272" s="183">
        <v>0.13274660799413274</v>
      </c>
      <c r="Y272" s="184" t="s">
        <v>1256</v>
      </c>
      <c r="Z272" s="185"/>
      <c r="AA272" s="186" t="s">
        <v>1279</v>
      </c>
      <c r="AB272" s="187" t="s">
        <v>1263</v>
      </c>
      <c r="AC272" s="188">
        <v>1.0022399874355168</v>
      </c>
      <c r="AD272" s="186" t="s">
        <v>168</v>
      </c>
      <c r="AE272" s="187" t="s">
        <v>167</v>
      </c>
    </row>
    <row r="273" spans="1:31" x14ac:dyDescent="0.2">
      <c r="A273" s="189" t="s">
        <v>743</v>
      </c>
      <c r="B273" s="190" t="s">
        <v>744</v>
      </c>
      <c r="C273" s="191" t="s">
        <v>200</v>
      </c>
      <c r="D273" s="192">
        <v>1486</v>
      </c>
      <c r="E27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11450</v>
      </c>
      <c r="F273" s="194">
        <f>IF(Entity_Unit_Costs[[#This Row],[Closing social housing units managed]]&gt;0,Entity_Unit_Costs[[#This Row],[Headline Social Housing Cost]]/Entity_Unit_Costs[[#This Row],[Closing social housing units managed]],"")</f>
        <v>7.7052489905787347</v>
      </c>
      <c r="G273" s="194">
        <f>IF(Entity_Unit_Costs[[#This Row],[Closing social housing units managed]]&gt;0,Entity_Unit_Costs[[#This Row],[Management]]/Entity_Unit_Costs[[#This Row],[Closing social housing units managed]],"")</f>
        <v>1.5699865410497982</v>
      </c>
      <c r="H273" s="193">
        <v>2333</v>
      </c>
      <c r="I273" s="194">
        <f>IF(Entity_Unit_Costs[[#This Row],[Closing social housing units managed]]&gt;0,Entity_Unit_Costs[[#This Row],[Service charge costs]]/Entity_Unit_Costs[[#This Row],[Closing social housing units managed]],"")</f>
        <v>1.3088829071332435</v>
      </c>
      <c r="J273" s="193">
        <v>1945</v>
      </c>
      <c r="K273" s="194">
        <f>IF(Entity_Unit_Costs[[#This Row],[Closing social housing units managed]]&gt;0,(Entity_Unit_Costs[[#This Row],[Routine maintenance]]+Entity_Unit_Costs[[#This Row],[Planned maintenance]])/Entity_Unit_Costs[[#This Row],[Closing social housing units managed]],"")</f>
        <v>1.446164199192463</v>
      </c>
      <c r="L273" s="193">
        <v>1741</v>
      </c>
      <c r="M273" s="193">
        <v>408</v>
      </c>
      <c r="N273" s="194">
        <f>IF(Entity_Unit_Costs[[#This Row],[Closing social housing units managed]]&gt;0,(Entity_Unit_Costs[[#This Row],[Major repairs expenditure]]+Entity_Unit_Costs[[#This Row],[Capitalised major repairs expenditure for period]])/Entity_Unit_Costs[[#This Row],[Closing social housing units managed]],"")</f>
        <v>0.96769851951547781</v>
      </c>
      <c r="O273" s="193">
        <v>0</v>
      </c>
      <c r="P273" s="193">
        <v>1438</v>
      </c>
      <c r="Q27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2.4125168236877523</v>
      </c>
      <c r="R273" s="193">
        <v>3585</v>
      </c>
      <c r="S273" s="193">
        <v>0</v>
      </c>
      <c r="T273" s="193">
        <v>0</v>
      </c>
      <c r="U273" s="193">
        <v>0</v>
      </c>
      <c r="V273" s="195">
        <v>0</v>
      </c>
      <c r="W273" s="183">
        <v>0.14939434724091522</v>
      </c>
      <c r="X273" s="183">
        <v>0.15679676985195154</v>
      </c>
      <c r="Y273" s="184" t="s">
        <v>1256</v>
      </c>
      <c r="Z273" s="185"/>
      <c r="AA273" s="186" t="s">
        <v>1279</v>
      </c>
      <c r="AB273" s="187" t="s">
        <v>1267</v>
      </c>
      <c r="AC273" s="188">
        <v>1.2488627787394371</v>
      </c>
      <c r="AD273" s="186" t="s">
        <v>743</v>
      </c>
      <c r="AE273" s="187" t="s">
        <v>1278</v>
      </c>
    </row>
    <row r="274" spans="1:31" x14ac:dyDescent="0.2">
      <c r="A274" s="197">
        <v>4729</v>
      </c>
      <c r="B274" s="190" t="s">
        <v>748</v>
      </c>
      <c r="C274" s="196" t="s">
        <v>200</v>
      </c>
      <c r="D274" s="192">
        <v>64303</v>
      </c>
      <c r="E27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182100</v>
      </c>
      <c r="F274" s="194">
        <f>IF(Entity_Unit_Costs[[#This Row],[Closing social housing units managed]]&gt;0,Entity_Unit_Costs[[#This Row],[Headline Social Housing Cost]]/Entity_Unit_Costs[[#This Row],[Closing social housing units managed]],"")</f>
        <v>2.831905198824316</v>
      </c>
      <c r="G274" s="194">
        <f>IF(Entity_Unit_Costs[[#This Row],[Closing social housing units managed]]&gt;0,Entity_Unit_Costs[[#This Row],[Management]]/Entity_Unit_Costs[[#This Row],[Closing social housing units managed]],"")</f>
        <v>1.2270034057508981</v>
      </c>
      <c r="H274" s="193">
        <v>78900</v>
      </c>
      <c r="I274" s="194">
        <f>IF(Entity_Unit_Costs[[#This Row],[Closing social housing units managed]]&gt;0,Entity_Unit_Costs[[#This Row],[Service charge costs]]/Entity_Unit_Costs[[#This Row],[Closing social housing units managed]],"")</f>
        <v>0.27214904436806991</v>
      </c>
      <c r="J274" s="193">
        <v>17500</v>
      </c>
      <c r="K274" s="194">
        <f>IF(Entity_Unit_Costs[[#This Row],[Closing social housing units managed]]&gt;0,(Entity_Unit_Costs[[#This Row],[Routine maintenance]]+Entity_Unit_Costs[[#This Row],[Planned maintenance]])/Entity_Unit_Costs[[#This Row],[Closing social housing units managed]],"")</f>
        <v>0.65160256908697889</v>
      </c>
      <c r="L274" s="193">
        <v>28900</v>
      </c>
      <c r="M274" s="193">
        <v>13000</v>
      </c>
      <c r="N274" s="194">
        <f>IF(Entity_Unit_Costs[[#This Row],[Closing social housing units managed]]&gt;0,(Entity_Unit_Costs[[#This Row],[Major repairs expenditure]]+Entity_Unit_Costs[[#This Row],[Capitalised major repairs expenditure for period]])/Entity_Unit_Costs[[#This Row],[Closing social housing units managed]],"")</f>
        <v>0.46187580672752437</v>
      </c>
      <c r="O274" s="193">
        <v>11000</v>
      </c>
      <c r="P274" s="193">
        <v>18700</v>
      </c>
      <c r="Q27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0.21927437289084489</v>
      </c>
      <c r="R274" s="193">
        <v>0</v>
      </c>
      <c r="S274" s="193">
        <v>0</v>
      </c>
      <c r="T274" s="193">
        <v>13200</v>
      </c>
      <c r="U274" s="193">
        <v>900</v>
      </c>
      <c r="V274" s="195">
        <v>0</v>
      </c>
      <c r="W274" s="183">
        <v>1.2851797624857653E-2</v>
      </c>
      <c r="X274" s="183">
        <v>0.12271026517000162</v>
      </c>
      <c r="Y274" s="184" t="s">
        <v>1256</v>
      </c>
      <c r="Z274" s="185"/>
      <c r="AA274" s="186" t="s">
        <v>1279</v>
      </c>
      <c r="AB274" s="187" t="s">
        <v>1258</v>
      </c>
      <c r="AC274" s="188">
        <v>0.98120055966085118</v>
      </c>
      <c r="AD274" s="186">
        <v>4729</v>
      </c>
      <c r="AE274" s="187" t="s">
        <v>748</v>
      </c>
    </row>
    <row r="275" spans="1:31" x14ac:dyDescent="0.2">
      <c r="A275" s="189" t="s">
        <v>750</v>
      </c>
      <c r="B275" s="190" t="s">
        <v>751</v>
      </c>
      <c r="C275" s="191" t="s">
        <v>200</v>
      </c>
      <c r="D275" s="192">
        <v>6244</v>
      </c>
      <c r="E27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20902</v>
      </c>
      <c r="F275" s="194">
        <f>IF(Entity_Unit_Costs[[#This Row],[Closing social housing units managed]]&gt;0,Entity_Unit_Costs[[#This Row],[Headline Social Housing Cost]]/Entity_Unit_Costs[[#This Row],[Closing social housing units managed]],"")</f>
        <v>3.3475336322869955</v>
      </c>
      <c r="G275" s="194">
        <f>IF(Entity_Unit_Costs[[#This Row],[Closing social housing units managed]]&gt;0,Entity_Unit_Costs[[#This Row],[Management]]/Entity_Unit_Costs[[#This Row],[Closing social housing units managed]],"")</f>
        <v>0.57927610506085847</v>
      </c>
      <c r="H275" s="193">
        <v>3617</v>
      </c>
      <c r="I275" s="194">
        <f>IF(Entity_Unit_Costs[[#This Row],[Closing social housing units managed]]&gt;0,Entity_Unit_Costs[[#This Row],[Service charge costs]]/Entity_Unit_Costs[[#This Row],[Closing social housing units managed]],"")</f>
        <v>0.31310057655349133</v>
      </c>
      <c r="J275" s="193">
        <v>1955</v>
      </c>
      <c r="K275" s="194">
        <f>IF(Entity_Unit_Costs[[#This Row],[Closing social housing units managed]]&gt;0,(Entity_Unit_Costs[[#This Row],[Routine maintenance]]+Entity_Unit_Costs[[#This Row],[Planned maintenance]])/Entity_Unit_Costs[[#This Row],[Closing social housing units managed]],"")</f>
        <v>0.89926329276105066</v>
      </c>
      <c r="L275" s="193">
        <v>3511</v>
      </c>
      <c r="M275" s="193">
        <v>2104</v>
      </c>
      <c r="N275" s="194">
        <f>IF(Entity_Unit_Costs[[#This Row],[Closing social housing units managed]]&gt;0,(Entity_Unit_Costs[[#This Row],[Major repairs expenditure]]+Entity_Unit_Costs[[#This Row],[Capitalised major repairs expenditure for period]])/Entity_Unit_Costs[[#This Row],[Closing social housing units managed]],"")</f>
        <v>1.4008648302370275</v>
      </c>
      <c r="O275" s="193">
        <v>4708</v>
      </c>
      <c r="P275" s="193">
        <v>4039</v>
      </c>
      <c r="Q27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0.15502882767456758</v>
      </c>
      <c r="R275" s="193">
        <v>12</v>
      </c>
      <c r="S275" s="193">
        <v>249</v>
      </c>
      <c r="T275" s="193">
        <v>707</v>
      </c>
      <c r="U275" s="193">
        <v>0</v>
      </c>
      <c r="V275" s="195">
        <v>0</v>
      </c>
      <c r="W275" s="183">
        <v>1.2300319488817891E-2</v>
      </c>
      <c r="X275" s="183">
        <v>5.7028753993610223E-2</v>
      </c>
      <c r="Y275" s="184" t="s">
        <v>1257</v>
      </c>
      <c r="Z275" s="185">
        <v>37431</v>
      </c>
      <c r="AA275" s="186" t="s">
        <v>1268</v>
      </c>
      <c r="AB275" s="187" t="s">
        <v>1263</v>
      </c>
      <c r="AC275" s="188">
        <v>1.0022399874355168</v>
      </c>
      <c r="AD275" s="186" t="s">
        <v>750</v>
      </c>
      <c r="AE275" s="187" t="s">
        <v>751</v>
      </c>
    </row>
    <row r="276" spans="1:31" x14ac:dyDescent="0.2">
      <c r="A276" s="189" t="s">
        <v>754</v>
      </c>
      <c r="B276" s="190" t="s">
        <v>755</v>
      </c>
      <c r="C276" s="196" t="s">
        <v>200</v>
      </c>
      <c r="D276" s="192">
        <v>1505</v>
      </c>
      <c r="E27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6963</v>
      </c>
      <c r="F276" s="194">
        <f>IF(Entity_Unit_Costs[[#This Row],[Closing social housing units managed]]&gt;0,Entity_Unit_Costs[[#This Row],[Headline Social Housing Cost]]/Entity_Unit_Costs[[#This Row],[Closing social housing units managed]],"")</f>
        <v>4.6265780730897008</v>
      </c>
      <c r="G276" s="194">
        <f>IF(Entity_Unit_Costs[[#This Row],[Closing social housing units managed]]&gt;0,Entity_Unit_Costs[[#This Row],[Management]]/Entity_Unit_Costs[[#This Row],[Closing social housing units managed]],"")</f>
        <v>0.96279069767441861</v>
      </c>
      <c r="H276" s="193">
        <v>1449</v>
      </c>
      <c r="I276" s="194">
        <f>IF(Entity_Unit_Costs[[#This Row],[Closing social housing units managed]]&gt;0,Entity_Unit_Costs[[#This Row],[Service charge costs]]/Entity_Unit_Costs[[#This Row],[Closing social housing units managed]],"")</f>
        <v>1.1661129568106312</v>
      </c>
      <c r="J276" s="193">
        <v>1755</v>
      </c>
      <c r="K276" s="194">
        <f>IF(Entity_Unit_Costs[[#This Row],[Closing social housing units managed]]&gt;0,(Entity_Unit_Costs[[#This Row],[Routine maintenance]]+Entity_Unit_Costs[[#This Row],[Planned maintenance]])/Entity_Unit_Costs[[#This Row],[Closing social housing units managed]],"")</f>
        <v>1.2830564784053156</v>
      </c>
      <c r="L276" s="193">
        <v>1694</v>
      </c>
      <c r="M276" s="193">
        <v>237</v>
      </c>
      <c r="N276" s="194">
        <f>IF(Entity_Unit_Costs[[#This Row],[Closing social housing units managed]]&gt;0,(Entity_Unit_Costs[[#This Row],[Major repairs expenditure]]+Entity_Unit_Costs[[#This Row],[Capitalised major repairs expenditure for period]])/Entity_Unit_Costs[[#This Row],[Closing social housing units managed]],"")</f>
        <v>1.0485049833887043</v>
      </c>
      <c r="O276" s="193">
        <v>479</v>
      </c>
      <c r="P276" s="193">
        <v>1099</v>
      </c>
      <c r="Q27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0.16611295681063123</v>
      </c>
      <c r="R276" s="193">
        <v>0</v>
      </c>
      <c r="S276" s="193">
        <v>0</v>
      </c>
      <c r="T276" s="193">
        <v>0</v>
      </c>
      <c r="U276" s="193">
        <v>73</v>
      </c>
      <c r="V276" s="195">
        <v>177</v>
      </c>
      <c r="W276" s="183">
        <v>2.0422055820285907E-3</v>
      </c>
      <c r="X276" s="183">
        <v>0.12933968686181074</v>
      </c>
      <c r="Y276" s="184" t="s">
        <v>1256</v>
      </c>
      <c r="Z276" s="185"/>
      <c r="AA276" s="186" t="s">
        <v>1279</v>
      </c>
      <c r="AB276" s="187" t="s">
        <v>1267</v>
      </c>
      <c r="AC276" s="188">
        <v>1.2476145071999378</v>
      </c>
      <c r="AD276" s="186" t="s">
        <v>754</v>
      </c>
      <c r="AE276" s="187" t="s">
        <v>755</v>
      </c>
    </row>
    <row r="277" spans="1:31" x14ac:dyDescent="0.2">
      <c r="A277" s="189" t="s">
        <v>170</v>
      </c>
      <c r="B277" s="190" t="s">
        <v>169</v>
      </c>
      <c r="C277" s="196" t="s">
        <v>201</v>
      </c>
      <c r="D277" s="192">
        <v>2360</v>
      </c>
      <c r="E27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18128</v>
      </c>
      <c r="F277" s="194">
        <f>IF(Entity_Unit_Costs[[#This Row],[Closing social housing units managed]]&gt;0,Entity_Unit_Costs[[#This Row],[Headline Social Housing Cost]]/Entity_Unit_Costs[[#This Row],[Closing social housing units managed]],"")</f>
        <v>7.68135593220339</v>
      </c>
      <c r="G277" s="194">
        <f>IF(Entity_Unit_Costs[[#This Row],[Closing social housing units managed]]&gt;0,Entity_Unit_Costs[[#This Row],[Management]]/Entity_Unit_Costs[[#This Row],[Closing social housing units managed]],"")</f>
        <v>1.388135593220339</v>
      </c>
      <c r="H277" s="193">
        <v>3276</v>
      </c>
      <c r="I277" s="194">
        <f>IF(Entity_Unit_Costs[[#This Row],[Closing social housing units managed]]&gt;0,Entity_Unit_Costs[[#This Row],[Service charge costs]]/Entity_Unit_Costs[[#This Row],[Closing social housing units managed]],"")</f>
        <v>0.43983050847457628</v>
      </c>
      <c r="J277" s="193">
        <v>1038</v>
      </c>
      <c r="K277" s="194">
        <f>IF(Entity_Unit_Costs[[#This Row],[Closing social housing units managed]]&gt;0,(Entity_Unit_Costs[[#This Row],[Routine maintenance]]+Entity_Unit_Costs[[#This Row],[Planned maintenance]])/Entity_Unit_Costs[[#This Row],[Closing social housing units managed]],"")</f>
        <v>0.99152542372881358</v>
      </c>
      <c r="L277" s="193">
        <v>1673</v>
      </c>
      <c r="M277" s="193">
        <v>667</v>
      </c>
      <c r="N277" s="194">
        <f>IF(Entity_Unit_Costs[[#This Row],[Closing social housing units managed]]&gt;0,(Entity_Unit_Costs[[#This Row],[Major repairs expenditure]]+Entity_Unit_Costs[[#This Row],[Capitalised major repairs expenditure for period]])/Entity_Unit_Costs[[#This Row],[Closing social housing units managed]],"")</f>
        <v>0.69576271186440675</v>
      </c>
      <c r="O277" s="193">
        <v>188</v>
      </c>
      <c r="P277" s="193">
        <v>1454</v>
      </c>
      <c r="Q27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4.1661016949152545</v>
      </c>
      <c r="R277" s="193">
        <v>277</v>
      </c>
      <c r="S277" s="193">
        <v>7407</v>
      </c>
      <c r="T277" s="193">
        <v>545</v>
      </c>
      <c r="U277" s="193">
        <v>0</v>
      </c>
      <c r="V277" s="195">
        <v>1603</v>
      </c>
      <c r="W277" s="183">
        <v>3.1859248692344272E-2</v>
      </c>
      <c r="X277" s="183">
        <v>0.183547313361864</v>
      </c>
      <c r="Y277" s="184" t="s">
        <v>1256</v>
      </c>
      <c r="Z277" s="185"/>
      <c r="AA277" s="186" t="s">
        <v>1279</v>
      </c>
      <c r="AB277" s="187" t="s">
        <v>1264</v>
      </c>
      <c r="AC277" s="188">
        <v>0.94309683767003005</v>
      </c>
      <c r="AD277" s="186" t="s">
        <v>170</v>
      </c>
      <c r="AE277" s="187" t="s">
        <v>169</v>
      </c>
    </row>
    <row r="278" spans="1:31" x14ac:dyDescent="0.2">
      <c r="A278" s="189" t="s">
        <v>173</v>
      </c>
      <c r="B278" s="190" t="s">
        <v>171</v>
      </c>
      <c r="C278" s="196" t="s">
        <v>200</v>
      </c>
      <c r="D278" s="192">
        <v>2502</v>
      </c>
      <c r="E27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6915</v>
      </c>
      <c r="F278" s="194">
        <f>IF(Entity_Unit_Costs[[#This Row],[Closing social housing units managed]]&gt;0,Entity_Unit_Costs[[#This Row],[Headline Social Housing Cost]]/Entity_Unit_Costs[[#This Row],[Closing social housing units managed]],"")</f>
        <v>2.7637889688249402</v>
      </c>
      <c r="G278" s="194">
        <f>IF(Entity_Unit_Costs[[#This Row],[Closing social housing units managed]]&gt;0,Entity_Unit_Costs[[#This Row],[Management]]/Entity_Unit_Costs[[#This Row],[Closing social housing units managed]],"")</f>
        <v>0.66586730615507594</v>
      </c>
      <c r="H278" s="193">
        <v>1666</v>
      </c>
      <c r="I278" s="194">
        <f>IF(Entity_Unit_Costs[[#This Row],[Closing social housing units managed]]&gt;0,Entity_Unit_Costs[[#This Row],[Service charge costs]]/Entity_Unit_Costs[[#This Row],[Closing social housing units managed]],"")</f>
        <v>0.3613109512390088</v>
      </c>
      <c r="J278" s="193">
        <v>904</v>
      </c>
      <c r="K278" s="194">
        <f>IF(Entity_Unit_Costs[[#This Row],[Closing social housing units managed]]&gt;0,(Entity_Unit_Costs[[#This Row],[Routine maintenance]]+Entity_Unit_Costs[[#This Row],[Planned maintenance]])/Entity_Unit_Costs[[#This Row],[Closing social housing units managed]],"")</f>
        <v>0.88169464428457234</v>
      </c>
      <c r="L278" s="193">
        <v>1368</v>
      </c>
      <c r="M278" s="193">
        <v>838</v>
      </c>
      <c r="N278" s="194">
        <f>IF(Entity_Unit_Costs[[#This Row],[Closing social housing units managed]]&gt;0,(Entity_Unit_Costs[[#This Row],[Major repairs expenditure]]+Entity_Unit_Costs[[#This Row],[Capitalised major repairs expenditure for period]])/Entity_Unit_Costs[[#This Row],[Closing social housing units managed]],"")</f>
        <v>0.85491606714628299</v>
      </c>
      <c r="O278" s="193">
        <v>506</v>
      </c>
      <c r="P278" s="193">
        <v>1633</v>
      </c>
      <c r="Q27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v>
      </c>
      <c r="R278" s="193">
        <v>0</v>
      </c>
      <c r="S278" s="193">
        <v>0</v>
      </c>
      <c r="T278" s="193">
        <v>0</v>
      </c>
      <c r="U278" s="193">
        <v>0</v>
      </c>
      <c r="V278" s="195">
        <v>0</v>
      </c>
      <c r="W278" s="183">
        <v>0</v>
      </c>
      <c r="X278" s="183">
        <v>5.3985660059046814E-2</v>
      </c>
      <c r="Y278" s="184" t="s">
        <v>1256</v>
      </c>
      <c r="Z278" s="185"/>
      <c r="AA278" s="186" t="s">
        <v>1279</v>
      </c>
      <c r="AB278" s="187" t="s">
        <v>1260</v>
      </c>
      <c r="AC278" s="188">
        <v>0.91571558169387279</v>
      </c>
      <c r="AD278" s="186" t="s">
        <v>173</v>
      </c>
      <c r="AE278" s="187" t="s">
        <v>171</v>
      </c>
    </row>
    <row r="279" spans="1:31" x14ac:dyDescent="0.2">
      <c r="A279" s="189" t="s">
        <v>758</v>
      </c>
      <c r="B279" s="190" t="s">
        <v>757</v>
      </c>
      <c r="C279" s="196" t="s">
        <v>200</v>
      </c>
      <c r="D279" s="192">
        <v>48482</v>
      </c>
      <c r="E27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211302</v>
      </c>
      <c r="F279" s="194">
        <f>IF(Entity_Unit_Costs[[#This Row],[Closing social housing units managed]]&gt;0,Entity_Unit_Costs[[#This Row],[Headline Social Housing Cost]]/Entity_Unit_Costs[[#This Row],[Closing social housing units managed]],"")</f>
        <v>4.3583598036384634</v>
      </c>
      <c r="G279" s="194">
        <f>IF(Entity_Unit_Costs[[#This Row],[Closing social housing units managed]]&gt;0,Entity_Unit_Costs[[#This Row],[Management]]/Entity_Unit_Costs[[#This Row],[Closing social housing units managed]],"")</f>
        <v>0.94067901489212491</v>
      </c>
      <c r="H279" s="193">
        <v>45606</v>
      </c>
      <c r="I279" s="194">
        <f>IF(Entity_Unit_Costs[[#This Row],[Closing social housing units managed]]&gt;0,Entity_Unit_Costs[[#This Row],[Service charge costs]]/Entity_Unit_Costs[[#This Row],[Closing social housing units managed]],"")</f>
        <v>0.68452209067282699</v>
      </c>
      <c r="J279" s="193">
        <v>33187</v>
      </c>
      <c r="K279" s="194">
        <f>IF(Entity_Unit_Costs[[#This Row],[Closing social housing units managed]]&gt;0,(Entity_Unit_Costs[[#This Row],[Routine maintenance]]+Entity_Unit_Costs[[#This Row],[Planned maintenance]])/Entity_Unit_Costs[[#This Row],[Closing social housing units managed]],"")</f>
        <v>1.0797821872034983</v>
      </c>
      <c r="L279" s="193">
        <v>52350</v>
      </c>
      <c r="M279" s="193">
        <v>0</v>
      </c>
      <c r="N279" s="194">
        <f>IF(Entity_Unit_Costs[[#This Row],[Closing social housing units managed]]&gt;0,(Entity_Unit_Costs[[#This Row],[Major repairs expenditure]]+Entity_Unit_Costs[[#This Row],[Capitalised major repairs expenditure for period]])/Entity_Unit_Costs[[#This Row],[Closing social housing units managed]],"")</f>
        <v>0.79388226558310304</v>
      </c>
      <c r="O279" s="193">
        <v>9234</v>
      </c>
      <c r="P279" s="193">
        <v>29255</v>
      </c>
      <c r="Q27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0.85949424528691065</v>
      </c>
      <c r="R279" s="193">
        <v>0</v>
      </c>
      <c r="S279" s="193">
        <v>30620</v>
      </c>
      <c r="T279" s="193">
        <v>7109</v>
      </c>
      <c r="U279" s="193">
        <v>0</v>
      </c>
      <c r="V279" s="195">
        <v>3941</v>
      </c>
      <c r="W279" s="183">
        <v>9.1780099187506597E-2</v>
      </c>
      <c r="X279" s="183">
        <v>0.10482220111849741</v>
      </c>
      <c r="Y279" s="184" t="s">
        <v>1256</v>
      </c>
      <c r="Z279" s="185"/>
      <c r="AA279" s="186" t="s">
        <v>1279</v>
      </c>
      <c r="AB279" s="187" t="s">
        <v>1262</v>
      </c>
      <c r="AC279" s="188">
        <v>0.94180348616081522</v>
      </c>
      <c r="AD279" s="186" t="s">
        <v>758</v>
      </c>
      <c r="AE279" s="187" t="s">
        <v>757</v>
      </c>
    </row>
    <row r="280" spans="1:31" x14ac:dyDescent="0.2">
      <c r="A280" s="189" t="s">
        <v>759</v>
      </c>
      <c r="B280" s="190" t="s">
        <v>760</v>
      </c>
      <c r="C280" s="196" t="s">
        <v>200</v>
      </c>
      <c r="D280" s="192">
        <v>7051</v>
      </c>
      <c r="E28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34421</v>
      </c>
      <c r="F280" s="194">
        <f>IF(Entity_Unit_Costs[[#This Row],[Closing social housing units managed]]&gt;0,Entity_Unit_Costs[[#This Row],[Headline Social Housing Cost]]/Entity_Unit_Costs[[#This Row],[Closing social housing units managed]],"")</f>
        <v>4.8817189051198415</v>
      </c>
      <c r="G280" s="194">
        <f>IF(Entity_Unit_Costs[[#This Row],[Closing social housing units managed]]&gt;0,Entity_Unit_Costs[[#This Row],[Management]]/Entity_Unit_Costs[[#This Row],[Closing social housing units managed]],"")</f>
        <v>0.94171039568855486</v>
      </c>
      <c r="H280" s="193">
        <v>6640</v>
      </c>
      <c r="I280" s="194">
        <f>IF(Entity_Unit_Costs[[#This Row],[Closing social housing units managed]]&gt;0,Entity_Unit_Costs[[#This Row],[Service charge costs]]/Entity_Unit_Costs[[#This Row],[Closing social housing units managed]],"")</f>
        <v>0.29158984541199828</v>
      </c>
      <c r="J280" s="193">
        <v>2056</v>
      </c>
      <c r="K280" s="194">
        <f>IF(Entity_Unit_Costs[[#This Row],[Closing social housing units managed]]&gt;0,(Entity_Unit_Costs[[#This Row],[Routine maintenance]]+Entity_Unit_Costs[[#This Row],[Planned maintenance]])/Entity_Unit_Costs[[#This Row],[Closing social housing units managed]],"")</f>
        <v>0.63863281803999428</v>
      </c>
      <c r="L280" s="193">
        <v>3008</v>
      </c>
      <c r="M280" s="193">
        <v>1495</v>
      </c>
      <c r="N280" s="194">
        <f>IF(Entity_Unit_Costs[[#This Row],[Closing social housing units managed]]&gt;0,(Entity_Unit_Costs[[#This Row],[Major repairs expenditure]]+Entity_Unit_Costs[[#This Row],[Capitalised major repairs expenditure for period]])/Entity_Unit_Costs[[#This Row],[Closing social housing units managed]],"")</f>
        <v>0.69210041128917887</v>
      </c>
      <c r="O280" s="193">
        <v>2668</v>
      </c>
      <c r="P280" s="193">
        <v>2212</v>
      </c>
      <c r="Q28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2.317685434690115</v>
      </c>
      <c r="R280" s="193">
        <v>-1683</v>
      </c>
      <c r="S280" s="193">
        <v>14408</v>
      </c>
      <c r="T280" s="193">
        <v>1362</v>
      </c>
      <c r="U280" s="193">
        <v>2255</v>
      </c>
      <c r="V280" s="195">
        <v>0</v>
      </c>
      <c r="W280" s="183">
        <v>1.6227395662088348E-2</v>
      </c>
      <c r="X280" s="183">
        <v>7.270509625072917E-2</v>
      </c>
      <c r="Y280" s="184" t="s">
        <v>1256</v>
      </c>
      <c r="Z280" s="185"/>
      <c r="AA280" s="186" t="s">
        <v>1279</v>
      </c>
      <c r="AB280" s="187" t="s">
        <v>1259</v>
      </c>
      <c r="AC280" s="188">
        <v>1.0032903839961342</v>
      </c>
      <c r="AD280" s="186" t="s">
        <v>1246</v>
      </c>
      <c r="AE280" s="187" t="s">
        <v>623</v>
      </c>
    </row>
    <row r="281" spans="1:31" x14ac:dyDescent="0.2">
      <c r="A281" s="189" t="s">
        <v>761</v>
      </c>
      <c r="B281" s="190" t="s">
        <v>762</v>
      </c>
      <c r="C281" s="196" t="s">
        <v>200</v>
      </c>
      <c r="D281" s="192">
        <v>2535</v>
      </c>
      <c r="E28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14842</v>
      </c>
      <c r="F281" s="194">
        <f>IF(Entity_Unit_Costs[[#This Row],[Closing social housing units managed]]&gt;0,Entity_Unit_Costs[[#This Row],[Headline Social Housing Cost]]/Entity_Unit_Costs[[#This Row],[Closing social housing units managed]],"")</f>
        <v>5.8548323471400394</v>
      </c>
      <c r="G281" s="194">
        <f>IF(Entity_Unit_Costs[[#This Row],[Closing social housing units managed]]&gt;0,Entity_Unit_Costs[[#This Row],[Management]]/Entity_Unit_Costs[[#This Row],[Closing social housing units managed]],"")</f>
        <v>0.903353057199211</v>
      </c>
      <c r="H281" s="193">
        <v>2290</v>
      </c>
      <c r="I281" s="194">
        <f>IF(Entity_Unit_Costs[[#This Row],[Closing social housing units managed]]&gt;0,Entity_Unit_Costs[[#This Row],[Service charge costs]]/Entity_Unit_Costs[[#This Row],[Closing social housing units managed]],"")</f>
        <v>0.27297830374753451</v>
      </c>
      <c r="J281" s="193">
        <v>692</v>
      </c>
      <c r="K281" s="194">
        <f>IF(Entity_Unit_Costs[[#This Row],[Closing social housing units managed]]&gt;0,(Entity_Unit_Costs[[#This Row],[Routine maintenance]]+Entity_Unit_Costs[[#This Row],[Planned maintenance]])/Entity_Unit_Costs[[#This Row],[Closing social housing units managed]],"")</f>
        <v>0.90887573964497037</v>
      </c>
      <c r="L281" s="193">
        <v>1722</v>
      </c>
      <c r="M281" s="193">
        <v>582</v>
      </c>
      <c r="N281" s="194">
        <f>IF(Entity_Unit_Costs[[#This Row],[Closing social housing units managed]]&gt;0,(Entity_Unit_Costs[[#This Row],[Major repairs expenditure]]+Entity_Unit_Costs[[#This Row],[Capitalised major repairs expenditure for period]])/Entity_Unit_Costs[[#This Row],[Closing social housing units managed]],"")</f>
        <v>3.1254437869822485</v>
      </c>
      <c r="O281" s="193">
        <v>416</v>
      </c>
      <c r="P281" s="193">
        <v>7507</v>
      </c>
      <c r="Q28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0.64418145956607498</v>
      </c>
      <c r="R281" s="193">
        <v>1414</v>
      </c>
      <c r="S281" s="193">
        <v>212</v>
      </c>
      <c r="T281" s="193">
        <v>7</v>
      </c>
      <c r="U281" s="193">
        <v>0</v>
      </c>
      <c r="V281" s="195">
        <v>0</v>
      </c>
      <c r="W281" s="183">
        <v>8.772576483597494E-2</v>
      </c>
      <c r="X281" s="183">
        <v>0</v>
      </c>
      <c r="Y281" s="184" t="s">
        <v>1257</v>
      </c>
      <c r="Z281" s="185">
        <v>38061</v>
      </c>
      <c r="AA281" s="186" t="s">
        <v>1268</v>
      </c>
      <c r="AB281" s="187" t="s">
        <v>1262</v>
      </c>
      <c r="AC281" s="188">
        <v>0.91566538624456661</v>
      </c>
      <c r="AD281" s="186">
        <v>4820</v>
      </c>
      <c r="AE281" s="187" t="s">
        <v>373</v>
      </c>
    </row>
    <row r="282" spans="1:31" x14ac:dyDescent="0.2">
      <c r="A282" s="189" t="s">
        <v>765</v>
      </c>
      <c r="B282" s="190" t="s">
        <v>766</v>
      </c>
      <c r="C282" s="191" t="s">
        <v>200</v>
      </c>
      <c r="D282" s="192">
        <v>11740</v>
      </c>
      <c r="E28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37825</v>
      </c>
      <c r="F282" s="194">
        <f>IF(Entity_Unit_Costs[[#This Row],[Closing social housing units managed]]&gt;0,Entity_Unit_Costs[[#This Row],[Headline Social Housing Cost]]/Entity_Unit_Costs[[#This Row],[Closing social housing units managed]],"")</f>
        <v>3.2218909710391821</v>
      </c>
      <c r="G282" s="194">
        <f>IF(Entity_Unit_Costs[[#This Row],[Closing social housing units managed]]&gt;0,Entity_Unit_Costs[[#This Row],[Management]]/Entity_Unit_Costs[[#This Row],[Closing social housing units managed]],"")</f>
        <v>0.50519591141396936</v>
      </c>
      <c r="H282" s="193">
        <v>5931</v>
      </c>
      <c r="I282" s="194">
        <f>IF(Entity_Unit_Costs[[#This Row],[Closing social housing units managed]]&gt;0,Entity_Unit_Costs[[#This Row],[Service charge costs]]/Entity_Unit_Costs[[#This Row],[Closing social housing units managed]],"")</f>
        <v>0.65068143100511078</v>
      </c>
      <c r="J282" s="193">
        <v>7639</v>
      </c>
      <c r="K282" s="194">
        <f>IF(Entity_Unit_Costs[[#This Row],[Closing social housing units managed]]&gt;0,(Entity_Unit_Costs[[#This Row],[Routine maintenance]]+Entity_Unit_Costs[[#This Row],[Planned maintenance]])/Entity_Unit_Costs[[#This Row],[Closing social housing units managed]],"")</f>
        <v>0.99829642248722317</v>
      </c>
      <c r="L282" s="193">
        <v>11720</v>
      </c>
      <c r="M282" s="193">
        <v>0</v>
      </c>
      <c r="N282" s="194">
        <f>IF(Entity_Unit_Costs[[#This Row],[Closing social housing units managed]]&gt;0,(Entity_Unit_Costs[[#This Row],[Major repairs expenditure]]+Entity_Unit_Costs[[#This Row],[Capitalised major repairs expenditure for period]])/Entity_Unit_Costs[[#This Row],[Closing social housing units managed]],"")</f>
        <v>0.98475298126064736</v>
      </c>
      <c r="O282" s="193">
        <v>5481</v>
      </c>
      <c r="P282" s="193">
        <v>6080</v>
      </c>
      <c r="Q28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8.2964224872231693E-2</v>
      </c>
      <c r="R282" s="193">
        <v>0</v>
      </c>
      <c r="S282" s="193">
        <v>0</v>
      </c>
      <c r="T282" s="193">
        <v>974</v>
      </c>
      <c r="U282" s="193">
        <v>0</v>
      </c>
      <c r="V282" s="195">
        <v>0</v>
      </c>
      <c r="W282" s="183">
        <v>5.6520314547837481E-3</v>
      </c>
      <c r="X282" s="183">
        <v>0.10828964613368283</v>
      </c>
      <c r="Y282" s="184" t="s">
        <v>1257</v>
      </c>
      <c r="Z282" s="185">
        <v>36244</v>
      </c>
      <c r="AA282" s="186" t="s">
        <v>1268</v>
      </c>
      <c r="AB282" s="187" t="s">
        <v>1260</v>
      </c>
      <c r="AC282" s="188">
        <v>0.91571558169387279</v>
      </c>
      <c r="AD282" s="186" t="s">
        <v>1250</v>
      </c>
      <c r="AE282" s="187" t="s">
        <v>764</v>
      </c>
    </row>
    <row r="283" spans="1:31" x14ac:dyDescent="0.2">
      <c r="A283" s="189" t="s">
        <v>769</v>
      </c>
      <c r="B283" s="190" t="s">
        <v>770</v>
      </c>
      <c r="C283" s="191" t="s">
        <v>200</v>
      </c>
      <c r="D283" s="192">
        <v>3137</v>
      </c>
      <c r="E28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10776</v>
      </c>
      <c r="F283" s="194">
        <f>IF(Entity_Unit_Costs[[#This Row],[Closing social housing units managed]]&gt;0,Entity_Unit_Costs[[#This Row],[Headline Social Housing Cost]]/Entity_Unit_Costs[[#This Row],[Closing social housing units managed]],"")</f>
        <v>3.4351291042397194</v>
      </c>
      <c r="G283" s="194">
        <f>IF(Entity_Unit_Costs[[#This Row],[Closing social housing units managed]]&gt;0,Entity_Unit_Costs[[#This Row],[Management]]/Entity_Unit_Costs[[#This Row],[Closing social housing units managed]],"")</f>
        <v>0.67676123685049405</v>
      </c>
      <c r="H283" s="193">
        <v>2123</v>
      </c>
      <c r="I283" s="194">
        <f>IF(Entity_Unit_Costs[[#This Row],[Closing social housing units managed]]&gt;0,Entity_Unit_Costs[[#This Row],[Service charge costs]]/Entity_Unit_Costs[[#This Row],[Closing social housing units managed]],"")</f>
        <v>0.45106789926681545</v>
      </c>
      <c r="J283" s="193">
        <v>1415</v>
      </c>
      <c r="K283" s="194">
        <f>IF(Entity_Unit_Costs[[#This Row],[Closing social housing units managed]]&gt;0,(Entity_Unit_Costs[[#This Row],[Routine maintenance]]+Entity_Unit_Costs[[#This Row],[Planned maintenance]])/Entity_Unit_Costs[[#This Row],[Closing social housing units managed]],"")</f>
        <v>1.1584316225693339</v>
      </c>
      <c r="L283" s="193">
        <v>1946</v>
      </c>
      <c r="M283" s="193">
        <v>1688</v>
      </c>
      <c r="N283" s="194">
        <f>IF(Entity_Unit_Costs[[#This Row],[Closing social housing units managed]]&gt;0,(Entity_Unit_Costs[[#This Row],[Major repairs expenditure]]+Entity_Unit_Costs[[#This Row],[Capitalised major repairs expenditure for period]])/Entity_Unit_Costs[[#This Row],[Closing social housing units managed]],"")</f>
        <v>1.0908511316544469</v>
      </c>
      <c r="O283" s="193">
        <v>135</v>
      </c>
      <c r="P283" s="193">
        <v>3287</v>
      </c>
      <c r="Q28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5.8017213898629266E-2</v>
      </c>
      <c r="R283" s="193">
        <v>70</v>
      </c>
      <c r="S283" s="193">
        <v>0</v>
      </c>
      <c r="T283" s="193">
        <v>-133</v>
      </c>
      <c r="U283" s="193">
        <v>245</v>
      </c>
      <c r="V283" s="195">
        <v>0</v>
      </c>
      <c r="W283" s="183">
        <v>0.10641442506650901</v>
      </c>
      <c r="X283" s="183">
        <v>4.7590895654744308E-2</v>
      </c>
      <c r="Y283" s="184" t="s">
        <v>1256</v>
      </c>
      <c r="Z283" s="185"/>
      <c r="AA283" s="186" t="s">
        <v>1279</v>
      </c>
      <c r="AB283" s="187" t="s">
        <v>1266</v>
      </c>
      <c r="AC283" s="188">
        <v>0.9026647648742484</v>
      </c>
      <c r="AD283" s="186" t="s">
        <v>1226</v>
      </c>
      <c r="AE283" s="187" t="s">
        <v>252</v>
      </c>
    </row>
    <row r="284" spans="1:31" x14ac:dyDescent="0.2">
      <c r="A284" s="189" t="s">
        <v>175</v>
      </c>
      <c r="B284" s="190" t="s">
        <v>174</v>
      </c>
      <c r="C284" s="196" t="s">
        <v>200</v>
      </c>
      <c r="D284" s="192">
        <v>4431</v>
      </c>
      <c r="E28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18145</v>
      </c>
      <c r="F284" s="194">
        <f>IF(Entity_Unit_Costs[[#This Row],[Closing social housing units managed]]&gt;0,Entity_Unit_Costs[[#This Row],[Headline Social Housing Cost]]/Entity_Unit_Costs[[#This Row],[Closing social housing units managed]],"")</f>
        <v>4.0950124125479572</v>
      </c>
      <c r="G284" s="194">
        <f>IF(Entity_Unit_Costs[[#This Row],[Closing social housing units managed]]&gt;0,Entity_Unit_Costs[[#This Row],[Management]]/Entity_Unit_Costs[[#This Row],[Closing social housing units managed]],"")</f>
        <v>1.4145791017828933</v>
      </c>
      <c r="H284" s="193">
        <v>6268</v>
      </c>
      <c r="I284" s="194">
        <f>IF(Entity_Unit_Costs[[#This Row],[Closing social housing units managed]]&gt;0,Entity_Unit_Costs[[#This Row],[Service charge costs]]/Entity_Unit_Costs[[#This Row],[Closing social housing units managed]],"")</f>
        <v>0.45317084179643419</v>
      </c>
      <c r="J284" s="193">
        <v>2008</v>
      </c>
      <c r="K284" s="194">
        <f>IF(Entity_Unit_Costs[[#This Row],[Closing social housing units managed]]&gt;0,(Entity_Unit_Costs[[#This Row],[Routine maintenance]]+Entity_Unit_Costs[[#This Row],[Planned maintenance]])/Entity_Unit_Costs[[#This Row],[Closing social housing units managed]],"")</f>
        <v>0.96163394267659674</v>
      </c>
      <c r="L284" s="193">
        <v>2655</v>
      </c>
      <c r="M284" s="193">
        <v>1606</v>
      </c>
      <c r="N284" s="194">
        <f>IF(Entity_Unit_Costs[[#This Row],[Closing social housing units managed]]&gt;0,(Entity_Unit_Costs[[#This Row],[Major repairs expenditure]]+Entity_Unit_Costs[[#This Row],[Capitalised major repairs expenditure for period]])/Entity_Unit_Costs[[#This Row],[Closing social housing units managed]],"")</f>
        <v>0.90318212593094105</v>
      </c>
      <c r="O284" s="193">
        <v>0</v>
      </c>
      <c r="P284" s="193">
        <v>4002</v>
      </c>
      <c r="Q28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0.36244640036109232</v>
      </c>
      <c r="R284" s="193">
        <v>0</v>
      </c>
      <c r="S284" s="193">
        <v>286</v>
      </c>
      <c r="T284" s="193">
        <v>1018</v>
      </c>
      <c r="U284" s="193">
        <v>302</v>
      </c>
      <c r="V284" s="195">
        <v>0</v>
      </c>
      <c r="W284" s="183">
        <v>0</v>
      </c>
      <c r="X284" s="183">
        <v>0.14510800508259211</v>
      </c>
      <c r="Y284" s="184" t="s">
        <v>1257</v>
      </c>
      <c r="Z284" s="185">
        <v>39526</v>
      </c>
      <c r="AA284" s="186" t="s">
        <v>1280</v>
      </c>
      <c r="AB284" s="187" t="s">
        <v>1263</v>
      </c>
      <c r="AC284" s="188">
        <v>1.0023963268069773</v>
      </c>
      <c r="AD284" s="186" t="s">
        <v>175</v>
      </c>
      <c r="AE284" s="187" t="s">
        <v>174</v>
      </c>
    </row>
    <row r="285" spans="1:31" x14ac:dyDescent="0.2">
      <c r="A285" s="189" t="s">
        <v>771</v>
      </c>
      <c r="B285" s="190" t="s">
        <v>772</v>
      </c>
      <c r="C285" s="196" t="s">
        <v>200</v>
      </c>
      <c r="D285" s="192">
        <v>36014</v>
      </c>
      <c r="E28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97671</v>
      </c>
      <c r="F285" s="194">
        <f>IF(Entity_Unit_Costs[[#This Row],[Closing social housing units managed]]&gt;0,Entity_Unit_Costs[[#This Row],[Headline Social Housing Cost]]/Entity_Unit_Costs[[#This Row],[Closing social housing units managed]],"")</f>
        <v>2.7120286555228521</v>
      </c>
      <c r="G285" s="194">
        <f>IF(Entity_Unit_Costs[[#This Row],[Closing social housing units managed]]&gt;0,Entity_Unit_Costs[[#This Row],[Management]]/Entity_Unit_Costs[[#This Row],[Closing social housing units managed]],"")</f>
        <v>0.84939190314877544</v>
      </c>
      <c r="H285" s="193">
        <v>30590</v>
      </c>
      <c r="I285" s="194">
        <f>IF(Entity_Unit_Costs[[#This Row],[Closing social housing units managed]]&gt;0,Entity_Unit_Costs[[#This Row],[Service charge costs]]/Entity_Unit_Costs[[#This Row],[Closing social housing units managed]],"")</f>
        <v>0.25656689065363469</v>
      </c>
      <c r="J285" s="193">
        <v>9240</v>
      </c>
      <c r="K285" s="194">
        <f>IF(Entity_Unit_Costs[[#This Row],[Closing social housing units managed]]&gt;0,(Entity_Unit_Costs[[#This Row],[Routine maintenance]]+Entity_Unit_Costs[[#This Row],[Planned maintenance]])/Entity_Unit_Costs[[#This Row],[Closing social housing units managed]],"")</f>
        <v>0.79774532126395292</v>
      </c>
      <c r="L285" s="193">
        <v>28730</v>
      </c>
      <c r="M285" s="193">
        <v>0</v>
      </c>
      <c r="N285" s="194">
        <f>IF(Entity_Unit_Costs[[#This Row],[Closing social housing units managed]]&gt;0,(Entity_Unit_Costs[[#This Row],[Major repairs expenditure]]+Entity_Unit_Costs[[#This Row],[Capitalised major repairs expenditure for period]])/Entity_Unit_Costs[[#This Row],[Closing social housing units managed]],"")</f>
        <v>0.55084133947909142</v>
      </c>
      <c r="O285" s="193">
        <v>5869</v>
      </c>
      <c r="P285" s="193">
        <v>13969</v>
      </c>
      <c r="Q28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0.25748320097739769</v>
      </c>
      <c r="R285" s="193">
        <v>6196</v>
      </c>
      <c r="S285" s="193">
        <v>0</v>
      </c>
      <c r="T285" s="193">
        <v>2472</v>
      </c>
      <c r="U285" s="193">
        <v>0</v>
      </c>
      <c r="V285" s="195">
        <v>605</v>
      </c>
      <c r="W285" s="183">
        <v>1.1663817349583633E-2</v>
      </c>
      <c r="X285" s="183">
        <v>4.0837147741686425E-2</v>
      </c>
      <c r="Y285" s="184" t="s">
        <v>1257</v>
      </c>
      <c r="Z285" s="185">
        <v>36956</v>
      </c>
      <c r="AA285" s="186" t="s">
        <v>1268</v>
      </c>
      <c r="AB285" s="187" t="s">
        <v>1264</v>
      </c>
      <c r="AC285" s="188">
        <v>0.93408232439124994</v>
      </c>
      <c r="AD285" s="186" t="s">
        <v>1252</v>
      </c>
      <c r="AE285" s="187" t="s">
        <v>774</v>
      </c>
    </row>
    <row r="286" spans="1:31" x14ac:dyDescent="0.2">
      <c r="A286" s="189" t="s">
        <v>777</v>
      </c>
      <c r="B286" s="190" t="s">
        <v>778</v>
      </c>
      <c r="C286" s="196" t="s">
        <v>200</v>
      </c>
      <c r="D286" s="192">
        <v>3193</v>
      </c>
      <c r="E28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12427</v>
      </c>
      <c r="F286" s="194">
        <f>IF(Entity_Unit_Costs[[#This Row],[Closing social housing units managed]]&gt;0,Entity_Unit_Costs[[#This Row],[Headline Social Housing Cost]]/Entity_Unit_Costs[[#This Row],[Closing social housing units managed]],"")</f>
        <v>3.8919511431255871</v>
      </c>
      <c r="G286" s="194">
        <f>IF(Entity_Unit_Costs[[#This Row],[Closing social housing units managed]]&gt;0,Entity_Unit_Costs[[#This Row],[Management]]/Entity_Unit_Costs[[#This Row],[Closing social housing units managed]],"")</f>
        <v>0.79956154087065456</v>
      </c>
      <c r="H286" s="193">
        <v>2553</v>
      </c>
      <c r="I286" s="194">
        <f>IF(Entity_Unit_Costs[[#This Row],[Closing social housing units managed]]&gt;0,Entity_Unit_Costs[[#This Row],[Service charge costs]]/Entity_Unit_Costs[[#This Row],[Closing social housing units managed]],"")</f>
        <v>1.0977137488255559</v>
      </c>
      <c r="J286" s="193">
        <v>3505</v>
      </c>
      <c r="K286" s="194">
        <f>IF(Entity_Unit_Costs[[#This Row],[Closing social housing units managed]]&gt;0,(Entity_Unit_Costs[[#This Row],[Routine maintenance]]+Entity_Unit_Costs[[#This Row],[Planned maintenance]])/Entity_Unit_Costs[[#This Row],[Closing social housing units managed]],"")</f>
        <v>1.5408706545568431</v>
      </c>
      <c r="L286" s="193">
        <v>2484</v>
      </c>
      <c r="M286" s="193">
        <v>2436</v>
      </c>
      <c r="N286" s="194">
        <f>IF(Entity_Unit_Costs[[#This Row],[Closing social housing units managed]]&gt;0,(Entity_Unit_Costs[[#This Row],[Major repairs expenditure]]+Entity_Unit_Costs[[#This Row],[Capitalised major repairs expenditure for period]])/Entity_Unit_Costs[[#This Row],[Closing social housing units managed]],"")</f>
        <v>0.22110867522705918</v>
      </c>
      <c r="O286" s="193">
        <v>0</v>
      </c>
      <c r="P286" s="193">
        <v>706</v>
      </c>
      <c r="Q28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0.23269652364547447</v>
      </c>
      <c r="R286" s="193">
        <v>0</v>
      </c>
      <c r="S286" s="193">
        <v>0</v>
      </c>
      <c r="T286" s="193">
        <v>0</v>
      </c>
      <c r="U286" s="193">
        <v>320</v>
      </c>
      <c r="V286" s="195">
        <v>423</v>
      </c>
      <c r="W286" s="183">
        <v>0</v>
      </c>
      <c r="X286" s="183">
        <v>0</v>
      </c>
      <c r="Y286" s="184" t="s">
        <v>1257</v>
      </c>
      <c r="Z286" s="185">
        <v>36612</v>
      </c>
      <c r="AA286" s="186" t="s">
        <v>1268</v>
      </c>
      <c r="AB286" s="187" t="s">
        <v>1267</v>
      </c>
      <c r="AC286" s="188">
        <v>1.2488627787394371</v>
      </c>
      <c r="AD286" s="186" t="s">
        <v>777</v>
      </c>
      <c r="AE286" s="187" t="s">
        <v>778</v>
      </c>
    </row>
    <row r="287" spans="1:31" x14ac:dyDescent="0.2">
      <c r="A287" s="189" t="s">
        <v>178</v>
      </c>
      <c r="B287" s="190" t="s">
        <v>177</v>
      </c>
      <c r="C287" s="196" t="s">
        <v>200</v>
      </c>
      <c r="D287" s="192">
        <v>8755</v>
      </c>
      <c r="E28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25670</v>
      </c>
      <c r="F287" s="194">
        <f>IF(Entity_Unit_Costs[[#This Row],[Closing social housing units managed]]&gt;0,Entity_Unit_Costs[[#This Row],[Headline Social Housing Cost]]/Entity_Unit_Costs[[#This Row],[Closing social housing units managed]],"")</f>
        <v>2.9320388349514563</v>
      </c>
      <c r="G287" s="194">
        <f>IF(Entity_Unit_Costs[[#This Row],[Closing social housing units managed]]&gt;0,Entity_Unit_Costs[[#This Row],[Management]]/Entity_Unit_Costs[[#This Row],[Closing social housing units managed]],"")</f>
        <v>1.0589377498572246</v>
      </c>
      <c r="H287" s="193">
        <v>9271</v>
      </c>
      <c r="I287" s="194">
        <f>IF(Entity_Unit_Costs[[#This Row],[Closing social housing units managed]]&gt;0,Entity_Unit_Costs[[#This Row],[Service charge costs]]/Entity_Unit_Costs[[#This Row],[Closing social housing units managed]],"")</f>
        <v>0.30371216447744148</v>
      </c>
      <c r="J287" s="193">
        <v>2659</v>
      </c>
      <c r="K287" s="194">
        <f>IF(Entity_Unit_Costs[[#This Row],[Closing social housing units managed]]&gt;0,(Entity_Unit_Costs[[#This Row],[Routine maintenance]]+Entity_Unit_Costs[[#This Row],[Planned maintenance]])/Entity_Unit_Costs[[#This Row],[Closing social housing units managed]],"")</f>
        <v>1.0547115933752143</v>
      </c>
      <c r="L287" s="193">
        <v>5089</v>
      </c>
      <c r="M287" s="193">
        <v>4145</v>
      </c>
      <c r="N287" s="194">
        <f>IF(Entity_Unit_Costs[[#This Row],[Closing social housing units managed]]&gt;0,(Entity_Unit_Costs[[#This Row],[Major repairs expenditure]]+Entity_Unit_Costs[[#This Row],[Capitalised major repairs expenditure for period]])/Entity_Unit_Costs[[#This Row],[Closing social housing units managed]],"")</f>
        <v>0.49994288977727014</v>
      </c>
      <c r="O287" s="193">
        <v>1041</v>
      </c>
      <c r="P287" s="193">
        <v>3336</v>
      </c>
      <c r="Q28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1.473443746430611E-2</v>
      </c>
      <c r="R287" s="193">
        <v>129</v>
      </c>
      <c r="S287" s="193">
        <v>0</v>
      </c>
      <c r="T287" s="193">
        <v>0</v>
      </c>
      <c r="U287" s="193">
        <v>0</v>
      </c>
      <c r="V287" s="195">
        <v>0</v>
      </c>
      <c r="W287" s="183">
        <v>5.01196035994988E-3</v>
      </c>
      <c r="X287" s="183">
        <v>4.6360633329536396E-2</v>
      </c>
      <c r="Y287" s="184" t="s">
        <v>1257</v>
      </c>
      <c r="Z287" s="185">
        <v>33632</v>
      </c>
      <c r="AA287" s="186" t="s">
        <v>1268</v>
      </c>
      <c r="AB287" s="187" t="s">
        <v>1259</v>
      </c>
      <c r="AC287" s="188">
        <v>1.0118524159776632</v>
      </c>
      <c r="AD287" s="186" t="s">
        <v>178</v>
      </c>
      <c r="AE287" s="187" t="s">
        <v>177</v>
      </c>
    </row>
    <row r="288" spans="1:31" x14ac:dyDescent="0.2">
      <c r="A288" s="189" t="s">
        <v>782</v>
      </c>
      <c r="B288" s="190" t="s">
        <v>781</v>
      </c>
      <c r="C288" s="196" t="s">
        <v>200</v>
      </c>
      <c r="D288" s="192">
        <v>8897</v>
      </c>
      <c r="E28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32186</v>
      </c>
      <c r="F288" s="194">
        <f>IF(Entity_Unit_Costs[[#This Row],[Closing social housing units managed]]&gt;0,Entity_Unit_Costs[[#This Row],[Headline Social Housing Cost]]/Entity_Unit_Costs[[#This Row],[Closing social housing units managed]],"")</f>
        <v>3.6176239181746657</v>
      </c>
      <c r="G288" s="194">
        <f>IF(Entity_Unit_Costs[[#This Row],[Closing social housing units managed]]&gt;0,Entity_Unit_Costs[[#This Row],[Management]]/Entity_Unit_Costs[[#This Row],[Closing social housing units managed]],"")</f>
        <v>1.3099921321793864</v>
      </c>
      <c r="H288" s="193">
        <v>11655</v>
      </c>
      <c r="I288" s="194">
        <f>IF(Entity_Unit_Costs[[#This Row],[Closing social housing units managed]]&gt;0,Entity_Unit_Costs[[#This Row],[Service charge costs]]/Entity_Unit_Costs[[#This Row],[Closing social housing units managed]],"")</f>
        <v>0.42542430032595258</v>
      </c>
      <c r="J288" s="193">
        <v>3785</v>
      </c>
      <c r="K288" s="194">
        <f>IF(Entity_Unit_Costs[[#This Row],[Closing social housing units managed]]&gt;0,(Entity_Unit_Costs[[#This Row],[Routine maintenance]]+Entity_Unit_Costs[[#This Row],[Planned maintenance]])/Entity_Unit_Costs[[#This Row],[Closing social housing units managed]],"")</f>
        <v>0.87827357536248174</v>
      </c>
      <c r="L288" s="193">
        <v>4142</v>
      </c>
      <c r="M288" s="193">
        <v>3672</v>
      </c>
      <c r="N288" s="194">
        <f>IF(Entity_Unit_Costs[[#This Row],[Closing social housing units managed]]&gt;0,(Entity_Unit_Costs[[#This Row],[Major repairs expenditure]]+Entity_Unit_Costs[[#This Row],[Capitalised major repairs expenditure for period]])/Entity_Unit_Costs[[#This Row],[Closing social housing units managed]],"")</f>
        <v>0.39350342812183881</v>
      </c>
      <c r="O288" s="193">
        <v>417</v>
      </c>
      <c r="P288" s="193">
        <v>3084</v>
      </c>
      <c r="Q28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0.61043048218500617</v>
      </c>
      <c r="R288" s="193">
        <v>806</v>
      </c>
      <c r="S288" s="193">
        <v>2038</v>
      </c>
      <c r="T288" s="193">
        <v>996</v>
      </c>
      <c r="U288" s="193">
        <v>0</v>
      </c>
      <c r="V288" s="195">
        <v>1591</v>
      </c>
      <c r="W288" s="183">
        <v>2.2479487467685737E-3</v>
      </c>
      <c r="X288" s="183">
        <v>0.28593908058896256</v>
      </c>
      <c r="Y288" s="184" t="s">
        <v>1257</v>
      </c>
      <c r="Z288" s="185">
        <v>38425</v>
      </c>
      <c r="AA288" s="186" t="s">
        <v>1268</v>
      </c>
      <c r="AB288" s="187" t="s">
        <v>1262</v>
      </c>
      <c r="AC288" s="188">
        <v>0.9156653862445665</v>
      </c>
      <c r="AD288" s="186" t="s">
        <v>782</v>
      </c>
      <c r="AE288" s="187" t="s">
        <v>781</v>
      </c>
    </row>
    <row r="289" spans="1:31" x14ac:dyDescent="0.2">
      <c r="A289" s="189" t="s">
        <v>785</v>
      </c>
      <c r="B289" s="190" t="s">
        <v>784</v>
      </c>
      <c r="C289" s="196" t="s">
        <v>200</v>
      </c>
      <c r="D289" s="192">
        <v>5828</v>
      </c>
      <c r="E28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16426</v>
      </c>
      <c r="F289" s="194">
        <f>IF(Entity_Unit_Costs[[#This Row],[Closing social housing units managed]]&gt;0,Entity_Unit_Costs[[#This Row],[Headline Social Housing Cost]]/Entity_Unit_Costs[[#This Row],[Closing social housing units managed]],"")</f>
        <v>2.8184625943719972</v>
      </c>
      <c r="G289" s="194">
        <f>IF(Entity_Unit_Costs[[#This Row],[Closing social housing units managed]]&gt;0,Entity_Unit_Costs[[#This Row],[Management]]/Entity_Unit_Costs[[#This Row],[Closing social housing units managed]],"")</f>
        <v>0.84849004804392592</v>
      </c>
      <c r="H289" s="193">
        <v>4945</v>
      </c>
      <c r="I289" s="194">
        <f>IF(Entity_Unit_Costs[[#This Row],[Closing social housing units managed]]&gt;0,Entity_Unit_Costs[[#This Row],[Service charge costs]]/Entity_Unit_Costs[[#This Row],[Closing social housing units managed]],"")</f>
        <v>0.23592999313658203</v>
      </c>
      <c r="J289" s="193">
        <v>1375</v>
      </c>
      <c r="K289" s="194">
        <f>IF(Entity_Unit_Costs[[#This Row],[Closing social housing units managed]]&gt;0,(Entity_Unit_Costs[[#This Row],[Routine maintenance]]+Entity_Unit_Costs[[#This Row],[Planned maintenance]])/Entity_Unit_Costs[[#This Row],[Closing social housing units managed]],"")</f>
        <v>1.0046328071379547</v>
      </c>
      <c r="L289" s="193">
        <v>2106</v>
      </c>
      <c r="M289" s="193">
        <v>3749</v>
      </c>
      <c r="N289" s="194">
        <f>IF(Entity_Unit_Costs[[#This Row],[Closing social housing units managed]]&gt;0,(Entity_Unit_Costs[[#This Row],[Major repairs expenditure]]+Entity_Unit_Costs[[#This Row],[Capitalised major repairs expenditure for period]])/Entity_Unit_Costs[[#This Row],[Closing social housing units managed]],"")</f>
        <v>0.4861015785861359</v>
      </c>
      <c r="O289" s="193">
        <v>648</v>
      </c>
      <c r="P289" s="193">
        <v>2185</v>
      </c>
      <c r="Q28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0.24330816746739878</v>
      </c>
      <c r="R289" s="193">
        <v>219</v>
      </c>
      <c r="S289" s="193">
        <v>472</v>
      </c>
      <c r="T289" s="193">
        <v>0</v>
      </c>
      <c r="U289" s="193">
        <v>727</v>
      </c>
      <c r="V289" s="195">
        <v>0</v>
      </c>
      <c r="W289" s="183">
        <v>3.4317089910775565E-4</v>
      </c>
      <c r="X289" s="183">
        <v>3.2258064516129031E-2</v>
      </c>
      <c r="Y289" s="184" t="s">
        <v>1257</v>
      </c>
      <c r="Z289" s="185">
        <v>36976</v>
      </c>
      <c r="AA289" s="186" t="s">
        <v>1268</v>
      </c>
      <c r="AB289" s="187" t="s">
        <v>1260</v>
      </c>
      <c r="AC289" s="188">
        <v>0.91589099876937397</v>
      </c>
      <c r="AD289" s="186" t="s">
        <v>785</v>
      </c>
      <c r="AE289" s="187" t="s">
        <v>784</v>
      </c>
    </row>
    <row r="290" spans="1:31" x14ac:dyDescent="0.2">
      <c r="A290" s="189" t="s">
        <v>181</v>
      </c>
      <c r="B290" s="190" t="s">
        <v>180</v>
      </c>
      <c r="C290" s="196" t="s">
        <v>200</v>
      </c>
      <c r="D290" s="192">
        <v>3170</v>
      </c>
      <c r="E29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10144</v>
      </c>
      <c r="F290" s="194">
        <f>IF(Entity_Unit_Costs[[#This Row],[Closing social housing units managed]]&gt;0,Entity_Unit_Costs[[#This Row],[Headline Social Housing Cost]]/Entity_Unit_Costs[[#This Row],[Closing social housing units managed]],"")</f>
        <v>3.2</v>
      </c>
      <c r="G290" s="194">
        <f>IF(Entity_Unit_Costs[[#This Row],[Closing social housing units managed]]&gt;0,Entity_Unit_Costs[[#This Row],[Management]]/Entity_Unit_Costs[[#This Row],[Closing social housing units managed]],"")</f>
        <v>0.6854889589905363</v>
      </c>
      <c r="H290" s="193">
        <v>2173</v>
      </c>
      <c r="I290" s="194">
        <f>IF(Entity_Unit_Costs[[#This Row],[Closing social housing units managed]]&gt;0,Entity_Unit_Costs[[#This Row],[Service charge costs]]/Entity_Unit_Costs[[#This Row],[Closing social housing units managed]],"")</f>
        <v>1.1924290220820188</v>
      </c>
      <c r="J290" s="193">
        <v>3780</v>
      </c>
      <c r="K290" s="194">
        <f>IF(Entity_Unit_Costs[[#This Row],[Closing social housing units managed]]&gt;0,(Entity_Unit_Costs[[#This Row],[Routine maintenance]]+Entity_Unit_Costs[[#This Row],[Planned maintenance]])/Entity_Unit_Costs[[#This Row],[Closing social housing units managed]],"")</f>
        <v>0.92965299684542591</v>
      </c>
      <c r="L290" s="193">
        <v>2121</v>
      </c>
      <c r="M290" s="193">
        <v>826</v>
      </c>
      <c r="N290" s="194">
        <f>IF(Entity_Unit_Costs[[#This Row],[Closing social housing units managed]]&gt;0,(Entity_Unit_Costs[[#This Row],[Major repairs expenditure]]+Entity_Unit_Costs[[#This Row],[Capitalised major repairs expenditure for period]])/Entity_Unit_Costs[[#This Row],[Closing social housing units managed]],"")</f>
        <v>0.39242902208201891</v>
      </c>
      <c r="O290" s="193">
        <v>0</v>
      </c>
      <c r="P290" s="193">
        <v>1244</v>
      </c>
      <c r="Q29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v>
      </c>
      <c r="R290" s="193">
        <v>0</v>
      </c>
      <c r="S290" s="193">
        <v>0</v>
      </c>
      <c r="T290" s="193">
        <v>0</v>
      </c>
      <c r="U290" s="193">
        <v>0</v>
      </c>
      <c r="V290" s="195">
        <v>0</v>
      </c>
      <c r="W290" s="183">
        <v>0.11145404663923182</v>
      </c>
      <c r="X290" s="183">
        <v>1.954732510288066E-2</v>
      </c>
      <c r="Y290" s="184" t="s">
        <v>1256</v>
      </c>
      <c r="Z290" s="185"/>
      <c r="AA290" s="186" t="s">
        <v>1279</v>
      </c>
      <c r="AB290" s="187" t="s">
        <v>1260</v>
      </c>
      <c r="AC290" s="188">
        <v>0.91629032748907724</v>
      </c>
      <c r="AD290" s="186" t="s">
        <v>181</v>
      </c>
      <c r="AE290" s="187" t="s">
        <v>180</v>
      </c>
    </row>
    <row r="291" spans="1:31" x14ac:dyDescent="0.2">
      <c r="A291" s="197">
        <v>4622</v>
      </c>
      <c r="B291" s="190" t="s">
        <v>787</v>
      </c>
      <c r="C291" s="196" t="s">
        <v>200</v>
      </c>
      <c r="D291" s="192">
        <v>10297</v>
      </c>
      <c r="E29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34649</v>
      </c>
      <c r="F291" s="194">
        <f>IF(Entity_Unit_Costs[[#This Row],[Closing social housing units managed]]&gt;0,Entity_Unit_Costs[[#This Row],[Headline Social Housing Cost]]/Entity_Unit_Costs[[#This Row],[Closing social housing units managed]],"")</f>
        <v>3.3649606681557733</v>
      </c>
      <c r="G291" s="194">
        <f>IF(Entity_Unit_Costs[[#This Row],[Closing social housing units managed]]&gt;0,Entity_Unit_Costs[[#This Row],[Management]]/Entity_Unit_Costs[[#This Row],[Closing social housing units managed]],"")</f>
        <v>0.45916286296979703</v>
      </c>
      <c r="H291" s="193">
        <v>4728</v>
      </c>
      <c r="I291" s="194">
        <f>IF(Entity_Unit_Costs[[#This Row],[Closing social housing units managed]]&gt;0,Entity_Unit_Costs[[#This Row],[Service charge costs]]/Entity_Unit_Costs[[#This Row],[Closing social housing units managed]],"")</f>
        <v>0.28493736039623191</v>
      </c>
      <c r="J291" s="193">
        <v>2934</v>
      </c>
      <c r="K291" s="194">
        <f>IF(Entity_Unit_Costs[[#This Row],[Closing social housing units managed]]&gt;0,(Entity_Unit_Costs[[#This Row],[Routine maintenance]]+Entity_Unit_Costs[[#This Row],[Planned maintenance]])/Entity_Unit_Costs[[#This Row],[Closing social housing units managed]],"")</f>
        <v>0.86607749830047587</v>
      </c>
      <c r="L291" s="193">
        <v>7522</v>
      </c>
      <c r="M291" s="193">
        <v>1396</v>
      </c>
      <c r="N291" s="194">
        <f>IF(Entity_Unit_Costs[[#This Row],[Closing social housing units managed]]&gt;0,(Entity_Unit_Costs[[#This Row],[Major repairs expenditure]]+Entity_Unit_Costs[[#This Row],[Capitalised major repairs expenditure for period]])/Entity_Unit_Costs[[#This Row],[Closing social housing units managed]],"")</f>
        <v>1.5444304166262017</v>
      </c>
      <c r="O291" s="193">
        <v>12254</v>
      </c>
      <c r="P291" s="193">
        <v>3649</v>
      </c>
      <c r="Q29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0.21035252986306691</v>
      </c>
      <c r="R291" s="193">
        <v>0</v>
      </c>
      <c r="S291" s="193">
        <v>72</v>
      </c>
      <c r="T291" s="193">
        <v>2094</v>
      </c>
      <c r="U291" s="193">
        <v>0</v>
      </c>
      <c r="V291" s="195">
        <v>0</v>
      </c>
      <c r="W291" s="183">
        <v>2.9952076677316293E-4</v>
      </c>
      <c r="X291" s="183">
        <v>0</v>
      </c>
      <c r="Y291" s="184" t="s">
        <v>1257</v>
      </c>
      <c r="Z291" s="185">
        <v>40525</v>
      </c>
      <c r="AA291" s="186" t="s">
        <v>1269</v>
      </c>
      <c r="AB291" s="187" t="s">
        <v>1266</v>
      </c>
      <c r="AC291" s="188">
        <v>0.90292795745019461</v>
      </c>
      <c r="AD291" s="186" t="s">
        <v>1251</v>
      </c>
      <c r="AE291" s="187" t="s">
        <v>768</v>
      </c>
    </row>
    <row r="292" spans="1:31" x14ac:dyDescent="0.2">
      <c r="A292" s="189" t="s">
        <v>790</v>
      </c>
      <c r="B292" s="190" t="s">
        <v>789</v>
      </c>
      <c r="C292" s="196" t="s">
        <v>200</v>
      </c>
      <c r="D292" s="192">
        <v>1334</v>
      </c>
      <c r="E29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4077</v>
      </c>
      <c r="F292" s="194">
        <f>IF(Entity_Unit_Costs[[#This Row],[Closing social housing units managed]]&gt;0,Entity_Unit_Costs[[#This Row],[Headline Social Housing Cost]]/Entity_Unit_Costs[[#This Row],[Closing social housing units managed]],"")</f>
        <v>3.0562218890554722</v>
      </c>
      <c r="G292" s="194">
        <f>IF(Entity_Unit_Costs[[#This Row],[Closing social housing units managed]]&gt;0,Entity_Unit_Costs[[#This Row],[Management]]/Entity_Unit_Costs[[#This Row],[Closing social housing units managed]],"")</f>
        <v>1.1221889055472263</v>
      </c>
      <c r="H292" s="193">
        <v>1497</v>
      </c>
      <c r="I292" s="194">
        <f>IF(Entity_Unit_Costs[[#This Row],[Closing social housing units managed]]&gt;0,Entity_Unit_Costs[[#This Row],[Service charge costs]]/Entity_Unit_Costs[[#This Row],[Closing social housing units managed]],"")</f>
        <v>0.56596701649175407</v>
      </c>
      <c r="J292" s="193">
        <v>755</v>
      </c>
      <c r="K292" s="194">
        <f>IF(Entity_Unit_Costs[[#This Row],[Closing social housing units managed]]&gt;0,(Entity_Unit_Costs[[#This Row],[Routine maintenance]]+Entity_Unit_Costs[[#This Row],[Planned maintenance]])/Entity_Unit_Costs[[#This Row],[Closing social housing units managed]],"")</f>
        <v>0.83283358320839584</v>
      </c>
      <c r="L292" s="193">
        <v>986</v>
      </c>
      <c r="M292" s="193">
        <v>125</v>
      </c>
      <c r="N292" s="194">
        <f>IF(Entity_Unit_Costs[[#This Row],[Closing social housing units managed]]&gt;0,(Entity_Unit_Costs[[#This Row],[Major repairs expenditure]]+Entity_Unit_Costs[[#This Row],[Capitalised major repairs expenditure for period]])/Entity_Unit_Costs[[#This Row],[Closing social housing units managed]],"")</f>
        <v>0.4572713643178411</v>
      </c>
      <c r="O292" s="193">
        <v>0</v>
      </c>
      <c r="P292" s="193">
        <v>610</v>
      </c>
      <c r="Q29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7.7961019490254871E-2</v>
      </c>
      <c r="R292" s="193">
        <v>104</v>
      </c>
      <c r="S292" s="193">
        <v>0</v>
      </c>
      <c r="T292" s="193">
        <v>0</v>
      </c>
      <c r="U292" s="193">
        <v>0</v>
      </c>
      <c r="V292" s="195">
        <v>0</v>
      </c>
      <c r="W292" s="183">
        <v>6.2452972159518436E-2</v>
      </c>
      <c r="X292" s="183">
        <v>4.2889390519187359E-2</v>
      </c>
      <c r="Y292" s="184" t="s">
        <v>1256</v>
      </c>
      <c r="Z292" s="185"/>
      <c r="AA292" s="186" t="s">
        <v>1279</v>
      </c>
      <c r="AB292" s="187" t="s">
        <v>1261</v>
      </c>
      <c r="AC292" s="188">
        <v>0.92038375847935383</v>
      </c>
      <c r="AD292" s="186" t="s">
        <v>790</v>
      </c>
      <c r="AE292" s="187" t="s">
        <v>789</v>
      </c>
    </row>
    <row r="293" spans="1:31" x14ac:dyDescent="0.2">
      <c r="A293" s="189" t="s">
        <v>793</v>
      </c>
      <c r="B293" s="190" t="s">
        <v>794</v>
      </c>
      <c r="C293" s="191" t="s">
        <v>200</v>
      </c>
      <c r="D293" s="192">
        <v>3735</v>
      </c>
      <c r="E29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11162</v>
      </c>
      <c r="F293" s="194">
        <f>IF(Entity_Unit_Costs[[#This Row],[Closing social housing units managed]]&gt;0,Entity_Unit_Costs[[#This Row],[Headline Social Housing Cost]]/Entity_Unit_Costs[[#This Row],[Closing social housing units managed]],"")</f>
        <v>2.9884872824631863</v>
      </c>
      <c r="G293" s="194">
        <f>IF(Entity_Unit_Costs[[#This Row],[Closing social housing units managed]]&gt;0,Entity_Unit_Costs[[#This Row],[Management]]/Entity_Unit_Costs[[#This Row],[Closing social housing units managed]],"")</f>
        <v>0.96251673360107093</v>
      </c>
      <c r="H293" s="193">
        <v>3595</v>
      </c>
      <c r="I293" s="194">
        <f>IF(Entity_Unit_Costs[[#This Row],[Closing social housing units managed]]&gt;0,Entity_Unit_Costs[[#This Row],[Service charge costs]]/Entity_Unit_Costs[[#This Row],[Closing social housing units managed]],"")</f>
        <v>0.52155287817938423</v>
      </c>
      <c r="J293" s="193">
        <v>1948</v>
      </c>
      <c r="K293" s="194">
        <f>IF(Entity_Unit_Costs[[#This Row],[Closing social housing units managed]]&gt;0,(Entity_Unit_Costs[[#This Row],[Routine maintenance]]+Entity_Unit_Costs[[#This Row],[Planned maintenance]])/Entity_Unit_Costs[[#This Row],[Closing social housing units managed]],"")</f>
        <v>0.72985274431057567</v>
      </c>
      <c r="L293" s="193">
        <v>1781</v>
      </c>
      <c r="M293" s="193">
        <v>945</v>
      </c>
      <c r="N293" s="194">
        <f>IF(Entity_Unit_Costs[[#This Row],[Closing social housing units managed]]&gt;0,(Entity_Unit_Costs[[#This Row],[Major repairs expenditure]]+Entity_Unit_Costs[[#This Row],[Capitalised major repairs expenditure for period]])/Entity_Unit_Costs[[#This Row],[Closing social housing units managed]],"")</f>
        <v>0.76439089692101736</v>
      </c>
      <c r="O293" s="193">
        <v>760</v>
      </c>
      <c r="P293" s="193">
        <v>2095</v>
      </c>
      <c r="Q29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1.0174029451137885E-2</v>
      </c>
      <c r="R293" s="193">
        <v>34</v>
      </c>
      <c r="S293" s="193">
        <v>4</v>
      </c>
      <c r="T293" s="193">
        <v>0</v>
      </c>
      <c r="U293" s="193">
        <v>0</v>
      </c>
      <c r="V293" s="195">
        <v>0</v>
      </c>
      <c r="W293" s="183">
        <v>1.3026607538802661E-2</v>
      </c>
      <c r="X293" s="183">
        <v>0.14495565410199557</v>
      </c>
      <c r="Y293" s="184" t="s">
        <v>1256</v>
      </c>
      <c r="Z293" s="185"/>
      <c r="AA293" s="186" t="s">
        <v>1279</v>
      </c>
      <c r="AB293" s="187" t="s">
        <v>1262</v>
      </c>
      <c r="AC293" s="188">
        <v>0.91071799031618728</v>
      </c>
      <c r="AD293" s="186" t="s">
        <v>793</v>
      </c>
      <c r="AE293" s="187" t="s">
        <v>792</v>
      </c>
    </row>
    <row r="294" spans="1:31" x14ac:dyDescent="0.2">
      <c r="A294" s="189" t="s">
        <v>795</v>
      </c>
      <c r="B294" s="190" t="s">
        <v>796</v>
      </c>
      <c r="C294" s="196" t="s">
        <v>200</v>
      </c>
      <c r="D294" s="192">
        <v>3894</v>
      </c>
      <c r="E29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12373</v>
      </c>
      <c r="F294" s="194">
        <f>IF(Entity_Unit_Costs[[#This Row],[Closing social housing units managed]]&gt;0,Entity_Unit_Costs[[#This Row],[Headline Social Housing Cost]]/Entity_Unit_Costs[[#This Row],[Closing social housing units managed]],"")</f>
        <v>3.1774524910118132</v>
      </c>
      <c r="G294" s="194">
        <f>IF(Entity_Unit_Costs[[#This Row],[Closing social housing units managed]]&gt;0,Entity_Unit_Costs[[#This Row],[Management]]/Entity_Unit_Costs[[#This Row],[Closing social housing units managed]],"")</f>
        <v>1.03954802259887</v>
      </c>
      <c r="H294" s="193">
        <v>4048</v>
      </c>
      <c r="I294" s="194">
        <f>IF(Entity_Unit_Costs[[#This Row],[Closing social housing units managed]]&gt;0,Entity_Unit_Costs[[#This Row],[Service charge costs]]/Entity_Unit_Costs[[#This Row],[Closing social housing units managed]],"")</f>
        <v>0.12737544940934772</v>
      </c>
      <c r="J294" s="193">
        <v>496</v>
      </c>
      <c r="K294" s="194">
        <f>IF(Entity_Unit_Costs[[#This Row],[Closing social housing units managed]]&gt;0,(Entity_Unit_Costs[[#This Row],[Routine maintenance]]+Entity_Unit_Costs[[#This Row],[Planned maintenance]])/Entity_Unit_Costs[[#This Row],[Closing social housing units managed]],"")</f>
        <v>1.233949666153056</v>
      </c>
      <c r="L294" s="193">
        <v>2284</v>
      </c>
      <c r="M294" s="193">
        <v>2521</v>
      </c>
      <c r="N294" s="194">
        <f>IF(Entity_Unit_Costs[[#This Row],[Closing social housing units managed]]&gt;0,(Entity_Unit_Costs[[#This Row],[Major repairs expenditure]]+Entity_Unit_Costs[[#This Row],[Capitalised major repairs expenditure for period]])/Entity_Unit_Costs[[#This Row],[Closing social housing units managed]],"")</f>
        <v>0.67411402157164868</v>
      </c>
      <c r="O294" s="193">
        <v>0</v>
      </c>
      <c r="P294" s="193">
        <v>2625</v>
      </c>
      <c r="Q29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0.1024653312788906</v>
      </c>
      <c r="R294" s="193">
        <v>223</v>
      </c>
      <c r="S294" s="193">
        <v>0</v>
      </c>
      <c r="T294" s="193">
        <v>176</v>
      </c>
      <c r="U294" s="193">
        <v>0</v>
      </c>
      <c r="V294" s="195">
        <v>0</v>
      </c>
      <c r="W294" s="183">
        <v>0</v>
      </c>
      <c r="X294" s="183">
        <v>0.15254237288135594</v>
      </c>
      <c r="Y294" s="184" t="s">
        <v>1257</v>
      </c>
      <c r="Z294" s="185">
        <v>37711</v>
      </c>
      <c r="AA294" s="186" t="s">
        <v>1268</v>
      </c>
      <c r="AB294" s="187" t="s">
        <v>1265</v>
      </c>
      <c r="AC294" s="188">
        <v>0.96574693867325678</v>
      </c>
      <c r="AD294" s="186" t="s">
        <v>795</v>
      </c>
      <c r="AE294" s="187" t="s">
        <v>796</v>
      </c>
    </row>
    <row r="295" spans="1:31" x14ac:dyDescent="0.2">
      <c r="A295" s="189" t="s">
        <v>183</v>
      </c>
      <c r="B295" s="190" t="s">
        <v>182</v>
      </c>
      <c r="C295" s="196" t="s">
        <v>200</v>
      </c>
      <c r="D295" s="192">
        <v>1004</v>
      </c>
      <c r="E29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3263</v>
      </c>
      <c r="F295" s="194">
        <f>IF(Entity_Unit_Costs[[#This Row],[Closing social housing units managed]]&gt;0,Entity_Unit_Costs[[#This Row],[Headline Social Housing Cost]]/Entity_Unit_Costs[[#This Row],[Closing social housing units managed]],"")</f>
        <v>3.25</v>
      </c>
      <c r="G295" s="194">
        <f>IF(Entity_Unit_Costs[[#This Row],[Closing social housing units managed]]&gt;0,Entity_Unit_Costs[[#This Row],[Management]]/Entity_Unit_Costs[[#This Row],[Closing social housing units managed]],"")</f>
        <v>0.64243027888446214</v>
      </c>
      <c r="H295" s="193">
        <v>645</v>
      </c>
      <c r="I295" s="194">
        <f>IF(Entity_Unit_Costs[[#This Row],[Closing social housing units managed]]&gt;0,Entity_Unit_Costs[[#This Row],[Service charge costs]]/Entity_Unit_Costs[[#This Row],[Closing social housing units managed]],"")</f>
        <v>0.3197211155378486</v>
      </c>
      <c r="J295" s="193">
        <v>321</v>
      </c>
      <c r="K295" s="194">
        <f>IF(Entity_Unit_Costs[[#This Row],[Closing social housing units managed]]&gt;0,(Entity_Unit_Costs[[#This Row],[Routine maintenance]]+Entity_Unit_Costs[[#This Row],[Planned maintenance]])/Entity_Unit_Costs[[#This Row],[Closing social housing units managed]],"")</f>
        <v>1.4800796812749004</v>
      </c>
      <c r="L295" s="193">
        <v>1059</v>
      </c>
      <c r="M295" s="193">
        <v>427</v>
      </c>
      <c r="N295" s="194">
        <f>IF(Entity_Unit_Costs[[#This Row],[Closing social housing units managed]]&gt;0,(Entity_Unit_Costs[[#This Row],[Major repairs expenditure]]+Entity_Unit_Costs[[#This Row],[Capitalised major repairs expenditure for period]])/Entity_Unit_Costs[[#This Row],[Closing social housing units managed]],"")</f>
        <v>0.5</v>
      </c>
      <c r="O295" s="193">
        <v>0</v>
      </c>
      <c r="P295" s="193">
        <v>502</v>
      </c>
      <c r="Q29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0.30776892430278885</v>
      </c>
      <c r="R295" s="193">
        <v>306</v>
      </c>
      <c r="S295" s="193">
        <v>0</v>
      </c>
      <c r="T295" s="193">
        <v>0</v>
      </c>
      <c r="U295" s="193">
        <v>0</v>
      </c>
      <c r="V295" s="195">
        <v>3</v>
      </c>
      <c r="W295" s="183">
        <v>1.2935323383084577E-2</v>
      </c>
      <c r="X295" s="183">
        <v>2.5870646766169153E-2</v>
      </c>
      <c r="Y295" s="184" t="s">
        <v>1256</v>
      </c>
      <c r="Z295" s="185"/>
      <c r="AA295" s="186" t="s">
        <v>1279</v>
      </c>
      <c r="AB295" s="187" t="s">
        <v>1265</v>
      </c>
      <c r="AC295" s="188">
        <v>0.96617455710897804</v>
      </c>
      <c r="AD295" s="186" t="s">
        <v>183</v>
      </c>
      <c r="AE295" s="187" t="s">
        <v>182</v>
      </c>
    </row>
    <row r="296" spans="1:31" x14ac:dyDescent="0.2">
      <c r="A296" s="189" t="s">
        <v>800</v>
      </c>
      <c r="B296" s="190" t="s">
        <v>799</v>
      </c>
      <c r="C296" s="191" t="s">
        <v>200</v>
      </c>
      <c r="D296" s="192">
        <v>1242</v>
      </c>
      <c r="E29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3434</v>
      </c>
      <c r="F296" s="194">
        <f>IF(Entity_Unit_Costs[[#This Row],[Closing social housing units managed]]&gt;0,Entity_Unit_Costs[[#This Row],[Headline Social Housing Cost]]/Entity_Unit_Costs[[#This Row],[Closing social housing units managed]],"")</f>
        <v>2.7648953301127213</v>
      </c>
      <c r="G296" s="194">
        <f>IF(Entity_Unit_Costs[[#This Row],[Closing social housing units managed]]&gt;0,Entity_Unit_Costs[[#This Row],[Management]]/Entity_Unit_Costs[[#This Row],[Closing social housing units managed]],"")</f>
        <v>1.4049919484702094</v>
      </c>
      <c r="H296" s="193">
        <v>1745</v>
      </c>
      <c r="I296" s="194">
        <f>IF(Entity_Unit_Costs[[#This Row],[Closing social housing units managed]]&gt;0,Entity_Unit_Costs[[#This Row],[Service charge costs]]/Entity_Unit_Costs[[#This Row],[Closing social housing units managed]],"")</f>
        <v>0.18840579710144928</v>
      </c>
      <c r="J296" s="193">
        <v>234</v>
      </c>
      <c r="K296" s="194">
        <f>IF(Entity_Unit_Costs[[#This Row],[Closing social housing units managed]]&gt;0,(Entity_Unit_Costs[[#This Row],[Routine maintenance]]+Entity_Unit_Costs[[#This Row],[Planned maintenance]])/Entity_Unit_Costs[[#This Row],[Closing social housing units managed]],"")</f>
        <v>0.84460547504025762</v>
      </c>
      <c r="L296" s="193">
        <v>590</v>
      </c>
      <c r="M296" s="193">
        <v>459</v>
      </c>
      <c r="N296" s="194">
        <f>IF(Entity_Unit_Costs[[#This Row],[Closing social housing units managed]]&gt;0,(Entity_Unit_Costs[[#This Row],[Major repairs expenditure]]+Entity_Unit_Costs[[#This Row],[Capitalised major repairs expenditure for period]])/Entity_Unit_Costs[[#This Row],[Closing social housing units managed]],"")</f>
        <v>0.28421900161030594</v>
      </c>
      <c r="O296" s="193">
        <v>0</v>
      </c>
      <c r="P296" s="193">
        <v>353</v>
      </c>
      <c r="Q29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4.2673107890499197E-2</v>
      </c>
      <c r="R296" s="193">
        <v>53</v>
      </c>
      <c r="S296" s="193">
        <v>0</v>
      </c>
      <c r="T296" s="193">
        <v>0</v>
      </c>
      <c r="U296" s="193">
        <v>0</v>
      </c>
      <c r="V296" s="195">
        <v>0</v>
      </c>
      <c r="W296" s="183">
        <v>0</v>
      </c>
      <c r="X296" s="183">
        <v>4.0650406504065045E-3</v>
      </c>
      <c r="Y296" s="184" t="s">
        <v>1256</v>
      </c>
      <c r="Z296" s="185"/>
      <c r="AA296" s="186" t="s">
        <v>1279</v>
      </c>
      <c r="AB296" s="187" t="s">
        <v>1264</v>
      </c>
      <c r="AC296" s="188">
        <v>0.94807909763407572</v>
      </c>
      <c r="AD296" s="186" t="s">
        <v>800</v>
      </c>
      <c r="AE296" s="187" t="s">
        <v>799</v>
      </c>
    </row>
    <row r="297" spans="1:31" x14ac:dyDescent="0.2">
      <c r="A297" s="189" t="s">
        <v>801</v>
      </c>
      <c r="B297" s="190" t="s">
        <v>802</v>
      </c>
      <c r="C297" s="196" t="s">
        <v>200</v>
      </c>
      <c r="D297" s="192">
        <v>7481</v>
      </c>
      <c r="E29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29507</v>
      </c>
      <c r="F297" s="194">
        <f>IF(Entity_Unit_Costs[[#This Row],[Closing social housing units managed]]&gt;0,Entity_Unit_Costs[[#This Row],[Headline Social Housing Cost]]/Entity_Unit_Costs[[#This Row],[Closing social housing units managed]],"")</f>
        <v>3.9442587889319611</v>
      </c>
      <c r="G297" s="194">
        <f>IF(Entity_Unit_Costs[[#This Row],[Closing social housing units managed]]&gt;0,Entity_Unit_Costs[[#This Row],[Management]]/Entity_Unit_Costs[[#This Row],[Closing social housing units managed]],"")</f>
        <v>1.0654992648041706</v>
      </c>
      <c r="H297" s="193">
        <v>7971</v>
      </c>
      <c r="I297" s="194">
        <f>IF(Entity_Unit_Costs[[#This Row],[Closing social housing units managed]]&gt;0,Entity_Unit_Costs[[#This Row],[Service charge costs]]/Entity_Unit_Costs[[#This Row],[Closing social housing units managed]],"")</f>
        <v>0.22095976473733459</v>
      </c>
      <c r="J297" s="193">
        <v>1653</v>
      </c>
      <c r="K297" s="194">
        <f>IF(Entity_Unit_Costs[[#This Row],[Closing social housing units managed]]&gt;0,(Entity_Unit_Costs[[#This Row],[Routine maintenance]]+Entity_Unit_Costs[[#This Row],[Planned maintenance]])/Entity_Unit_Costs[[#This Row],[Closing social housing units managed]],"")</f>
        <v>1.3123913915251972</v>
      </c>
      <c r="L297" s="193">
        <v>7917</v>
      </c>
      <c r="M297" s="193">
        <v>1901</v>
      </c>
      <c r="N297" s="194">
        <f>IF(Entity_Unit_Costs[[#This Row],[Closing social housing units managed]]&gt;0,(Entity_Unit_Costs[[#This Row],[Major repairs expenditure]]+Entity_Unit_Costs[[#This Row],[Capitalised major repairs expenditure for period]])/Entity_Unit_Costs[[#This Row],[Closing social housing units managed]],"")</f>
        <v>1.3454083678652586</v>
      </c>
      <c r="O297" s="193">
        <v>7364</v>
      </c>
      <c r="P297" s="193">
        <v>2701</v>
      </c>
      <c r="Q29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v>
      </c>
      <c r="R297" s="193">
        <v>0</v>
      </c>
      <c r="S297" s="193">
        <v>0</v>
      </c>
      <c r="T297" s="193">
        <v>0</v>
      </c>
      <c r="U297" s="193">
        <v>0</v>
      </c>
      <c r="V297" s="195">
        <v>0</v>
      </c>
      <c r="W297" s="183">
        <v>1.4703916588691352E-3</v>
      </c>
      <c r="X297" s="183">
        <v>7.7529742013099853E-2</v>
      </c>
      <c r="Y297" s="184" t="s">
        <v>1257</v>
      </c>
      <c r="Z297" s="185">
        <v>38915</v>
      </c>
      <c r="AA297" s="186" t="s">
        <v>1280</v>
      </c>
      <c r="AB297" s="187" t="s">
        <v>1259</v>
      </c>
      <c r="AC297" s="188">
        <v>1.0111857444567942</v>
      </c>
      <c r="AD297" s="186" t="s">
        <v>801</v>
      </c>
      <c r="AE297" s="187" t="s">
        <v>802</v>
      </c>
    </row>
    <row r="298" spans="1:31" x14ac:dyDescent="0.2">
      <c r="A298" s="189" t="s">
        <v>803</v>
      </c>
      <c r="B298" s="190" t="s">
        <v>804</v>
      </c>
      <c r="C298" s="196" t="s">
        <v>200</v>
      </c>
      <c r="D298" s="192">
        <v>4986</v>
      </c>
      <c r="E29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13548</v>
      </c>
      <c r="F298" s="194">
        <f>IF(Entity_Unit_Costs[[#This Row],[Closing social housing units managed]]&gt;0,Entity_Unit_Costs[[#This Row],[Headline Social Housing Cost]]/Entity_Unit_Costs[[#This Row],[Closing social housing units managed]],"")</f>
        <v>2.7172081829121542</v>
      </c>
      <c r="G298" s="194">
        <f>IF(Entity_Unit_Costs[[#This Row],[Closing social housing units managed]]&gt;0,Entity_Unit_Costs[[#This Row],[Management]]/Entity_Unit_Costs[[#This Row],[Closing social housing units managed]],"")</f>
        <v>0.60048134777376649</v>
      </c>
      <c r="H298" s="193">
        <v>2994</v>
      </c>
      <c r="I298" s="194">
        <f>IF(Entity_Unit_Costs[[#This Row],[Closing social housing units managed]]&gt;0,Entity_Unit_Costs[[#This Row],[Service charge costs]]/Entity_Unit_Costs[[#This Row],[Closing social housing units managed]],"")</f>
        <v>0.21419975932611313</v>
      </c>
      <c r="J298" s="193">
        <v>1068</v>
      </c>
      <c r="K298" s="194">
        <f>IF(Entity_Unit_Costs[[#This Row],[Closing social housing units managed]]&gt;0,(Entity_Unit_Costs[[#This Row],[Routine maintenance]]+Entity_Unit_Costs[[#This Row],[Planned maintenance]])/Entity_Unit_Costs[[#This Row],[Closing social housing units managed]],"")</f>
        <v>0.83975130365022066</v>
      </c>
      <c r="L298" s="193">
        <v>3466</v>
      </c>
      <c r="M298" s="193">
        <v>721</v>
      </c>
      <c r="N298" s="194">
        <f>IF(Entity_Unit_Costs[[#This Row],[Closing social housing units managed]]&gt;0,(Entity_Unit_Costs[[#This Row],[Major repairs expenditure]]+Entity_Unit_Costs[[#This Row],[Capitalised major repairs expenditure for period]])/Entity_Unit_Costs[[#This Row],[Closing social housing units managed]],"")</f>
        <v>0.9857601283594063</v>
      </c>
      <c r="O298" s="193">
        <v>2040</v>
      </c>
      <c r="P298" s="193">
        <v>2875</v>
      </c>
      <c r="Q29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7.7015643802647415E-2</v>
      </c>
      <c r="R298" s="193">
        <v>0</v>
      </c>
      <c r="S298" s="193">
        <v>0</v>
      </c>
      <c r="T298" s="193">
        <v>384</v>
      </c>
      <c r="U298" s="193">
        <v>0</v>
      </c>
      <c r="V298" s="195">
        <v>0</v>
      </c>
      <c r="W298" s="183">
        <v>2.8067361668003207E-3</v>
      </c>
      <c r="X298" s="183">
        <v>8.8612670408981561E-2</v>
      </c>
      <c r="Y298" s="184" t="s">
        <v>1257</v>
      </c>
      <c r="Z298" s="185">
        <v>38761</v>
      </c>
      <c r="AA298" s="186" t="s">
        <v>1280</v>
      </c>
      <c r="AB298" s="187" t="s">
        <v>1263</v>
      </c>
      <c r="AC298" s="188">
        <v>1.0022399874355168</v>
      </c>
      <c r="AD298" s="186" t="s">
        <v>803</v>
      </c>
      <c r="AE298" s="187" t="s">
        <v>804</v>
      </c>
    </row>
    <row r="299" spans="1:31" x14ac:dyDescent="0.2">
      <c r="A299" s="189" t="s">
        <v>186</v>
      </c>
      <c r="B299" s="190" t="s">
        <v>184</v>
      </c>
      <c r="C299" s="191" t="s">
        <v>200</v>
      </c>
      <c r="D299" s="192">
        <v>13521</v>
      </c>
      <c r="E29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77759</v>
      </c>
      <c r="F299" s="194">
        <f>IF(Entity_Unit_Costs[[#This Row],[Closing social housing units managed]]&gt;0,Entity_Unit_Costs[[#This Row],[Headline Social Housing Cost]]/Entity_Unit_Costs[[#This Row],[Closing social housing units managed]],"")</f>
        <v>5.7509799571037643</v>
      </c>
      <c r="G299" s="194">
        <f>IF(Entity_Unit_Costs[[#This Row],[Closing social housing units managed]]&gt;0,Entity_Unit_Costs[[#This Row],[Management]]/Entity_Unit_Costs[[#This Row],[Closing social housing units managed]],"")</f>
        <v>2.7467642925819096</v>
      </c>
      <c r="H299" s="193">
        <v>37139</v>
      </c>
      <c r="I299" s="194">
        <f>IF(Entity_Unit_Costs[[#This Row],[Closing social housing units managed]]&gt;0,Entity_Unit_Costs[[#This Row],[Service charge costs]]/Entity_Unit_Costs[[#This Row],[Closing social housing units managed]],"")</f>
        <v>0.7167369277420309</v>
      </c>
      <c r="J299" s="193">
        <v>9691</v>
      </c>
      <c r="K299" s="194">
        <f>IF(Entity_Unit_Costs[[#This Row],[Closing social housing units managed]]&gt;0,(Entity_Unit_Costs[[#This Row],[Routine maintenance]]+Entity_Unit_Costs[[#This Row],[Planned maintenance]])/Entity_Unit_Costs[[#This Row],[Closing social housing units managed]],"")</f>
        <v>0.94919014865764362</v>
      </c>
      <c r="L299" s="193">
        <v>12834</v>
      </c>
      <c r="M299" s="193">
        <v>0</v>
      </c>
      <c r="N299" s="194">
        <f>IF(Entity_Unit_Costs[[#This Row],[Closing social housing units managed]]&gt;0,(Entity_Unit_Costs[[#This Row],[Major repairs expenditure]]+Entity_Unit_Costs[[#This Row],[Capitalised major repairs expenditure for period]])/Entity_Unit_Costs[[#This Row],[Closing social housing units managed]],"")</f>
        <v>1.0610901560535464</v>
      </c>
      <c r="O299" s="193">
        <v>5389</v>
      </c>
      <c r="P299" s="193">
        <v>8958</v>
      </c>
      <c r="Q29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0.27719843206863398</v>
      </c>
      <c r="R299" s="193">
        <v>297</v>
      </c>
      <c r="S299" s="193">
        <v>607</v>
      </c>
      <c r="T299" s="193">
        <v>0</v>
      </c>
      <c r="U299" s="193">
        <v>2844</v>
      </c>
      <c r="V299" s="195">
        <v>0</v>
      </c>
      <c r="W299" s="183">
        <v>3.8269831883078483E-2</v>
      </c>
      <c r="X299" s="183">
        <v>0.21973473008363606</v>
      </c>
      <c r="Y299" s="184" t="s">
        <v>1256</v>
      </c>
      <c r="Z299" s="185"/>
      <c r="AA299" s="186" t="s">
        <v>1279</v>
      </c>
      <c r="AB299" s="187" t="s">
        <v>1267</v>
      </c>
      <c r="AC299" s="188">
        <v>1.1553100811896337</v>
      </c>
      <c r="AD299" s="186" t="s">
        <v>186</v>
      </c>
      <c r="AE299" s="187" t="s">
        <v>184</v>
      </c>
    </row>
    <row r="300" spans="1:31" x14ac:dyDescent="0.2">
      <c r="A300" s="189" t="s">
        <v>805</v>
      </c>
      <c r="B300" s="190" t="s">
        <v>806</v>
      </c>
      <c r="C300" s="196" t="s">
        <v>200</v>
      </c>
      <c r="D300" s="192">
        <v>31202</v>
      </c>
      <c r="E30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94542</v>
      </c>
      <c r="F300" s="194">
        <f>IF(Entity_Unit_Costs[[#This Row],[Closing social housing units managed]]&gt;0,Entity_Unit_Costs[[#This Row],[Headline Social Housing Cost]]/Entity_Unit_Costs[[#This Row],[Closing social housing units managed]],"")</f>
        <v>3.0299980770463431</v>
      </c>
      <c r="G300" s="194">
        <f>IF(Entity_Unit_Costs[[#This Row],[Closing social housing units managed]]&gt;0,Entity_Unit_Costs[[#This Row],[Management]]/Entity_Unit_Costs[[#This Row],[Closing social housing units managed]],"")</f>
        <v>1.0041023011345427</v>
      </c>
      <c r="H300" s="193">
        <v>31330</v>
      </c>
      <c r="I300" s="194">
        <f>IF(Entity_Unit_Costs[[#This Row],[Closing social housing units managed]]&gt;0,Entity_Unit_Costs[[#This Row],[Service charge costs]]/Entity_Unit_Costs[[#This Row],[Closing social housing units managed]],"")</f>
        <v>0.16277802704954811</v>
      </c>
      <c r="J300" s="193">
        <v>5079</v>
      </c>
      <c r="K300" s="194">
        <f>IF(Entity_Unit_Costs[[#This Row],[Closing social housing units managed]]&gt;0,(Entity_Unit_Costs[[#This Row],[Routine maintenance]]+Entity_Unit_Costs[[#This Row],[Planned maintenance]])/Entity_Unit_Costs[[#This Row],[Closing social housing units managed]],"")</f>
        <v>0.56704698416768151</v>
      </c>
      <c r="L300" s="193">
        <v>15204</v>
      </c>
      <c r="M300" s="193">
        <v>2489</v>
      </c>
      <c r="N300" s="194">
        <f>IF(Entity_Unit_Costs[[#This Row],[Closing social housing units managed]]&gt;0,(Entity_Unit_Costs[[#This Row],[Major repairs expenditure]]+Entity_Unit_Costs[[#This Row],[Capitalised major repairs expenditure for period]])/Entity_Unit_Costs[[#This Row],[Closing social housing units managed]],"")</f>
        <v>1.0089417345041984</v>
      </c>
      <c r="O300" s="193">
        <v>13231</v>
      </c>
      <c r="P300" s="193">
        <v>18250</v>
      </c>
      <c r="Q30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0.28712903019037239</v>
      </c>
      <c r="R300" s="193">
        <v>1501</v>
      </c>
      <c r="S300" s="193">
        <v>1028</v>
      </c>
      <c r="T300" s="193">
        <v>5254</v>
      </c>
      <c r="U300" s="193">
        <v>1176</v>
      </c>
      <c r="V300" s="195">
        <v>0</v>
      </c>
      <c r="W300" s="183">
        <v>5.6054099096211785E-2</v>
      </c>
      <c r="X300" s="183">
        <v>1.2819691045445804E-4</v>
      </c>
      <c r="Y300" s="184" t="s">
        <v>1257</v>
      </c>
      <c r="Z300" s="185">
        <v>38432</v>
      </c>
      <c r="AA300" s="186" t="s">
        <v>1268</v>
      </c>
      <c r="AB300" s="187" t="s">
        <v>1264</v>
      </c>
      <c r="AC300" s="188">
        <v>0.94807909763407583</v>
      </c>
      <c r="AD300" s="186" t="s">
        <v>805</v>
      </c>
      <c r="AE300" s="187" t="s">
        <v>806</v>
      </c>
    </row>
    <row r="301" spans="1:31" x14ac:dyDescent="0.2">
      <c r="A301" s="189" t="s">
        <v>810</v>
      </c>
      <c r="B301" s="190" t="s">
        <v>809</v>
      </c>
      <c r="C301" s="196" t="s">
        <v>200</v>
      </c>
      <c r="D301" s="192">
        <v>20189</v>
      </c>
      <c r="E30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59516</v>
      </c>
      <c r="F301" s="194">
        <f>IF(Entity_Unit_Costs[[#This Row],[Closing social housing units managed]]&gt;0,Entity_Unit_Costs[[#This Row],[Headline Social Housing Cost]]/Entity_Unit_Costs[[#This Row],[Closing social housing units managed]],"")</f>
        <v>2.9479419485858638</v>
      </c>
      <c r="G301" s="194">
        <f>IF(Entity_Unit_Costs[[#This Row],[Closing social housing units managed]]&gt;0,Entity_Unit_Costs[[#This Row],[Management]]/Entity_Unit_Costs[[#This Row],[Closing social housing units managed]],"")</f>
        <v>0.61493882807469413</v>
      </c>
      <c r="H301" s="193">
        <v>12415</v>
      </c>
      <c r="I301" s="194">
        <f>IF(Entity_Unit_Costs[[#This Row],[Closing social housing units managed]]&gt;0,Entity_Unit_Costs[[#This Row],[Service charge costs]]/Entity_Unit_Costs[[#This Row],[Closing social housing units managed]],"")</f>
        <v>0.21903016494130467</v>
      </c>
      <c r="J301" s="193">
        <v>4422</v>
      </c>
      <c r="K301" s="194">
        <f>IF(Entity_Unit_Costs[[#This Row],[Closing social housing units managed]]&gt;0,(Entity_Unit_Costs[[#This Row],[Routine maintenance]]+Entity_Unit_Costs[[#This Row],[Planned maintenance]])/Entity_Unit_Costs[[#This Row],[Closing social housing units managed]],"")</f>
        <v>1.2265094853633167</v>
      </c>
      <c r="L301" s="193">
        <v>9936</v>
      </c>
      <c r="M301" s="193">
        <v>14826</v>
      </c>
      <c r="N301" s="194">
        <f>IF(Entity_Unit_Costs[[#This Row],[Closing social housing units managed]]&gt;0,(Entity_Unit_Costs[[#This Row],[Major repairs expenditure]]+Entity_Unit_Costs[[#This Row],[Capitalised major repairs expenditure for period]])/Entity_Unit_Costs[[#This Row],[Closing social housing units managed]],"")</f>
        <v>0.7419882114022488</v>
      </c>
      <c r="O301" s="193">
        <v>7223</v>
      </c>
      <c r="P301" s="193">
        <v>7757</v>
      </c>
      <c r="Q30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0.14547525880429937</v>
      </c>
      <c r="R301" s="193">
        <v>0</v>
      </c>
      <c r="S301" s="193">
        <v>571</v>
      </c>
      <c r="T301" s="193">
        <v>1720</v>
      </c>
      <c r="U301" s="193">
        <v>646</v>
      </c>
      <c r="V301" s="195">
        <v>0</v>
      </c>
      <c r="W301" s="183">
        <v>3.2653061224489797E-3</v>
      </c>
      <c r="X301" s="183">
        <v>0</v>
      </c>
      <c r="Y301" s="184" t="s">
        <v>1257</v>
      </c>
      <c r="Z301" s="185">
        <v>37707</v>
      </c>
      <c r="AA301" s="186" t="s">
        <v>1268</v>
      </c>
      <c r="AB301" s="187" t="s">
        <v>1260</v>
      </c>
      <c r="AC301" s="188">
        <v>0.91571558169387279</v>
      </c>
      <c r="AD301" s="186" t="s">
        <v>810</v>
      </c>
      <c r="AE301" s="187" t="s">
        <v>809</v>
      </c>
    </row>
    <row r="302" spans="1:31" x14ac:dyDescent="0.2">
      <c r="A302" s="189" t="s">
        <v>813</v>
      </c>
      <c r="B302" s="190" t="s">
        <v>812</v>
      </c>
      <c r="C302" s="196" t="s">
        <v>200</v>
      </c>
      <c r="D302" s="192">
        <v>7018</v>
      </c>
      <c r="E30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33976</v>
      </c>
      <c r="F302" s="194">
        <f>IF(Entity_Unit_Costs[[#This Row],[Closing social housing units managed]]&gt;0,Entity_Unit_Costs[[#This Row],[Headline Social Housing Cost]]/Entity_Unit_Costs[[#This Row],[Closing social housing units managed]],"")</f>
        <v>4.8412653177543463</v>
      </c>
      <c r="G302" s="194">
        <f>IF(Entity_Unit_Costs[[#This Row],[Closing social housing units managed]]&gt;0,Entity_Unit_Costs[[#This Row],[Management]]/Entity_Unit_Costs[[#This Row],[Closing social housing units managed]],"")</f>
        <v>1.6058706184098033</v>
      </c>
      <c r="H302" s="193">
        <v>11270</v>
      </c>
      <c r="I302" s="194">
        <f>IF(Entity_Unit_Costs[[#This Row],[Closing social housing units managed]]&gt;0,Entity_Unit_Costs[[#This Row],[Service charge costs]]/Entity_Unit_Costs[[#This Row],[Closing social housing units managed]],"")</f>
        <v>0.47534910230834998</v>
      </c>
      <c r="J302" s="193">
        <v>3336</v>
      </c>
      <c r="K302" s="194">
        <f>IF(Entity_Unit_Costs[[#This Row],[Closing social housing units managed]]&gt;0,(Entity_Unit_Costs[[#This Row],[Routine maintenance]]+Entity_Unit_Costs[[#This Row],[Planned maintenance]])/Entity_Unit_Costs[[#This Row],[Closing social housing units managed]],"")</f>
        <v>1.1357936734112282</v>
      </c>
      <c r="L302" s="193">
        <v>5111</v>
      </c>
      <c r="M302" s="193">
        <v>2860</v>
      </c>
      <c r="N302" s="194">
        <f>IF(Entity_Unit_Costs[[#This Row],[Closing social housing units managed]]&gt;0,(Entity_Unit_Costs[[#This Row],[Major repairs expenditure]]+Entity_Unit_Costs[[#This Row],[Capitalised major repairs expenditure for period]])/Entity_Unit_Costs[[#This Row],[Closing social housing units managed]],"")</f>
        <v>1.5210886292390995</v>
      </c>
      <c r="O302" s="193">
        <v>2042</v>
      </c>
      <c r="P302" s="193">
        <v>8633</v>
      </c>
      <c r="Q30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0.10316329438586491</v>
      </c>
      <c r="R302" s="193">
        <v>0</v>
      </c>
      <c r="S302" s="193">
        <v>0</v>
      </c>
      <c r="T302" s="193">
        <v>388</v>
      </c>
      <c r="U302" s="193">
        <v>336</v>
      </c>
      <c r="V302" s="195">
        <v>0</v>
      </c>
      <c r="W302" s="183">
        <v>3.643843667352336E-2</v>
      </c>
      <c r="X302" s="183">
        <v>1.6749926535409933E-2</v>
      </c>
      <c r="Y302" s="184" t="s">
        <v>1256</v>
      </c>
      <c r="Z302" s="185"/>
      <c r="AA302" s="186" t="s">
        <v>1279</v>
      </c>
      <c r="AB302" s="187" t="s">
        <v>1267</v>
      </c>
      <c r="AC302" s="188">
        <v>1.2487234837863004</v>
      </c>
      <c r="AD302" s="186" t="s">
        <v>813</v>
      </c>
      <c r="AE302" s="187" t="s">
        <v>812</v>
      </c>
    </row>
    <row r="303" spans="1:31" x14ac:dyDescent="0.2">
      <c r="A303" s="189" t="s">
        <v>814</v>
      </c>
      <c r="B303" s="190" t="s">
        <v>815</v>
      </c>
      <c r="C303" s="196" t="s">
        <v>200</v>
      </c>
      <c r="D303" s="192">
        <v>5186</v>
      </c>
      <c r="E30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19681</v>
      </c>
      <c r="F303" s="194">
        <f>IF(Entity_Unit_Costs[[#This Row],[Closing social housing units managed]]&gt;0,Entity_Unit_Costs[[#This Row],[Headline Social Housing Cost]]/Entity_Unit_Costs[[#This Row],[Closing social housing units managed]],"")</f>
        <v>3.7950250674893944</v>
      </c>
      <c r="G303" s="194">
        <f>IF(Entity_Unit_Costs[[#This Row],[Closing social housing units managed]]&gt;0,Entity_Unit_Costs[[#This Row],[Management]]/Entity_Unit_Costs[[#This Row],[Closing social housing units managed]],"")</f>
        <v>0.55090628615503279</v>
      </c>
      <c r="H303" s="193">
        <v>2857</v>
      </c>
      <c r="I303" s="194">
        <f>IF(Entity_Unit_Costs[[#This Row],[Closing social housing units managed]]&gt;0,Entity_Unit_Costs[[#This Row],[Service charge costs]]/Entity_Unit_Costs[[#This Row],[Closing social housing units managed]],"")</f>
        <v>0.38449672194369455</v>
      </c>
      <c r="J303" s="193">
        <v>1994</v>
      </c>
      <c r="K303" s="194">
        <f>IF(Entity_Unit_Costs[[#This Row],[Closing social housing units managed]]&gt;0,(Entity_Unit_Costs[[#This Row],[Routine maintenance]]+Entity_Unit_Costs[[#This Row],[Planned maintenance]])/Entity_Unit_Costs[[#This Row],[Closing social housing units managed]],"")</f>
        <v>1.1282298495950636</v>
      </c>
      <c r="L303" s="193">
        <v>5210</v>
      </c>
      <c r="M303" s="193">
        <v>641</v>
      </c>
      <c r="N303" s="194">
        <f>IF(Entity_Unit_Costs[[#This Row],[Closing social housing units managed]]&gt;0,(Entity_Unit_Costs[[#This Row],[Major repairs expenditure]]+Entity_Unit_Costs[[#This Row],[Capitalised major repairs expenditure for period]])/Entity_Unit_Costs[[#This Row],[Closing social housing units managed]],"")</f>
        <v>1.284998071731585</v>
      </c>
      <c r="O303" s="193">
        <v>4035</v>
      </c>
      <c r="P303" s="193">
        <v>2629</v>
      </c>
      <c r="Q30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0.44639413806401851</v>
      </c>
      <c r="R303" s="193">
        <v>1877</v>
      </c>
      <c r="S303" s="193">
        <v>0</v>
      </c>
      <c r="T303" s="193">
        <v>193</v>
      </c>
      <c r="U303" s="193">
        <v>245</v>
      </c>
      <c r="V303" s="195">
        <v>0</v>
      </c>
      <c r="W303" s="183">
        <v>1.1556240369799693E-3</v>
      </c>
      <c r="X303" s="183">
        <v>0.32742681047765793</v>
      </c>
      <c r="Y303" s="184" t="s">
        <v>1257</v>
      </c>
      <c r="Z303" s="185">
        <v>39503</v>
      </c>
      <c r="AA303" s="186" t="s">
        <v>1280</v>
      </c>
      <c r="AB303" s="187" t="s">
        <v>1266</v>
      </c>
      <c r="AC303" s="188">
        <v>0.90266476487424829</v>
      </c>
      <c r="AD303" s="186" t="s">
        <v>1226</v>
      </c>
      <c r="AE303" s="187" t="s">
        <v>252</v>
      </c>
    </row>
    <row r="304" spans="1:31" x14ac:dyDescent="0.2">
      <c r="A304" s="189" t="s">
        <v>816</v>
      </c>
      <c r="B304" s="190" t="s">
        <v>817</v>
      </c>
      <c r="C304" s="196" t="s">
        <v>200</v>
      </c>
      <c r="D304" s="192">
        <v>1286</v>
      </c>
      <c r="E30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5249</v>
      </c>
      <c r="F304" s="194">
        <f>IF(Entity_Unit_Costs[[#This Row],[Closing social housing units managed]]&gt;0,Entity_Unit_Costs[[#This Row],[Headline Social Housing Cost]]/Entity_Unit_Costs[[#This Row],[Closing social housing units managed]],"")</f>
        <v>4.0816485225505446</v>
      </c>
      <c r="G304" s="194">
        <f>IF(Entity_Unit_Costs[[#This Row],[Closing social housing units managed]]&gt;0,Entity_Unit_Costs[[#This Row],[Management]]/Entity_Unit_Costs[[#This Row],[Closing social housing units managed]],"")</f>
        <v>0.64930015552099529</v>
      </c>
      <c r="H304" s="193">
        <v>835</v>
      </c>
      <c r="I304" s="194">
        <f>IF(Entity_Unit_Costs[[#This Row],[Closing social housing units managed]]&gt;0,Entity_Unit_Costs[[#This Row],[Service charge costs]]/Entity_Unit_Costs[[#This Row],[Closing social housing units managed]],"")</f>
        <v>0.42457231726283046</v>
      </c>
      <c r="J304" s="193">
        <v>546</v>
      </c>
      <c r="K304" s="194">
        <f>IF(Entity_Unit_Costs[[#This Row],[Closing social housing units managed]]&gt;0,(Entity_Unit_Costs[[#This Row],[Routine maintenance]]+Entity_Unit_Costs[[#This Row],[Planned maintenance]])/Entity_Unit_Costs[[#This Row],[Closing social housing units managed]],"")</f>
        <v>0.71772939346811815</v>
      </c>
      <c r="L304" s="193">
        <v>923</v>
      </c>
      <c r="M304" s="193">
        <v>0</v>
      </c>
      <c r="N304" s="194">
        <f>IF(Entity_Unit_Costs[[#This Row],[Closing social housing units managed]]&gt;0,(Entity_Unit_Costs[[#This Row],[Major repairs expenditure]]+Entity_Unit_Costs[[#This Row],[Capitalised major repairs expenditure for period]])/Entity_Unit_Costs[[#This Row],[Closing social housing units managed]],"")</f>
        <v>1.0956454121306376</v>
      </c>
      <c r="O304" s="193">
        <v>414</v>
      </c>
      <c r="P304" s="193">
        <v>995</v>
      </c>
      <c r="Q30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1.1944012441679628</v>
      </c>
      <c r="R304" s="193">
        <v>97</v>
      </c>
      <c r="S304" s="193">
        <v>0</v>
      </c>
      <c r="T304" s="193">
        <v>1439</v>
      </c>
      <c r="U304" s="193">
        <v>0</v>
      </c>
      <c r="V304" s="195">
        <v>0</v>
      </c>
      <c r="W304" s="183">
        <v>5.8365758754863814E-2</v>
      </c>
      <c r="X304" s="183">
        <v>0.12217898832684825</v>
      </c>
      <c r="Y304" s="184" t="s">
        <v>1256</v>
      </c>
      <c r="Z304" s="185"/>
      <c r="AA304" s="186" t="s">
        <v>1279</v>
      </c>
      <c r="AB304" s="187" t="s">
        <v>1262</v>
      </c>
      <c r="AC304" s="188">
        <v>0.9156653862445665</v>
      </c>
      <c r="AD304" s="186" t="s">
        <v>816</v>
      </c>
      <c r="AE304" s="187" t="s">
        <v>817</v>
      </c>
    </row>
    <row r="305" spans="1:31" x14ac:dyDescent="0.2">
      <c r="A305" s="189" t="s">
        <v>819</v>
      </c>
      <c r="B305" s="190" t="s">
        <v>820</v>
      </c>
      <c r="C305" s="196" t="s">
        <v>200</v>
      </c>
      <c r="D305" s="192">
        <v>6516</v>
      </c>
      <c r="E30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10125</v>
      </c>
      <c r="F305" s="194">
        <f>IF(Entity_Unit_Costs[[#This Row],[Closing social housing units managed]]&gt;0,Entity_Unit_Costs[[#This Row],[Headline Social Housing Cost]]/Entity_Unit_Costs[[#This Row],[Closing social housing units managed]],"")</f>
        <v>1.5538674033149171</v>
      </c>
      <c r="G305" s="194">
        <f>IF(Entity_Unit_Costs[[#This Row],[Closing social housing units managed]]&gt;0,Entity_Unit_Costs[[#This Row],[Management]]/Entity_Unit_Costs[[#This Row],[Closing social housing units managed]],"")</f>
        <v>0.35727440147329648</v>
      </c>
      <c r="H305" s="193">
        <v>2328</v>
      </c>
      <c r="I305" s="194">
        <f>IF(Entity_Unit_Costs[[#This Row],[Closing social housing units managed]]&gt;0,Entity_Unit_Costs[[#This Row],[Service charge costs]]/Entity_Unit_Costs[[#This Row],[Closing social housing units managed]],"")</f>
        <v>0.33916513198281156</v>
      </c>
      <c r="J305" s="193">
        <v>2210</v>
      </c>
      <c r="K305" s="194">
        <f>IF(Entity_Unit_Costs[[#This Row],[Closing social housing units managed]]&gt;0,(Entity_Unit_Costs[[#This Row],[Routine maintenance]]+Entity_Unit_Costs[[#This Row],[Planned maintenance]])/Entity_Unit_Costs[[#This Row],[Closing social housing units managed]],"")</f>
        <v>0.59392265193370164</v>
      </c>
      <c r="L305" s="193">
        <v>3111</v>
      </c>
      <c r="M305" s="193">
        <v>759</v>
      </c>
      <c r="N305" s="194">
        <f>IF(Entity_Unit_Costs[[#This Row],[Closing social housing units managed]]&gt;0,(Entity_Unit_Costs[[#This Row],[Major repairs expenditure]]+Entity_Unit_Costs[[#This Row],[Capitalised major repairs expenditure for period]])/Entity_Unit_Costs[[#This Row],[Closing social housing units managed]],"")</f>
        <v>0.20426642111724985</v>
      </c>
      <c r="O305" s="193">
        <v>561</v>
      </c>
      <c r="P305" s="193">
        <v>770</v>
      </c>
      <c r="Q30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5.9238796807857583E-2</v>
      </c>
      <c r="R305" s="193">
        <v>0</v>
      </c>
      <c r="S305" s="193">
        <v>0</v>
      </c>
      <c r="T305" s="193">
        <v>195</v>
      </c>
      <c r="U305" s="193">
        <v>191</v>
      </c>
      <c r="V305" s="195">
        <v>0</v>
      </c>
      <c r="W305" s="183">
        <v>1.7063243581715716E-2</v>
      </c>
      <c r="X305" s="183">
        <v>0.10942391984971822</v>
      </c>
      <c r="Y305" s="184" t="s">
        <v>1256</v>
      </c>
      <c r="Z305" s="185"/>
      <c r="AA305" s="186" t="s">
        <v>1279</v>
      </c>
      <c r="AB305" s="187" t="s">
        <v>1260</v>
      </c>
      <c r="AC305" s="188">
        <v>0.91623927871710786</v>
      </c>
      <c r="AD305" s="186" t="s">
        <v>1253</v>
      </c>
      <c r="AE305" s="187" t="s">
        <v>822</v>
      </c>
    </row>
    <row r="306" spans="1:31" x14ac:dyDescent="0.2">
      <c r="A306" s="189" t="s">
        <v>825</v>
      </c>
      <c r="B306" s="190" t="s">
        <v>824</v>
      </c>
      <c r="C306" s="196" t="s">
        <v>200</v>
      </c>
      <c r="D306" s="192">
        <v>4768</v>
      </c>
      <c r="E30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18756</v>
      </c>
      <c r="F306" s="194">
        <f>IF(Entity_Unit_Costs[[#This Row],[Closing social housing units managed]]&gt;0,Entity_Unit_Costs[[#This Row],[Headline Social Housing Cost]]/Entity_Unit_Costs[[#This Row],[Closing social housing units managed]],"")</f>
        <v>3.9337248322147653</v>
      </c>
      <c r="G306" s="194">
        <f>IF(Entity_Unit_Costs[[#This Row],[Closing social housing units managed]]&gt;0,Entity_Unit_Costs[[#This Row],[Management]]/Entity_Unit_Costs[[#This Row],[Closing social housing units managed]],"")</f>
        <v>1.7300755033557047</v>
      </c>
      <c r="H306" s="193">
        <v>8249</v>
      </c>
      <c r="I306" s="194">
        <f>IF(Entity_Unit_Costs[[#This Row],[Closing social housing units managed]]&gt;0,Entity_Unit_Costs[[#This Row],[Service charge costs]]/Entity_Unit_Costs[[#This Row],[Closing social housing units managed]],"")</f>
        <v>0.19337248322147652</v>
      </c>
      <c r="J306" s="193">
        <v>922</v>
      </c>
      <c r="K306" s="194">
        <f>IF(Entity_Unit_Costs[[#This Row],[Closing social housing units managed]]&gt;0,(Entity_Unit_Costs[[#This Row],[Routine maintenance]]+Entity_Unit_Costs[[#This Row],[Planned maintenance]])/Entity_Unit_Costs[[#This Row],[Closing social housing units managed]],"")</f>
        <v>0.74874161073825507</v>
      </c>
      <c r="L306" s="193">
        <v>3118</v>
      </c>
      <c r="M306" s="193">
        <v>452</v>
      </c>
      <c r="N306" s="194">
        <f>IF(Entity_Unit_Costs[[#This Row],[Closing social housing units managed]]&gt;0,(Entity_Unit_Costs[[#This Row],[Major repairs expenditure]]+Entity_Unit_Costs[[#This Row],[Capitalised major repairs expenditure for period]])/Entity_Unit_Costs[[#This Row],[Closing social housing units managed]],"")</f>
        <v>1.0539010067114094</v>
      </c>
      <c r="O306" s="193">
        <v>362</v>
      </c>
      <c r="P306" s="193">
        <v>4663</v>
      </c>
      <c r="Q30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0.20763422818791946</v>
      </c>
      <c r="R306" s="193">
        <v>0</v>
      </c>
      <c r="S306" s="193">
        <v>38</v>
      </c>
      <c r="T306" s="193">
        <v>952</v>
      </c>
      <c r="U306" s="193">
        <v>0</v>
      </c>
      <c r="V306" s="195">
        <v>0</v>
      </c>
      <c r="W306" s="183">
        <v>0</v>
      </c>
      <c r="X306" s="183">
        <v>0.10526315789473684</v>
      </c>
      <c r="Y306" s="184" t="s">
        <v>1257</v>
      </c>
      <c r="Z306" s="185">
        <v>39335</v>
      </c>
      <c r="AA306" s="186" t="s">
        <v>1280</v>
      </c>
      <c r="AB306" s="187" t="s">
        <v>1263</v>
      </c>
      <c r="AC306" s="188">
        <v>1.0022399874355168</v>
      </c>
      <c r="AD306" s="186" t="s">
        <v>825</v>
      </c>
      <c r="AE306" s="187" t="s">
        <v>824</v>
      </c>
    </row>
    <row r="307" spans="1:31" x14ac:dyDescent="0.2">
      <c r="A307" s="189" t="s">
        <v>826</v>
      </c>
      <c r="B307" s="190" t="s">
        <v>827</v>
      </c>
      <c r="C307" s="196" t="s">
        <v>200</v>
      </c>
      <c r="D307" s="192">
        <v>2649</v>
      </c>
      <c r="E30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14507</v>
      </c>
      <c r="F307" s="194">
        <f>IF(Entity_Unit_Costs[[#This Row],[Closing social housing units managed]]&gt;0,Entity_Unit_Costs[[#This Row],[Headline Social Housing Cost]]/Entity_Unit_Costs[[#This Row],[Closing social housing units managed]],"")</f>
        <v>5.4764061910154771</v>
      </c>
      <c r="G307" s="194">
        <f>IF(Entity_Unit_Costs[[#This Row],[Closing social housing units managed]]&gt;0,Entity_Unit_Costs[[#This Row],[Management]]/Entity_Unit_Costs[[#This Row],[Closing social housing units managed]],"")</f>
        <v>0.84107210268025667</v>
      </c>
      <c r="H307" s="193">
        <v>2228</v>
      </c>
      <c r="I307" s="194">
        <f>IF(Entity_Unit_Costs[[#This Row],[Closing social housing units managed]]&gt;0,Entity_Unit_Costs[[#This Row],[Service charge costs]]/Entity_Unit_Costs[[#This Row],[Closing social housing units managed]],"")</f>
        <v>0.89656474141185349</v>
      </c>
      <c r="J307" s="193">
        <v>2375</v>
      </c>
      <c r="K307" s="194">
        <f>IF(Entity_Unit_Costs[[#This Row],[Closing social housing units managed]]&gt;0,(Entity_Unit_Costs[[#This Row],[Routine maintenance]]+Entity_Unit_Costs[[#This Row],[Planned maintenance]])/Entity_Unit_Costs[[#This Row],[Closing social housing units managed]],"")</f>
        <v>1.5839939599849</v>
      </c>
      <c r="L307" s="193">
        <v>3161</v>
      </c>
      <c r="M307" s="193">
        <v>1035</v>
      </c>
      <c r="N307" s="194">
        <f>IF(Entity_Unit_Costs[[#This Row],[Closing social housing units managed]]&gt;0,(Entity_Unit_Costs[[#This Row],[Major repairs expenditure]]+Entity_Unit_Costs[[#This Row],[Capitalised major repairs expenditure for period]])/Entity_Unit_Costs[[#This Row],[Closing social housing units managed]],"")</f>
        <v>1.8652321630804076</v>
      </c>
      <c r="O307" s="193">
        <v>0</v>
      </c>
      <c r="P307" s="193">
        <v>4941</v>
      </c>
      <c r="Q30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0.28954322385805964</v>
      </c>
      <c r="R307" s="193">
        <v>0</v>
      </c>
      <c r="S307" s="193">
        <v>0</v>
      </c>
      <c r="T307" s="193">
        <v>767</v>
      </c>
      <c r="U307" s="193">
        <v>0</v>
      </c>
      <c r="V307" s="195">
        <v>0</v>
      </c>
      <c r="W307" s="183">
        <v>0</v>
      </c>
      <c r="X307" s="183">
        <v>3.2465081162702907E-2</v>
      </c>
      <c r="Y307" s="184" t="s">
        <v>1257</v>
      </c>
      <c r="Z307" s="185">
        <v>37707</v>
      </c>
      <c r="AA307" s="186" t="s">
        <v>1268</v>
      </c>
      <c r="AB307" s="187" t="s">
        <v>1260</v>
      </c>
      <c r="AC307" s="188">
        <v>1.0331785798216784</v>
      </c>
      <c r="AD307" s="186" t="s">
        <v>826</v>
      </c>
      <c r="AE307" s="187" t="s">
        <v>827</v>
      </c>
    </row>
    <row r="308" spans="1:31" x14ac:dyDescent="0.2">
      <c r="A308" s="189" t="s">
        <v>831</v>
      </c>
      <c r="B308" s="190" t="s">
        <v>830</v>
      </c>
      <c r="C308" s="196" t="s">
        <v>200</v>
      </c>
      <c r="D308" s="192">
        <v>6267</v>
      </c>
      <c r="E30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20041</v>
      </c>
      <c r="F308" s="194">
        <f>IF(Entity_Unit_Costs[[#This Row],[Closing social housing units managed]]&gt;0,Entity_Unit_Costs[[#This Row],[Headline Social Housing Cost]]/Entity_Unit_Costs[[#This Row],[Closing social housing units managed]],"")</f>
        <v>3.1978618158608585</v>
      </c>
      <c r="G308" s="194">
        <f>IF(Entity_Unit_Costs[[#This Row],[Closing social housing units managed]]&gt;0,Entity_Unit_Costs[[#This Row],[Management]]/Entity_Unit_Costs[[#This Row],[Closing social housing units managed]],"")</f>
        <v>0.77213977979894688</v>
      </c>
      <c r="H308" s="193">
        <v>4839</v>
      </c>
      <c r="I308" s="194">
        <f>IF(Entity_Unit_Costs[[#This Row],[Closing social housing units managed]]&gt;0,Entity_Unit_Costs[[#This Row],[Service charge costs]]/Entity_Unit_Costs[[#This Row],[Closing social housing units managed]],"")</f>
        <v>0.26200734003510451</v>
      </c>
      <c r="J308" s="193">
        <v>1642</v>
      </c>
      <c r="K308" s="194">
        <f>IF(Entity_Unit_Costs[[#This Row],[Closing social housing units managed]]&gt;0,(Entity_Unit_Costs[[#This Row],[Routine maintenance]]+Entity_Unit_Costs[[#This Row],[Planned maintenance]])/Entity_Unit_Costs[[#This Row],[Closing social housing units managed]],"")</f>
        <v>1.3306207116642732</v>
      </c>
      <c r="L308" s="193">
        <v>4655</v>
      </c>
      <c r="M308" s="193">
        <v>3684</v>
      </c>
      <c r="N308" s="194">
        <f>IF(Entity_Unit_Costs[[#This Row],[Closing social housing units managed]]&gt;0,(Entity_Unit_Costs[[#This Row],[Major repairs expenditure]]+Entity_Unit_Costs[[#This Row],[Capitalised major repairs expenditure for period]])/Entity_Unit_Costs[[#This Row],[Closing social housing units managed]],"")</f>
        <v>0.61177596936333178</v>
      </c>
      <c r="O308" s="193">
        <v>1911</v>
      </c>
      <c r="P308" s="193">
        <v>1923</v>
      </c>
      <c r="Q30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0.22131801499920217</v>
      </c>
      <c r="R308" s="193">
        <v>0</v>
      </c>
      <c r="S308" s="193">
        <v>0</v>
      </c>
      <c r="T308" s="193">
        <v>0</v>
      </c>
      <c r="U308" s="193">
        <v>0</v>
      </c>
      <c r="V308" s="195">
        <v>1387</v>
      </c>
      <c r="W308" s="183">
        <v>1.4667535853976532E-3</v>
      </c>
      <c r="X308" s="183">
        <v>3.4061277705345505E-2</v>
      </c>
      <c r="Y308" s="184" t="s">
        <v>1257</v>
      </c>
      <c r="Z308" s="185">
        <v>37438</v>
      </c>
      <c r="AA308" s="186" t="s">
        <v>1268</v>
      </c>
      <c r="AB308" s="187" t="s">
        <v>1262</v>
      </c>
      <c r="AC308" s="188">
        <v>0.9156653862445665</v>
      </c>
      <c r="AD308" s="186" t="s">
        <v>831</v>
      </c>
      <c r="AE308" s="187" t="s">
        <v>830</v>
      </c>
    </row>
    <row r="309" spans="1:31" x14ac:dyDescent="0.2">
      <c r="A309" s="189" t="s">
        <v>832</v>
      </c>
      <c r="B309" s="190" t="s">
        <v>833</v>
      </c>
      <c r="C309" s="196" t="s">
        <v>200</v>
      </c>
      <c r="D309" s="192">
        <v>4676</v>
      </c>
      <c r="E30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12653</v>
      </c>
      <c r="F309" s="194">
        <f>IF(Entity_Unit_Costs[[#This Row],[Closing social housing units managed]]&gt;0,Entity_Unit_Costs[[#This Row],[Headline Social Housing Cost]]/Entity_Unit_Costs[[#This Row],[Closing social housing units managed]],"")</f>
        <v>2.7059452523524379</v>
      </c>
      <c r="G309" s="194">
        <f>IF(Entity_Unit_Costs[[#This Row],[Closing social housing units managed]]&gt;0,Entity_Unit_Costs[[#This Row],[Management]]/Entity_Unit_Costs[[#This Row],[Closing social housing units managed]],"")</f>
        <v>0.81608212147134307</v>
      </c>
      <c r="H309" s="193">
        <v>3816</v>
      </c>
      <c r="I309" s="194">
        <f>IF(Entity_Unit_Costs[[#This Row],[Closing social housing units managed]]&gt;0,Entity_Unit_Costs[[#This Row],[Service charge costs]]/Entity_Unit_Costs[[#This Row],[Closing social housing units managed]],"")</f>
        <v>0.13344739093242086</v>
      </c>
      <c r="J309" s="193">
        <v>624</v>
      </c>
      <c r="K309" s="194">
        <f>IF(Entity_Unit_Costs[[#This Row],[Closing social housing units managed]]&gt;0,(Entity_Unit_Costs[[#This Row],[Routine maintenance]]+Entity_Unit_Costs[[#This Row],[Planned maintenance]])/Entity_Unit_Costs[[#This Row],[Closing social housing units managed]],"")</f>
        <v>1.0900342172797262</v>
      </c>
      <c r="L309" s="193">
        <v>4772</v>
      </c>
      <c r="M309" s="193">
        <v>325</v>
      </c>
      <c r="N309" s="194">
        <f>IF(Entity_Unit_Costs[[#This Row],[Closing social housing units managed]]&gt;0,(Entity_Unit_Costs[[#This Row],[Major repairs expenditure]]+Entity_Unit_Costs[[#This Row],[Capitalised major repairs expenditure for period]])/Entity_Unit_Costs[[#This Row],[Closing social housing units managed]],"")</f>
        <v>0.48139435414884518</v>
      </c>
      <c r="O309" s="193">
        <v>323</v>
      </c>
      <c r="P309" s="193">
        <v>1928</v>
      </c>
      <c r="Q30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0.18498716852010266</v>
      </c>
      <c r="R309" s="193">
        <v>537</v>
      </c>
      <c r="S309" s="193">
        <v>328</v>
      </c>
      <c r="T309" s="193">
        <v>0</v>
      </c>
      <c r="U309" s="193">
        <v>0</v>
      </c>
      <c r="V309" s="195">
        <v>0</v>
      </c>
      <c r="W309" s="183">
        <v>5.6030795551753637E-2</v>
      </c>
      <c r="X309" s="183">
        <v>0</v>
      </c>
      <c r="Y309" s="184" t="s">
        <v>1257</v>
      </c>
      <c r="Z309" s="185">
        <v>39426</v>
      </c>
      <c r="AA309" s="186" t="s">
        <v>1280</v>
      </c>
      <c r="AB309" s="187" t="s">
        <v>1261</v>
      </c>
      <c r="AC309" s="188">
        <v>0.92038375847935383</v>
      </c>
      <c r="AD309" s="186" t="s">
        <v>832</v>
      </c>
      <c r="AE309" s="187" t="s">
        <v>833</v>
      </c>
    </row>
    <row r="310" spans="1:31" x14ac:dyDescent="0.2">
      <c r="A310" s="189" t="s">
        <v>189</v>
      </c>
      <c r="B310" s="190" t="s">
        <v>187</v>
      </c>
      <c r="C310" s="191" t="s">
        <v>201</v>
      </c>
      <c r="D310" s="192">
        <v>6970</v>
      </c>
      <c r="E31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23927</v>
      </c>
      <c r="F310" s="194">
        <f>IF(Entity_Unit_Costs[[#This Row],[Closing social housing units managed]]&gt;0,Entity_Unit_Costs[[#This Row],[Headline Social Housing Cost]]/Entity_Unit_Costs[[#This Row],[Closing social housing units managed]],"")</f>
        <v>3.4328550932568147</v>
      </c>
      <c r="G310" s="194">
        <f>IF(Entity_Unit_Costs[[#This Row],[Closing social housing units managed]]&gt;0,Entity_Unit_Costs[[#This Row],[Management]]/Entity_Unit_Costs[[#This Row],[Closing social housing units managed]],"")</f>
        <v>0.54476327116212342</v>
      </c>
      <c r="H310" s="193">
        <v>3797</v>
      </c>
      <c r="I310" s="194">
        <f>IF(Entity_Unit_Costs[[#This Row],[Closing social housing units managed]]&gt;0,Entity_Unit_Costs[[#This Row],[Service charge costs]]/Entity_Unit_Costs[[#This Row],[Closing social housing units managed]],"")</f>
        <v>0.6329985652797705</v>
      </c>
      <c r="J310" s="193">
        <v>4412</v>
      </c>
      <c r="K310" s="194">
        <f>IF(Entity_Unit_Costs[[#This Row],[Closing social housing units managed]]&gt;0,(Entity_Unit_Costs[[#This Row],[Routine maintenance]]+Entity_Unit_Costs[[#This Row],[Planned maintenance]])/Entity_Unit_Costs[[#This Row],[Closing social housing units managed]],"")</f>
        <v>1.5510760401721664</v>
      </c>
      <c r="L310" s="193">
        <v>5214</v>
      </c>
      <c r="M310" s="193">
        <v>5597</v>
      </c>
      <c r="N310" s="194">
        <f>IF(Entity_Unit_Costs[[#This Row],[Closing social housing units managed]]&gt;0,(Entity_Unit_Costs[[#This Row],[Major repairs expenditure]]+Entity_Unit_Costs[[#This Row],[Capitalised major repairs expenditure for period]])/Entity_Unit_Costs[[#This Row],[Closing social housing units managed]],"")</f>
        <v>0.39383070301291251</v>
      </c>
      <c r="O310" s="193">
        <v>23</v>
      </c>
      <c r="P310" s="193">
        <v>2722</v>
      </c>
      <c r="Q31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0.31018651362984218</v>
      </c>
      <c r="R310" s="193">
        <v>44</v>
      </c>
      <c r="S310" s="193">
        <v>1068</v>
      </c>
      <c r="T310" s="193">
        <v>65</v>
      </c>
      <c r="U310" s="193">
        <v>189</v>
      </c>
      <c r="V310" s="195">
        <v>796</v>
      </c>
      <c r="W310" s="183">
        <v>9.5837505364039476E-3</v>
      </c>
      <c r="X310" s="183">
        <v>0.15334000858246316</v>
      </c>
      <c r="Y310" s="184" t="s">
        <v>1257</v>
      </c>
      <c r="Z310" s="185">
        <v>32596</v>
      </c>
      <c r="AA310" s="186" t="s">
        <v>1268</v>
      </c>
      <c r="AB310" s="187" t="s">
        <v>1259</v>
      </c>
      <c r="AC310" s="188">
        <v>1.0118524159776632</v>
      </c>
      <c r="AD310" s="186" t="s">
        <v>189</v>
      </c>
      <c r="AE310" s="187" t="s">
        <v>187</v>
      </c>
    </row>
    <row r="311" spans="1:31" x14ac:dyDescent="0.2">
      <c r="A311" s="197">
        <v>4746</v>
      </c>
      <c r="B311" s="190" t="s">
        <v>190</v>
      </c>
      <c r="C311" s="196" t="s">
        <v>200</v>
      </c>
      <c r="D311" s="192">
        <v>4545</v>
      </c>
      <c r="E31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17724</v>
      </c>
      <c r="F311" s="194">
        <f>IF(Entity_Unit_Costs[[#This Row],[Closing social housing units managed]]&gt;0,Entity_Unit_Costs[[#This Row],[Headline Social Housing Cost]]/Entity_Unit_Costs[[#This Row],[Closing social housing units managed]],"")</f>
        <v>3.8996699669966999</v>
      </c>
      <c r="G311" s="194">
        <f>IF(Entity_Unit_Costs[[#This Row],[Closing social housing units managed]]&gt;0,Entity_Unit_Costs[[#This Row],[Management]]/Entity_Unit_Costs[[#This Row],[Closing social housing units managed]],"")</f>
        <v>0.82838283828382842</v>
      </c>
      <c r="H311" s="193">
        <v>3765</v>
      </c>
      <c r="I311" s="194">
        <f>IF(Entity_Unit_Costs[[#This Row],[Closing social housing units managed]]&gt;0,Entity_Unit_Costs[[#This Row],[Service charge costs]]/Entity_Unit_Costs[[#This Row],[Closing social housing units managed]],"")</f>
        <v>0.89350935093509354</v>
      </c>
      <c r="J311" s="193">
        <v>4061</v>
      </c>
      <c r="K311" s="194">
        <f>IF(Entity_Unit_Costs[[#This Row],[Closing social housing units managed]]&gt;0,(Entity_Unit_Costs[[#This Row],[Routine maintenance]]+Entity_Unit_Costs[[#This Row],[Planned maintenance]])/Entity_Unit_Costs[[#This Row],[Closing social housing units managed]],"")</f>
        <v>1.3821782178217821</v>
      </c>
      <c r="L311" s="193">
        <v>5433</v>
      </c>
      <c r="M311" s="193">
        <v>849</v>
      </c>
      <c r="N311" s="194">
        <f>IF(Entity_Unit_Costs[[#This Row],[Closing social housing units managed]]&gt;0,(Entity_Unit_Costs[[#This Row],[Major repairs expenditure]]+Entity_Unit_Costs[[#This Row],[Capitalised major repairs expenditure for period]])/Entity_Unit_Costs[[#This Row],[Closing social housing units managed]],"")</f>
        <v>0.47810781078107811</v>
      </c>
      <c r="O311" s="193">
        <v>560</v>
      </c>
      <c r="P311" s="193">
        <v>1613</v>
      </c>
      <c r="Q31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0.31749174917491751</v>
      </c>
      <c r="R311" s="193">
        <v>181</v>
      </c>
      <c r="S311" s="193">
        <v>700</v>
      </c>
      <c r="T311" s="193">
        <v>39</v>
      </c>
      <c r="U311" s="193">
        <v>523</v>
      </c>
      <c r="V311" s="195">
        <v>0</v>
      </c>
      <c r="W311" s="183">
        <v>5.1018844798529188E-2</v>
      </c>
      <c r="X311" s="183">
        <v>2.8803431898268731E-2</v>
      </c>
      <c r="Y311" s="184" t="s">
        <v>1256</v>
      </c>
      <c r="Z311" s="185"/>
      <c r="AA311" s="186" t="s">
        <v>1279</v>
      </c>
      <c r="AB311" s="187" t="s">
        <v>1260</v>
      </c>
      <c r="AC311" s="188">
        <v>0.91592848876313493</v>
      </c>
      <c r="AD311" s="186" t="s">
        <v>1254</v>
      </c>
      <c r="AE311" s="187" t="s">
        <v>194</v>
      </c>
    </row>
    <row r="312" spans="1:31" x14ac:dyDescent="0.2">
      <c r="A312" s="189" t="s">
        <v>834</v>
      </c>
      <c r="B312" s="190" t="s">
        <v>835</v>
      </c>
      <c r="C312" s="191" t="s">
        <v>200</v>
      </c>
      <c r="D312" s="192">
        <v>7552</v>
      </c>
      <c r="E312"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26581</v>
      </c>
      <c r="F312" s="194">
        <f>IF(Entity_Unit_Costs[[#This Row],[Closing social housing units managed]]&gt;0,Entity_Unit_Costs[[#This Row],[Headline Social Housing Cost]]/Entity_Unit_Costs[[#This Row],[Closing social housing units managed]],"")</f>
        <v>3.519729872881356</v>
      </c>
      <c r="G312" s="194">
        <f>IF(Entity_Unit_Costs[[#This Row],[Closing social housing units managed]]&gt;0,Entity_Unit_Costs[[#This Row],[Management]]/Entity_Unit_Costs[[#This Row],[Closing social housing units managed]],"")</f>
        <v>1.048728813559322</v>
      </c>
      <c r="H312" s="193">
        <v>7920</v>
      </c>
      <c r="I312" s="194">
        <f>IF(Entity_Unit_Costs[[#This Row],[Closing social housing units managed]]&gt;0,Entity_Unit_Costs[[#This Row],[Service charge costs]]/Entity_Unit_Costs[[#This Row],[Closing social housing units managed]],"")</f>
        <v>0.20034427966101695</v>
      </c>
      <c r="J312" s="193">
        <v>1513</v>
      </c>
      <c r="K312" s="194">
        <f>IF(Entity_Unit_Costs[[#This Row],[Closing social housing units managed]]&gt;0,(Entity_Unit_Costs[[#This Row],[Routine maintenance]]+Entity_Unit_Costs[[#This Row],[Planned maintenance]])/Entity_Unit_Costs[[#This Row],[Closing social housing units managed]],"")</f>
        <v>1.1765095338983051</v>
      </c>
      <c r="L312" s="193">
        <v>5859</v>
      </c>
      <c r="M312" s="193">
        <v>3026</v>
      </c>
      <c r="N312" s="194">
        <f>IF(Entity_Unit_Costs[[#This Row],[Closing social housing units managed]]&gt;0,(Entity_Unit_Costs[[#This Row],[Major repairs expenditure]]+Entity_Unit_Costs[[#This Row],[Capitalised major repairs expenditure for period]])/Entity_Unit_Costs[[#This Row],[Closing social housing units managed]],"")</f>
        <v>0.64684851694915257</v>
      </c>
      <c r="O312" s="193">
        <v>0</v>
      </c>
      <c r="P312" s="193">
        <v>4885</v>
      </c>
      <c r="Q312"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0.44729872881355931</v>
      </c>
      <c r="R312" s="193">
        <v>0</v>
      </c>
      <c r="S312" s="193">
        <v>2066</v>
      </c>
      <c r="T312" s="193">
        <v>1312</v>
      </c>
      <c r="U312" s="193">
        <v>0</v>
      </c>
      <c r="V312" s="195">
        <v>0</v>
      </c>
      <c r="W312" s="183">
        <v>3.5392275602206973E-2</v>
      </c>
      <c r="X312" s="183">
        <v>3.741084645404387E-2</v>
      </c>
      <c r="Y312" s="184" t="s">
        <v>1257</v>
      </c>
      <c r="Z312" s="185">
        <v>35044</v>
      </c>
      <c r="AA312" s="186" t="s">
        <v>1268</v>
      </c>
      <c r="AB312" s="187" t="s">
        <v>1265</v>
      </c>
      <c r="AC312" s="188">
        <v>0.96653366985594513</v>
      </c>
      <c r="AD312" s="186">
        <v>4833</v>
      </c>
      <c r="AE312" s="187" t="s">
        <v>406</v>
      </c>
    </row>
    <row r="313" spans="1:31" x14ac:dyDescent="0.2">
      <c r="A313" s="197">
        <v>4826</v>
      </c>
      <c r="B313" s="190" t="s">
        <v>837</v>
      </c>
      <c r="C313" s="196" t="s">
        <v>200</v>
      </c>
      <c r="D313" s="192">
        <v>7260</v>
      </c>
      <c r="E313"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25247</v>
      </c>
      <c r="F313" s="194">
        <f>IF(Entity_Unit_Costs[[#This Row],[Closing social housing units managed]]&gt;0,Entity_Unit_Costs[[#This Row],[Headline Social Housing Cost]]/Entity_Unit_Costs[[#This Row],[Closing social housing units managed]],"")</f>
        <v>3.477548209366391</v>
      </c>
      <c r="G313" s="194">
        <f>IF(Entity_Unit_Costs[[#This Row],[Closing social housing units managed]]&gt;0,Entity_Unit_Costs[[#This Row],[Management]]/Entity_Unit_Costs[[#This Row],[Closing social housing units managed]],"")</f>
        <v>0.60316804407713498</v>
      </c>
      <c r="H313" s="193">
        <v>4379</v>
      </c>
      <c r="I313" s="194">
        <f>IF(Entity_Unit_Costs[[#This Row],[Closing social housing units managed]]&gt;0,Entity_Unit_Costs[[#This Row],[Service charge costs]]/Entity_Unit_Costs[[#This Row],[Closing social housing units managed]],"")</f>
        <v>0.49325068870523414</v>
      </c>
      <c r="J313" s="193">
        <v>3581</v>
      </c>
      <c r="K313" s="194">
        <f>IF(Entity_Unit_Costs[[#This Row],[Closing social housing units managed]]&gt;0,(Entity_Unit_Costs[[#This Row],[Routine maintenance]]+Entity_Unit_Costs[[#This Row],[Planned maintenance]])/Entity_Unit_Costs[[#This Row],[Closing social housing units managed]],"")</f>
        <v>0.88677685950413221</v>
      </c>
      <c r="L313" s="193">
        <v>5074</v>
      </c>
      <c r="M313" s="193">
        <v>1364</v>
      </c>
      <c r="N313" s="194">
        <f>IF(Entity_Unit_Costs[[#This Row],[Closing social housing units managed]]&gt;0,(Entity_Unit_Costs[[#This Row],[Major repairs expenditure]]+Entity_Unit_Costs[[#This Row],[Capitalised major repairs expenditure for period]])/Entity_Unit_Costs[[#This Row],[Closing social housing units managed]],"")</f>
        <v>1.2538567493112949</v>
      </c>
      <c r="O313" s="193">
        <v>1612</v>
      </c>
      <c r="P313" s="193">
        <v>7491</v>
      </c>
      <c r="Q313"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0.24049586776859505</v>
      </c>
      <c r="R313" s="193">
        <v>1327</v>
      </c>
      <c r="S313" s="193">
        <v>293</v>
      </c>
      <c r="T313" s="193">
        <v>126</v>
      </c>
      <c r="U313" s="193">
        <v>0</v>
      </c>
      <c r="V313" s="195">
        <v>0</v>
      </c>
      <c r="W313" s="183">
        <v>6.4584212747994932E-2</v>
      </c>
      <c r="X313" s="183">
        <v>0.10975094976783453</v>
      </c>
      <c r="Y313" s="184" t="s">
        <v>1256</v>
      </c>
      <c r="Z313" s="185"/>
      <c r="AA313" s="186" t="s">
        <v>1279</v>
      </c>
      <c r="AB313" s="187" t="s">
        <v>1265</v>
      </c>
      <c r="AC313" s="188">
        <v>0.96617455710897804</v>
      </c>
      <c r="AD313" s="186">
        <v>4826</v>
      </c>
      <c r="AE313" s="187" t="s">
        <v>837</v>
      </c>
    </row>
    <row r="314" spans="1:31" x14ac:dyDescent="0.2">
      <c r="A314" s="189" t="s">
        <v>193</v>
      </c>
      <c r="B314" s="190" t="s">
        <v>192</v>
      </c>
      <c r="C314" s="191" t="s">
        <v>200</v>
      </c>
      <c r="D314" s="192">
        <v>18085</v>
      </c>
      <c r="E314"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68448</v>
      </c>
      <c r="F314" s="194">
        <f>IF(Entity_Unit_Costs[[#This Row],[Closing social housing units managed]]&gt;0,Entity_Unit_Costs[[#This Row],[Headline Social Housing Cost]]/Entity_Unit_Costs[[#This Row],[Closing social housing units managed]],"")</f>
        <v>3.784794028200166</v>
      </c>
      <c r="G314" s="194">
        <f>IF(Entity_Unit_Costs[[#This Row],[Closing social housing units managed]]&gt;0,Entity_Unit_Costs[[#This Row],[Management]]/Entity_Unit_Costs[[#This Row],[Closing social housing units managed]],"")</f>
        <v>0.51683715786563456</v>
      </c>
      <c r="H314" s="193">
        <v>9347</v>
      </c>
      <c r="I314" s="194">
        <f>IF(Entity_Unit_Costs[[#This Row],[Closing social housing units managed]]&gt;0,Entity_Unit_Costs[[#This Row],[Service charge costs]]/Entity_Unit_Costs[[#This Row],[Closing social housing units managed]],"")</f>
        <v>0.41957423278960465</v>
      </c>
      <c r="J314" s="193">
        <v>7588</v>
      </c>
      <c r="K314" s="194">
        <f>IF(Entity_Unit_Costs[[#This Row],[Closing social housing units managed]]&gt;0,(Entity_Unit_Costs[[#This Row],[Routine maintenance]]+Entity_Unit_Costs[[#This Row],[Planned maintenance]])/Entity_Unit_Costs[[#This Row],[Closing social housing units managed]],"")</f>
        <v>1.1875587503455902</v>
      </c>
      <c r="L314" s="193">
        <v>17098</v>
      </c>
      <c r="M314" s="193">
        <v>4379</v>
      </c>
      <c r="N314" s="194">
        <f>IF(Entity_Unit_Costs[[#This Row],[Closing social housing units managed]]&gt;0,(Entity_Unit_Costs[[#This Row],[Major repairs expenditure]]+Entity_Unit_Costs[[#This Row],[Capitalised major repairs expenditure for period]])/Entity_Unit_Costs[[#This Row],[Closing social housing units managed]],"")</f>
        <v>1.5283936964335085</v>
      </c>
      <c r="O314" s="193">
        <v>6467</v>
      </c>
      <c r="P314" s="193">
        <v>21174</v>
      </c>
      <c r="Q314"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0.13243019076582804</v>
      </c>
      <c r="R314" s="193">
        <v>1969</v>
      </c>
      <c r="S314" s="193">
        <v>72</v>
      </c>
      <c r="T314" s="193">
        <v>354</v>
      </c>
      <c r="U314" s="193">
        <v>0</v>
      </c>
      <c r="V314" s="195">
        <v>0</v>
      </c>
      <c r="W314" s="183">
        <v>5.2897750392373426E-3</v>
      </c>
      <c r="X314" s="183">
        <v>3.7784107423123874E-2</v>
      </c>
      <c r="Y314" s="184" t="s">
        <v>1257</v>
      </c>
      <c r="Z314" s="185">
        <v>36791</v>
      </c>
      <c r="AA314" s="186" t="s">
        <v>1268</v>
      </c>
      <c r="AB314" s="187" t="s">
        <v>1260</v>
      </c>
      <c r="AC314" s="188">
        <v>0.91571558169387279</v>
      </c>
      <c r="AD314" s="186" t="s">
        <v>1254</v>
      </c>
      <c r="AE314" s="187" t="s">
        <v>194</v>
      </c>
    </row>
    <row r="315" spans="1:31" x14ac:dyDescent="0.2">
      <c r="A315" s="189" t="s">
        <v>839</v>
      </c>
      <c r="B315" s="190" t="s">
        <v>840</v>
      </c>
      <c r="C315" s="196" t="s">
        <v>200</v>
      </c>
      <c r="D315" s="192">
        <v>7898</v>
      </c>
      <c r="E315"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27857</v>
      </c>
      <c r="F315" s="194">
        <f>IF(Entity_Unit_Costs[[#This Row],[Closing social housing units managed]]&gt;0,Entity_Unit_Costs[[#This Row],[Headline Social Housing Cost]]/Entity_Unit_Costs[[#This Row],[Closing social housing units managed]],"")</f>
        <v>3.5270954672068879</v>
      </c>
      <c r="G315" s="194">
        <f>IF(Entity_Unit_Costs[[#This Row],[Closing social housing units managed]]&gt;0,Entity_Unit_Costs[[#This Row],[Management]]/Entity_Unit_Costs[[#This Row],[Closing social housing units managed]],"")</f>
        <v>0.69359331476323116</v>
      </c>
      <c r="H315" s="193">
        <v>5478</v>
      </c>
      <c r="I315" s="194">
        <f>IF(Entity_Unit_Costs[[#This Row],[Closing social housing units managed]]&gt;0,Entity_Unit_Costs[[#This Row],[Service charge costs]]/Entity_Unit_Costs[[#This Row],[Closing social housing units managed]],"")</f>
        <v>0.45251962522157507</v>
      </c>
      <c r="J315" s="193">
        <v>3574</v>
      </c>
      <c r="K315" s="194">
        <f>IF(Entity_Unit_Costs[[#This Row],[Closing social housing units managed]]&gt;0,(Entity_Unit_Costs[[#This Row],[Routine maintenance]]+Entity_Unit_Costs[[#This Row],[Planned maintenance]])/Entity_Unit_Costs[[#This Row],[Closing social housing units managed]],"")</f>
        <v>0.77019498607242343</v>
      </c>
      <c r="L315" s="193">
        <v>4340</v>
      </c>
      <c r="M315" s="193">
        <v>1743</v>
      </c>
      <c r="N315" s="194">
        <f>IF(Entity_Unit_Costs[[#This Row],[Closing social housing units managed]]&gt;0,(Entity_Unit_Costs[[#This Row],[Major repairs expenditure]]+Entity_Unit_Costs[[#This Row],[Capitalised major repairs expenditure for period]])/Entity_Unit_Costs[[#This Row],[Closing social housing units managed]],"")</f>
        <v>1.2314510002532286</v>
      </c>
      <c r="O315" s="193">
        <v>2307</v>
      </c>
      <c r="P315" s="193">
        <v>7419</v>
      </c>
      <c r="Q315"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0.37933654089642949</v>
      </c>
      <c r="R315" s="193">
        <v>2996</v>
      </c>
      <c r="S315" s="193">
        <v>0</v>
      </c>
      <c r="T315" s="193">
        <v>0</v>
      </c>
      <c r="U315" s="193">
        <v>0</v>
      </c>
      <c r="V315" s="195">
        <v>0</v>
      </c>
      <c r="W315" s="183">
        <v>1.5191796429927839E-3</v>
      </c>
      <c r="X315" s="183">
        <v>8.7352829472085083E-3</v>
      </c>
      <c r="Y315" s="184" t="s">
        <v>1257</v>
      </c>
      <c r="Z315" s="185">
        <v>36248</v>
      </c>
      <c r="AA315" s="186" t="s">
        <v>1268</v>
      </c>
      <c r="AB315" s="187" t="s">
        <v>1262</v>
      </c>
      <c r="AC315" s="188">
        <v>0.91566538624456639</v>
      </c>
      <c r="AD315" s="186">
        <v>4755</v>
      </c>
      <c r="AE315" s="187" t="s">
        <v>851</v>
      </c>
    </row>
    <row r="316" spans="1:31" x14ac:dyDescent="0.2">
      <c r="A316" s="189" t="s">
        <v>841</v>
      </c>
      <c r="B316" s="190" t="s">
        <v>842</v>
      </c>
      <c r="C316" s="196" t="s">
        <v>200</v>
      </c>
      <c r="D316" s="192">
        <v>4935</v>
      </c>
      <c r="E316"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13119</v>
      </c>
      <c r="F316" s="194">
        <f>IF(Entity_Unit_Costs[[#This Row],[Closing social housing units managed]]&gt;0,Entity_Unit_Costs[[#This Row],[Headline Social Housing Cost]]/Entity_Unit_Costs[[#This Row],[Closing social housing units managed]],"")</f>
        <v>2.6583586626139817</v>
      </c>
      <c r="G316" s="194">
        <f>IF(Entity_Unit_Costs[[#This Row],[Closing social housing units managed]]&gt;0,Entity_Unit_Costs[[#This Row],[Management]]/Entity_Unit_Costs[[#This Row],[Closing social housing units managed]],"")</f>
        <v>0.78500506585612972</v>
      </c>
      <c r="H316" s="193">
        <v>3874</v>
      </c>
      <c r="I316" s="194">
        <f>IF(Entity_Unit_Costs[[#This Row],[Closing social housing units managed]]&gt;0,Entity_Unit_Costs[[#This Row],[Service charge costs]]/Entity_Unit_Costs[[#This Row],[Closing social housing units managed]],"")</f>
        <v>0.40040526849037489</v>
      </c>
      <c r="J316" s="193">
        <v>1976</v>
      </c>
      <c r="K316" s="194">
        <f>IF(Entity_Unit_Costs[[#This Row],[Closing social housing units managed]]&gt;0,(Entity_Unit_Costs[[#This Row],[Routine maintenance]]+Entity_Unit_Costs[[#This Row],[Planned maintenance]])/Entity_Unit_Costs[[#This Row],[Closing social housing units managed]],"")</f>
        <v>0.78237082066869301</v>
      </c>
      <c r="L316" s="193">
        <v>2927</v>
      </c>
      <c r="M316" s="193">
        <v>934</v>
      </c>
      <c r="N316" s="194">
        <f>IF(Entity_Unit_Costs[[#This Row],[Closing social housing units managed]]&gt;0,(Entity_Unit_Costs[[#This Row],[Major repairs expenditure]]+Entity_Unit_Costs[[#This Row],[Capitalised major repairs expenditure for period]])/Entity_Unit_Costs[[#This Row],[Closing social housing units managed]],"")</f>
        <v>0.47112462006079026</v>
      </c>
      <c r="O316" s="193">
        <v>2325</v>
      </c>
      <c r="P316" s="193">
        <v>0</v>
      </c>
      <c r="Q316"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0.21945288753799391</v>
      </c>
      <c r="R316" s="193">
        <v>63</v>
      </c>
      <c r="S316" s="193">
        <v>0</v>
      </c>
      <c r="T316" s="193">
        <v>35</v>
      </c>
      <c r="U316" s="193">
        <v>985</v>
      </c>
      <c r="V316" s="195">
        <v>0</v>
      </c>
      <c r="W316" s="183">
        <v>3.1862104988247583E-2</v>
      </c>
      <c r="X316" s="183">
        <v>0.12718725515800469</v>
      </c>
      <c r="Y316" s="184" t="s">
        <v>1257</v>
      </c>
      <c r="Z316" s="185">
        <v>34821</v>
      </c>
      <c r="AA316" s="186" t="s">
        <v>1268</v>
      </c>
      <c r="AB316" s="187" t="s">
        <v>1259</v>
      </c>
      <c r="AC316" s="188">
        <v>1.0118524159776632</v>
      </c>
      <c r="AD316" s="186" t="s">
        <v>1246</v>
      </c>
      <c r="AE316" s="187" t="s">
        <v>623</v>
      </c>
    </row>
    <row r="317" spans="1:31" x14ac:dyDescent="0.2">
      <c r="A317" s="189" t="s">
        <v>845</v>
      </c>
      <c r="B317" s="190" t="s">
        <v>844</v>
      </c>
      <c r="C317" s="196" t="s">
        <v>200</v>
      </c>
      <c r="D317" s="192">
        <v>12894</v>
      </c>
      <c r="E317"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37345</v>
      </c>
      <c r="F317" s="194">
        <f>IF(Entity_Unit_Costs[[#This Row],[Closing social housing units managed]]&gt;0,Entity_Unit_Costs[[#This Row],[Headline Social Housing Cost]]/Entity_Unit_Costs[[#This Row],[Closing social housing units managed]],"")</f>
        <v>2.8963083604777418</v>
      </c>
      <c r="G317" s="194">
        <f>IF(Entity_Unit_Costs[[#This Row],[Closing social housing units managed]]&gt;0,Entity_Unit_Costs[[#This Row],[Management]]/Entity_Unit_Costs[[#This Row],[Closing social housing units managed]],"")</f>
        <v>0.75104699860400181</v>
      </c>
      <c r="H317" s="193">
        <v>9684</v>
      </c>
      <c r="I317" s="194">
        <f>IF(Entity_Unit_Costs[[#This Row],[Closing social housing units managed]]&gt;0,Entity_Unit_Costs[[#This Row],[Service charge costs]]/Entity_Unit_Costs[[#This Row],[Closing social housing units managed]],"")</f>
        <v>0.55917480998914226</v>
      </c>
      <c r="J317" s="193">
        <v>7210</v>
      </c>
      <c r="K317" s="194">
        <f>IF(Entity_Unit_Costs[[#This Row],[Closing social housing units managed]]&gt;0,(Entity_Unit_Costs[[#This Row],[Routine maintenance]]+Entity_Unit_Costs[[#This Row],[Planned maintenance]])/Entity_Unit_Costs[[#This Row],[Closing social housing units managed]],"")</f>
        <v>0.98247246781448738</v>
      </c>
      <c r="L317" s="193">
        <v>8870</v>
      </c>
      <c r="M317" s="193">
        <v>3798</v>
      </c>
      <c r="N317" s="194">
        <f>IF(Entity_Unit_Costs[[#This Row],[Closing social housing units managed]]&gt;0,(Entity_Unit_Costs[[#This Row],[Major repairs expenditure]]+Entity_Unit_Costs[[#This Row],[Capitalised major repairs expenditure for period]])/Entity_Unit_Costs[[#This Row],[Closing social housing units managed]],"")</f>
        <v>0.57646967581821007</v>
      </c>
      <c r="O317" s="193">
        <v>5519</v>
      </c>
      <c r="P317" s="193">
        <v>1914</v>
      </c>
      <c r="Q317"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2.714440825190011E-2</v>
      </c>
      <c r="R317" s="193">
        <v>155</v>
      </c>
      <c r="S317" s="193">
        <v>0</v>
      </c>
      <c r="T317" s="193">
        <v>0</v>
      </c>
      <c r="U317" s="193">
        <v>195</v>
      </c>
      <c r="V317" s="195">
        <v>0</v>
      </c>
      <c r="W317" s="183">
        <v>1.3651328997028827E-3</v>
      </c>
      <c r="X317" s="183">
        <v>0.13153456998313659</v>
      </c>
      <c r="Y317" s="184" t="s">
        <v>1257</v>
      </c>
      <c r="Z317" s="185">
        <v>38390</v>
      </c>
      <c r="AA317" s="186" t="s">
        <v>1268</v>
      </c>
      <c r="AB317" s="187" t="s">
        <v>1262</v>
      </c>
      <c r="AC317" s="188">
        <v>0.9156653862445665</v>
      </c>
      <c r="AD317" s="186" t="s">
        <v>845</v>
      </c>
      <c r="AE317" s="187" t="s">
        <v>844</v>
      </c>
    </row>
    <row r="318" spans="1:31" x14ac:dyDescent="0.2">
      <c r="A318" s="189" t="s">
        <v>846</v>
      </c>
      <c r="B318" s="190" t="s">
        <v>847</v>
      </c>
      <c r="C318" s="191" t="s">
        <v>200</v>
      </c>
      <c r="D318" s="192">
        <v>3642</v>
      </c>
      <c r="E318"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10004</v>
      </c>
      <c r="F318" s="194">
        <f>IF(Entity_Unit_Costs[[#This Row],[Closing social housing units managed]]&gt;0,Entity_Unit_Costs[[#This Row],[Headline Social Housing Cost]]/Entity_Unit_Costs[[#This Row],[Closing social housing units managed]],"")</f>
        <v>2.7468423942888522</v>
      </c>
      <c r="G318" s="194">
        <f>IF(Entity_Unit_Costs[[#This Row],[Closing social housing units managed]]&gt;0,Entity_Unit_Costs[[#This Row],[Management]]/Entity_Unit_Costs[[#This Row],[Closing social housing units managed]],"")</f>
        <v>0.87506864360241621</v>
      </c>
      <c r="H318" s="193">
        <v>3187</v>
      </c>
      <c r="I318" s="194">
        <f>IF(Entity_Unit_Costs[[#This Row],[Closing social housing units managed]]&gt;0,Entity_Unit_Costs[[#This Row],[Service charge costs]]/Entity_Unit_Costs[[#This Row],[Closing social housing units managed]],"")</f>
        <v>0.2498627127951675</v>
      </c>
      <c r="J318" s="193">
        <v>910</v>
      </c>
      <c r="K318" s="194">
        <f>IF(Entity_Unit_Costs[[#This Row],[Closing social housing units managed]]&gt;0,(Entity_Unit_Costs[[#This Row],[Routine maintenance]]+Entity_Unit_Costs[[#This Row],[Planned maintenance]])/Entity_Unit_Costs[[#This Row],[Closing social housing units managed]],"")</f>
        <v>0.67929708951125756</v>
      </c>
      <c r="L318" s="193">
        <v>1485</v>
      </c>
      <c r="M318" s="193">
        <v>989</v>
      </c>
      <c r="N318" s="194">
        <f>IF(Entity_Unit_Costs[[#This Row],[Closing social housing units managed]]&gt;0,(Entity_Unit_Costs[[#This Row],[Major repairs expenditure]]+Entity_Unit_Costs[[#This Row],[Capitalised major repairs expenditure for period]])/Entity_Unit_Costs[[#This Row],[Closing social housing units managed]],"")</f>
        <v>0.771004942339374</v>
      </c>
      <c r="O318" s="193">
        <v>688</v>
      </c>
      <c r="P318" s="193">
        <v>2120</v>
      </c>
      <c r="Q318"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0.171609006040637</v>
      </c>
      <c r="R318" s="193">
        <v>248</v>
      </c>
      <c r="S318" s="193">
        <v>127</v>
      </c>
      <c r="T318" s="193">
        <v>118</v>
      </c>
      <c r="U318" s="193">
        <v>132</v>
      </c>
      <c r="V318" s="195">
        <v>0</v>
      </c>
      <c r="W318" s="183">
        <v>3.5016049022468633E-3</v>
      </c>
      <c r="X318" s="183">
        <v>8.082871316019842E-2</v>
      </c>
      <c r="Y318" s="184" t="s">
        <v>1257</v>
      </c>
      <c r="Z318" s="185">
        <v>36248</v>
      </c>
      <c r="AA318" s="186" t="s">
        <v>1268</v>
      </c>
      <c r="AB318" s="187" t="s">
        <v>1259</v>
      </c>
      <c r="AC318" s="188">
        <v>1.0118524159776632</v>
      </c>
      <c r="AD318" s="186" t="s">
        <v>846</v>
      </c>
      <c r="AE318" s="187" t="s">
        <v>847</v>
      </c>
    </row>
    <row r="319" spans="1:31" x14ac:dyDescent="0.2">
      <c r="A319" s="189" t="s">
        <v>848</v>
      </c>
      <c r="B319" s="190" t="s">
        <v>849</v>
      </c>
      <c r="C319" s="191" t="s">
        <v>200</v>
      </c>
      <c r="D319" s="192">
        <v>5937</v>
      </c>
      <c r="E319"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23478</v>
      </c>
      <c r="F319" s="194">
        <f>IF(Entity_Unit_Costs[[#This Row],[Closing social housing units managed]]&gt;0,Entity_Unit_Costs[[#This Row],[Headline Social Housing Cost]]/Entity_Unit_Costs[[#This Row],[Closing social housing units managed]],"")</f>
        <v>3.9545224861040928</v>
      </c>
      <c r="G319" s="194">
        <f>IF(Entity_Unit_Costs[[#This Row],[Closing social housing units managed]]&gt;0,Entity_Unit_Costs[[#This Row],[Management]]/Entity_Unit_Costs[[#This Row],[Closing social housing units managed]],"")</f>
        <v>0.93515243388916958</v>
      </c>
      <c r="H319" s="193">
        <v>5552</v>
      </c>
      <c r="I319" s="194">
        <f>IF(Entity_Unit_Costs[[#This Row],[Closing social housing units managed]]&gt;0,Entity_Unit_Costs[[#This Row],[Service charge costs]]/Entity_Unit_Costs[[#This Row],[Closing social housing units managed]],"")</f>
        <v>0.39127505474145191</v>
      </c>
      <c r="J319" s="193">
        <v>2323</v>
      </c>
      <c r="K319" s="194">
        <f>IF(Entity_Unit_Costs[[#This Row],[Closing social housing units managed]]&gt;0,(Entity_Unit_Costs[[#This Row],[Routine maintenance]]+Entity_Unit_Costs[[#This Row],[Planned maintenance]])/Entity_Unit_Costs[[#This Row],[Closing social housing units managed]],"")</f>
        <v>0.86811520970186962</v>
      </c>
      <c r="L319" s="193">
        <v>3459</v>
      </c>
      <c r="M319" s="193">
        <v>1695</v>
      </c>
      <c r="N319" s="194">
        <f>IF(Entity_Unit_Costs[[#This Row],[Closing social housing units managed]]&gt;0,(Entity_Unit_Costs[[#This Row],[Major repairs expenditure]]+Entity_Unit_Costs[[#This Row],[Capitalised major repairs expenditure for period]])/Entity_Unit_Costs[[#This Row],[Closing social housing units managed]],"")</f>
        <v>1.0203806636348325</v>
      </c>
      <c r="O319" s="193">
        <v>685</v>
      </c>
      <c r="P319" s="193">
        <v>5373</v>
      </c>
      <c r="Q319"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0.73959912413676943</v>
      </c>
      <c r="R319" s="193">
        <v>3764</v>
      </c>
      <c r="S319" s="193">
        <v>365</v>
      </c>
      <c r="T319" s="193">
        <v>262</v>
      </c>
      <c r="U319" s="193">
        <v>0</v>
      </c>
      <c r="V319" s="195">
        <v>0</v>
      </c>
      <c r="W319" s="183">
        <v>0.3365902964959569</v>
      </c>
      <c r="X319" s="183">
        <v>0</v>
      </c>
      <c r="Y319" s="184" t="s">
        <v>1257</v>
      </c>
      <c r="Z319" s="185">
        <v>36612</v>
      </c>
      <c r="AA319" s="186" t="s">
        <v>1268</v>
      </c>
      <c r="AB319" s="187" t="s">
        <v>1260</v>
      </c>
      <c r="AC319" s="188">
        <v>0.91571558169387279</v>
      </c>
      <c r="AD319" s="186" t="s">
        <v>1248</v>
      </c>
      <c r="AE319" s="187" t="s">
        <v>746</v>
      </c>
    </row>
    <row r="320" spans="1:31" x14ac:dyDescent="0.2">
      <c r="A320" s="189" t="s">
        <v>854</v>
      </c>
      <c r="B320" s="190" t="s">
        <v>853</v>
      </c>
      <c r="C320" s="191" t="s">
        <v>200</v>
      </c>
      <c r="D320" s="192">
        <v>9939</v>
      </c>
      <c r="E320"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31836</v>
      </c>
      <c r="F320" s="194">
        <f>IF(Entity_Unit_Costs[[#This Row],[Closing social housing units managed]]&gt;0,Entity_Unit_Costs[[#This Row],[Headline Social Housing Cost]]/Entity_Unit_Costs[[#This Row],[Closing social housing units managed]],"")</f>
        <v>3.2031391488077272</v>
      </c>
      <c r="G320" s="194">
        <f>IF(Entity_Unit_Costs[[#This Row],[Closing social housing units managed]]&gt;0,Entity_Unit_Costs[[#This Row],[Management]]/Entity_Unit_Costs[[#This Row],[Closing social housing units managed]],"")</f>
        <v>0.874534661434752</v>
      </c>
      <c r="H320" s="193">
        <v>8692</v>
      </c>
      <c r="I320" s="194">
        <f>IF(Entity_Unit_Costs[[#This Row],[Closing social housing units managed]]&gt;0,Entity_Unit_Costs[[#This Row],[Service charge costs]]/Entity_Unit_Costs[[#This Row],[Closing social housing units managed]],"")</f>
        <v>0.21501157058054129</v>
      </c>
      <c r="J320" s="193">
        <v>2137</v>
      </c>
      <c r="K320" s="194">
        <f>IF(Entity_Unit_Costs[[#This Row],[Closing social housing units managed]]&gt;0,(Entity_Unit_Costs[[#This Row],[Routine maintenance]]+Entity_Unit_Costs[[#This Row],[Planned maintenance]])/Entity_Unit_Costs[[#This Row],[Closing social housing units managed]],"")</f>
        <v>0.89244390783781069</v>
      </c>
      <c r="L320" s="193">
        <v>8870</v>
      </c>
      <c r="M320" s="193">
        <v>0</v>
      </c>
      <c r="N320" s="194">
        <f>IF(Entity_Unit_Costs[[#This Row],[Closing social housing units managed]]&gt;0,(Entity_Unit_Costs[[#This Row],[Major repairs expenditure]]+Entity_Unit_Costs[[#This Row],[Capitalised major repairs expenditure for period]])/Entity_Unit_Costs[[#This Row],[Closing social housing units managed]],"")</f>
        <v>1.1481034309286648</v>
      </c>
      <c r="O320" s="193">
        <v>3214</v>
      </c>
      <c r="P320" s="193">
        <v>8197</v>
      </c>
      <c r="Q320"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7.3045578025958346E-2</v>
      </c>
      <c r="R320" s="193">
        <v>0</v>
      </c>
      <c r="S320" s="193">
        <v>726</v>
      </c>
      <c r="T320" s="193">
        <v>0</v>
      </c>
      <c r="U320" s="193">
        <v>0</v>
      </c>
      <c r="V320" s="195">
        <v>0</v>
      </c>
      <c r="W320" s="183">
        <v>0</v>
      </c>
      <c r="X320" s="183">
        <v>0.16127740514566022</v>
      </c>
      <c r="Y320" s="184" t="s">
        <v>1257</v>
      </c>
      <c r="Z320" s="185">
        <v>36220</v>
      </c>
      <c r="AA320" s="186" t="s">
        <v>1268</v>
      </c>
      <c r="AB320" s="187" t="s">
        <v>1265</v>
      </c>
      <c r="AC320" s="188">
        <v>0.96617455710897804</v>
      </c>
      <c r="AD320" s="186" t="s">
        <v>854</v>
      </c>
      <c r="AE320" s="187" t="s">
        <v>853</v>
      </c>
    </row>
    <row r="321" spans="1:31" x14ac:dyDescent="0.2">
      <c r="A321" s="189" t="s">
        <v>855</v>
      </c>
      <c r="B321" s="190" t="s">
        <v>856</v>
      </c>
      <c r="C321" s="191" t="s">
        <v>200</v>
      </c>
      <c r="D321" s="192">
        <v>4394</v>
      </c>
      <c r="E321" s="193">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16833</v>
      </c>
      <c r="F321" s="194">
        <f>IF(Entity_Unit_Costs[[#This Row],[Closing social housing units managed]]&gt;0,Entity_Unit_Costs[[#This Row],[Headline Social Housing Cost]]/Entity_Unit_Costs[[#This Row],[Closing social housing units managed]],"")</f>
        <v>3.8309057806099225</v>
      </c>
      <c r="G321" s="194">
        <f>IF(Entity_Unit_Costs[[#This Row],[Closing social housing units managed]]&gt;0,Entity_Unit_Costs[[#This Row],[Management]]/Entity_Unit_Costs[[#This Row],[Closing social housing units managed]],"")</f>
        <v>0.88074647246244875</v>
      </c>
      <c r="H321" s="193">
        <v>3870</v>
      </c>
      <c r="I321" s="194">
        <f>IF(Entity_Unit_Costs[[#This Row],[Closing social housing units managed]]&gt;0,Entity_Unit_Costs[[#This Row],[Service charge costs]]/Entity_Unit_Costs[[#This Row],[Closing social housing units managed]],"")</f>
        <v>5.8944014565316338E-2</v>
      </c>
      <c r="J321" s="193">
        <v>259</v>
      </c>
      <c r="K321" s="194">
        <f>IF(Entity_Unit_Costs[[#This Row],[Closing social housing units managed]]&gt;0,(Entity_Unit_Costs[[#This Row],[Routine maintenance]]+Entity_Unit_Costs[[#This Row],[Planned maintenance]])/Entity_Unit_Costs[[#This Row],[Closing social housing units managed]],"")</f>
        <v>0.92580791989076017</v>
      </c>
      <c r="L321" s="193">
        <v>2773</v>
      </c>
      <c r="M321" s="193">
        <v>1295</v>
      </c>
      <c r="N321" s="194">
        <f>IF(Entity_Unit_Costs[[#This Row],[Closing social housing units managed]]&gt;0,(Entity_Unit_Costs[[#This Row],[Major repairs expenditure]]+Entity_Unit_Costs[[#This Row],[Capitalised major repairs expenditure for period]])/Entity_Unit_Costs[[#This Row],[Closing social housing units managed]],"")</f>
        <v>1.5753299954483386</v>
      </c>
      <c r="O321" s="193">
        <v>3264</v>
      </c>
      <c r="P321" s="193">
        <v>3658</v>
      </c>
      <c r="Q321" s="194">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0.39007737824305871</v>
      </c>
      <c r="R321" s="193">
        <v>641</v>
      </c>
      <c r="S321" s="193">
        <v>990</v>
      </c>
      <c r="T321" s="193">
        <v>83</v>
      </c>
      <c r="U321" s="193">
        <v>0</v>
      </c>
      <c r="V321" s="195">
        <v>0</v>
      </c>
      <c r="W321" s="183">
        <v>0</v>
      </c>
      <c r="X321" s="183">
        <v>4.6426945835229862E-2</v>
      </c>
      <c r="Y321" s="184" t="s">
        <v>1257</v>
      </c>
      <c r="Z321" s="185">
        <v>37970</v>
      </c>
      <c r="AA321" s="186" t="s">
        <v>1268</v>
      </c>
      <c r="AB321" s="187" t="s">
        <v>1264</v>
      </c>
      <c r="AC321" s="188">
        <v>0.94807909763407583</v>
      </c>
      <c r="AD321" s="186" t="s">
        <v>855</v>
      </c>
      <c r="AE321" s="187" t="s">
        <v>856</v>
      </c>
    </row>
    <row r="322" spans="1:31" x14ac:dyDescent="0.2">
      <c r="A322" s="198" t="s">
        <v>859</v>
      </c>
      <c r="B322" s="199" t="s">
        <v>858</v>
      </c>
      <c r="C322" s="200" t="s">
        <v>200</v>
      </c>
      <c r="D322" s="201">
        <v>16427</v>
      </c>
      <c r="E322" s="202">
        <f>SUM(Entity_Unit_Costs[[#This Row],[Management]],Entity_Unit_Costs[[#This Row],[Service charge costs]],Entity_Unit_Costs[[#This Row],[Routine maintenance]],Entity_Unit_Costs[[#This Row],[Planned maintenance]],Entity_Unit_Costs[[#This Row],[Major repairs expenditure]],Entity_Unit_Costs[[#This Row],[Capitalised major repairs expenditure for period]],Entity_Unit_Costs[[#This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f>
        <v>57200</v>
      </c>
      <c r="F322" s="203">
        <f>IF(Entity_Unit_Costs[[#This Row],[Closing social housing units managed]]&gt;0,Entity_Unit_Costs[[#This Row],[Headline Social Housing Cost]]/Entity_Unit_Costs[[#This Row],[Closing social housing units managed]],"")</f>
        <v>3.4820721982102634</v>
      </c>
      <c r="G322" s="203">
        <f>IF(Entity_Unit_Costs[[#This Row],[Closing social housing units managed]]&gt;0,Entity_Unit_Costs[[#This Row],[Management]]/Entity_Unit_Costs[[#This Row],[Closing social housing units managed]],"")</f>
        <v>0.83247093200219147</v>
      </c>
      <c r="H322" s="202">
        <v>13675</v>
      </c>
      <c r="I322" s="203">
        <f>IF(Entity_Unit_Costs[[#This Row],[Closing social housing units managed]]&gt;0,Entity_Unit_Costs[[#This Row],[Service charge costs]]/Entity_Unit_Costs[[#This Row],[Closing social housing units managed]],"")</f>
        <v>0.40883910634930298</v>
      </c>
      <c r="J322" s="202">
        <v>6716</v>
      </c>
      <c r="K322" s="203">
        <f>IF(Entity_Unit_Costs[[#This Row],[Closing social housing units managed]]&gt;0,(Entity_Unit_Costs[[#This Row],[Routine maintenance]]+Entity_Unit_Costs[[#This Row],[Planned maintenance]])/Entity_Unit_Costs[[#This Row],[Closing social housing units managed]],"")</f>
        <v>0.99153832105679673</v>
      </c>
      <c r="L322" s="202">
        <v>11441</v>
      </c>
      <c r="M322" s="202">
        <v>4847</v>
      </c>
      <c r="N322" s="203">
        <f>IF(Entity_Unit_Costs[[#This Row],[Closing social housing units managed]]&gt;0,(Entity_Unit_Costs[[#This Row],[Major repairs expenditure]]+Entity_Unit_Costs[[#This Row],[Capitalised major repairs expenditure for period]])/Entity_Unit_Costs[[#This Row],[Closing social housing units managed]],"")</f>
        <v>1.1884702014975346</v>
      </c>
      <c r="O322" s="202">
        <v>5316</v>
      </c>
      <c r="P322" s="202">
        <v>14207</v>
      </c>
      <c r="Q322" s="203">
        <f>IF(Entity_Unit_Costs[[#This Row],[Closing social housing units managed]]&gt;0,(Entity_Unit_Costs[[#This Row],[Other costs]]+Entity_Unit_Costs[[#This Row],[Other social housing activities - Charges for Support Services - Operating Expenditure]]+Entity_Unit_Costs[[#This Row],[Other social housing activities - Other - Operating Costs]]+Entity_Unit_Costs[[#This Row],[Other social housing activities - Development Services - Operating Expenditure]]+Entity_Unit_Costs[[#This Row],[Other social housing activities - Neighbourhood Services - Operating Expenditure]])/Entity_Unit_Costs[[#This Row],[Closing social housing units managed]],"")</f>
        <v>6.0753637304437814E-2</v>
      </c>
      <c r="R322" s="202">
        <v>692</v>
      </c>
      <c r="S322" s="202">
        <v>1340</v>
      </c>
      <c r="T322" s="202">
        <v>-1034</v>
      </c>
      <c r="U322" s="202">
        <v>0</v>
      </c>
      <c r="V322" s="204">
        <v>0</v>
      </c>
      <c r="W322" s="183">
        <v>2.5223558433549183E-2</v>
      </c>
      <c r="X322" s="183">
        <v>4.7918593894542089E-2</v>
      </c>
      <c r="Y322" s="184" t="s">
        <v>1256</v>
      </c>
      <c r="Z322" s="185"/>
      <c r="AA322" s="186" t="s">
        <v>1279</v>
      </c>
      <c r="AB322" s="187" t="s">
        <v>1264</v>
      </c>
      <c r="AC322" s="188">
        <v>0.94803109213741754</v>
      </c>
      <c r="AD322" s="186" t="s">
        <v>859</v>
      </c>
      <c r="AE322" s="187" t="s">
        <v>858</v>
      </c>
    </row>
    <row r="323" spans="1:31" x14ac:dyDescent="0.2"/>
    <row r="324" spans="1:31" x14ac:dyDescent="0.2">
      <c r="A324" s="216"/>
      <c r="B324" s="217" t="s">
        <v>1304</v>
      </c>
      <c r="C324" s="218"/>
      <c r="D324" s="219"/>
      <c r="E324" s="220"/>
      <c r="F324" s="221">
        <f>PERCENTILE(Entity_Unit_Costs[Headline Social Housing Costs per Unit],0.25)</f>
        <v>2.8512974261699529</v>
      </c>
      <c r="G324" s="221">
        <f>PERCENTILE(Entity_Unit_Costs[Management CPU],0.25)</f>
        <v>0.68737760334926112</v>
      </c>
      <c r="H324" s="220"/>
      <c r="I324" s="221">
        <f>PERCENTILE(Entity_Unit_Costs[Service Charge CPU],0.25)</f>
        <v>0.23612661834002108</v>
      </c>
      <c r="J324" s="220"/>
      <c r="K324" s="221">
        <f>PERCENTILE(Entity_Unit_Costs[Maintenance CPU],0.25)</f>
        <v>0.77320030344706392</v>
      </c>
      <c r="L324" s="220"/>
      <c r="M324" s="220"/>
      <c r="N324" s="221">
        <f>PERCENTILE(Entity_Unit_Costs[Major Repairs CPU],0.25)</f>
        <v>0.45577955175495177</v>
      </c>
      <c r="O324" s="220"/>
      <c r="P324" s="220"/>
      <c r="Q324" s="221">
        <f>PERCENTILE(Entity_Unit_Costs[Other Social Housing CPU],0.25)</f>
        <v>7.744148007223825E-2</v>
      </c>
      <c r="R324" s="168"/>
      <c r="S324" s="168"/>
      <c r="T324" s="168"/>
      <c r="U324" s="168"/>
      <c r="V324" s="168"/>
      <c r="W324" s="169"/>
      <c r="X324" s="169"/>
      <c r="Y324" s="169"/>
      <c r="Z324" s="169"/>
      <c r="AA324" s="169"/>
      <c r="AB324" s="169"/>
      <c r="AC324" s="169"/>
      <c r="AD324" s="169"/>
      <c r="AE324" s="169"/>
    </row>
    <row r="325" spans="1:31" x14ac:dyDescent="0.2">
      <c r="A325" s="222"/>
      <c r="B325" s="132" t="s">
        <v>1303</v>
      </c>
      <c r="C325" s="223"/>
      <c r="D325" s="136"/>
      <c r="E325" s="224"/>
      <c r="F325" s="225">
        <f>MEDIAN(Entity_Unit_Costs[Headline Social Housing Costs per Unit])</f>
        <v>3.3159416202495944</v>
      </c>
      <c r="G325" s="225">
        <f>MEDIAN(Entity_Unit_Costs[Management CPU])</f>
        <v>0.93203883495145634</v>
      </c>
      <c r="H325" s="224"/>
      <c r="I325" s="225">
        <f>MEDIAN(Entity_Unit_Costs[Service Charge CPU])</f>
        <v>0.37125243110344575</v>
      </c>
      <c r="J325" s="224"/>
      <c r="K325" s="225">
        <f>MEDIAN(Entity_Unit_Costs[Maintenance CPU])</f>
        <v>0.9232869232869233</v>
      </c>
      <c r="L325" s="224"/>
      <c r="M325" s="224"/>
      <c r="N325" s="225">
        <f>MEDIAN(Entity_Unit_Costs[Major Repairs CPU])</f>
        <v>0.67411402157164868</v>
      </c>
      <c r="O325" s="224"/>
      <c r="P325" s="224"/>
      <c r="Q325" s="225">
        <f>MEDIAN(Entity_Unit_Costs[Other Social Housing CPU])</f>
        <v>0.19846947263350523</v>
      </c>
      <c r="R325" s="105"/>
      <c r="S325" s="105"/>
      <c r="T325" s="105"/>
      <c r="U325" s="105"/>
      <c r="V325" s="105"/>
      <c r="W325" s="170"/>
      <c r="X325" s="170"/>
      <c r="Y325" s="170"/>
      <c r="Z325" s="170"/>
      <c r="AA325" s="170"/>
      <c r="AB325" s="170"/>
      <c r="AC325" s="170"/>
      <c r="AD325" s="170"/>
      <c r="AE325" s="170"/>
    </row>
    <row r="326" spans="1:31" x14ac:dyDescent="0.2">
      <c r="A326" s="216"/>
      <c r="B326" s="217" t="s">
        <v>1305</v>
      </c>
      <c r="C326" s="218"/>
      <c r="D326" s="219"/>
      <c r="E326" s="220"/>
      <c r="F326" s="221">
        <f>PERCENTILE(Entity_Unit_Costs[Headline Social Housing Costs per Unit],0.75)</f>
        <v>4.1153233445215607</v>
      </c>
      <c r="G326" s="221">
        <f>PERCENTILE(Entity_Unit_Costs[Management CPU],0.75)</f>
        <v>1.1457094237862679</v>
      </c>
      <c r="H326" s="220"/>
      <c r="I326" s="221">
        <f>PERCENTILE(Entity_Unit_Costs[Service Charge CPU],0.75)</f>
        <v>0.60383119780582928</v>
      </c>
      <c r="J326" s="220"/>
      <c r="K326" s="221">
        <f>PERCENTILE(Entity_Unit_Costs[Maintenance CPU],0.75)</f>
        <v>1.1565581801709368</v>
      </c>
      <c r="L326" s="220"/>
      <c r="M326" s="220"/>
      <c r="N326" s="221">
        <f>PERCENTILE(Entity_Unit_Costs[Major Repairs CPU],0.75)</f>
        <v>0.96223764544175938</v>
      </c>
      <c r="O326" s="220"/>
      <c r="P326" s="220"/>
      <c r="Q326" s="221">
        <f>PERCENTILE(Entity_Unit_Costs[Other Social Housing CPU],0.75)</f>
        <v>0.46411904177908592</v>
      </c>
      <c r="R326" s="168"/>
      <c r="S326" s="168"/>
      <c r="T326" s="168"/>
      <c r="U326" s="168"/>
      <c r="V326" s="168"/>
      <c r="W326" s="169"/>
      <c r="X326" s="169"/>
      <c r="Y326" s="169"/>
      <c r="Z326" s="169"/>
      <c r="AA326" s="169"/>
      <c r="AB326" s="169"/>
      <c r="AC326" s="169"/>
      <c r="AD326" s="169"/>
      <c r="AE326" s="169"/>
    </row>
    <row r="327" spans="1:31" x14ac:dyDescent="0.2">
      <c r="A327" s="222"/>
      <c r="B327" s="132" t="s">
        <v>1308</v>
      </c>
      <c r="C327" s="223"/>
      <c r="D327" s="136"/>
      <c r="E327" s="224"/>
      <c r="F327" s="225">
        <f>SUMPRODUCT(Entity_Unit_Costs[Closing social housing units managed],Entity_Unit_Costs[Headline Social Housing Costs per Unit])/SUM(Entity_Unit_Costs[Closing social housing units managed])</f>
        <v>3.6853297512144856</v>
      </c>
      <c r="G327" s="225">
        <f>SUMPRODUCT(Entity_Unit_Costs[Closing social housing units managed],Entity_Unit_Costs[Management CPU])/SUM(Entity_Unit_Costs[Closing social housing units managed])</f>
        <v>0.95459664360370966</v>
      </c>
      <c r="H327" s="224"/>
      <c r="I327" s="225">
        <f>SUMPRODUCT(Entity_Unit_Costs[Closing social housing units managed],Entity_Unit_Costs[Service Charge CPU])/SUM(Entity_Unit_Costs[Closing social housing units managed])</f>
        <v>0.54388046518474897</v>
      </c>
      <c r="J327" s="224"/>
      <c r="K327" s="225">
        <f>SUMPRODUCT(Entity_Unit_Costs[Maintenance CPU],Entity_Unit_Costs[Closing social housing units managed])/SUM(Entity_Unit_Costs[Closing social housing units managed])</f>
        <v>0.99790446047401737</v>
      </c>
      <c r="L327" s="224"/>
      <c r="M327" s="224"/>
      <c r="N327" s="225">
        <f>SUMPRODUCT(Entity_Unit_Costs[Major Repairs CPU],Entity_Unit_Costs[Closing social housing units managed])/SUM(Entity_Unit_Costs[Closing social housing units managed])</f>
        <v>0.75092632121301339</v>
      </c>
      <c r="O327" s="224"/>
      <c r="P327" s="224"/>
      <c r="Q327" s="225">
        <f>SUMPRODUCT(Entity_Unit_Costs[Other Social Housing CPU],Entity_Unit_Costs[Closing social housing units managed])/SUM(Entity_Unit_Costs[Closing social housing units managed])</f>
        <v>0.43802186073899602</v>
      </c>
      <c r="R327" s="105"/>
      <c r="S327" s="105"/>
      <c r="T327" s="105"/>
      <c r="U327" s="105"/>
      <c r="V327" s="105"/>
      <c r="W327" s="170"/>
      <c r="X327" s="170"/>
      <c r="Y327" s="170"/>
      <c r="Z327" s="170"/>
      <c r="AA327" s="170"/>
      <c r="AB327" s="170"/>
      <c r="AC327" s="170"/>
      <c r="AD327" s="170"/>
      <c r="AE327" s="170"/>
    </row>
    <row r="328" spans="1:31" x14ac:dyDescent="0.2"/>
    <row r="329" spans="1:31" x14ac:dyDescent="0.2"/>
  </sheetData>
  <mergeCells count="7">
    <mergeCell ref="E2:F2"/>
    <mergeCell ref="G1:V1"/>
    <mergeCell ref="AD2:AE2"/>
    <mergeCell ref="AB2:AC2"/>
    <mergeCell ref="Y2:AA2"/>
    <mergeCell ref="W2:X2"/>
    <mergeCell ref="G2:V2"/>
  </mergeCells>
  <pageMargins left="0.31496062992125984" right="0.31496062992125984" top="0.35433070866141736" bottom="0.35433070866141736" header="0.11811023622047245" footer="0.11811023622047245"/>
  <pageSetup paperSize="9" scale="66" pageOrder="overThenDown" orientation="landscape" r:id="rId1"/>
  <headerFooter>
    <oddFooter>&amp;C&amp;P / &amp;N</oddFooter>
    <evenFooter>&amp;C&amp;P / &amp;N</evenFooter>
    <firstFooter>&amp;C&amp;P / &amp;N</first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Contents</vt:lpstr>
      <vt:lpstr>Introduction</vt:lpstr>
      <vt:lpstr>Statements</vt:lpstr>
      <vt:lpstr>GA2017_Consolidated</vt:lpstr>
      <vt:lpstr>GA2017_Entity</vt:lpstr>
      <vt:lpstr>Unit Cost Sources &amp; notes</vt:lpstr>
      <vt:lpstr>Unit Cost Summary</vt:lpstr>
      <vt:lpstr>2017_Unit_Cost_Consolidated</vt:lpstr>
      <vt:lpstr>2017_Unit_Cost_Entity</vt:lpstr>
      <vt:lpstr>Statements!Print_Area</vt:lpstr>
      <vt:lpstr>'2017_Unit_Cost_Consolidated'!Print_Titles</vt:lpstr>
      <vt:lpstr>'2017_Unit_Cost_Entity'!Print_Titles</vt:lpstr>
      <vt:lpstr>GA2017_Consolidated!Print_Titles</vt:lpstr>
      <vt:lpstr>GA2017_Entity!Print_Titles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2017-12-04T15:49:53Z</dcterms:created>
  <dcterms:modified xsi:type="dcterms:W3CDTF">2017-12-11T14:30:28Z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4ba405da-e996-4bd4-9465-eae24ac2a770</vt:lpwstr>
  </property>
  <property fmtid="{D5CDD505-2E9C-101B-9397-08002B2CF9AE}" pid="3" name="HCAGPMS">
    <vt:lpwstr>OFFICIAL</vt:lpwstr>
  </property>
</Properties>
</file>